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codeName="ThisWorkbook"/>
  <mc:AlternateContent xmlns:mc="http://schemas.openxmlformats.org/markup-compatibility/2006">
    <mc:Choice Requires="x15">
      <x15ac:absPath xmlns:x15ac="http://schemas.microsoft.com/office/spreadsheetml/2010/11/ac" url="\\geddta1.cfbl.fr\ZenSolutions$\doc\24\143\Z00FDNP0\"/>
    </mc:Choice>
  </mc:AlternateContent>
  <xr:revisionPtr revIDLastSave="0" documentId="13_ncr:1_{116E5244-B10D-4301-BF08-5A7BFC8BB3AB}" xr6:coauthVersionLast="47" xr6:coauthVersionMax="47" xr10:uidLastSave="{00000000-0000-0000-0000-000000000000}"/>
  <bookViews>
    <workbookView xWindow="28680" yWindow="-120" windowWidth="29040" windowHeight="1572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" i="6" l="1"/>
  <c r="E79" i="6"/>
  <c r="E48" i="6"/>
  <c r="E17" i="6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R4" i="2" l="1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EW7" i="2" s="1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FS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EC20" i="2"/>
  <c r="EV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H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B37" i="2" s="1"/>
  <c r="ET37" i="2"/>
  <c r="ES37" i="2"/>
  <c r="DD37" i="2"/>
  <c r="CH37" i="2"/>
  <c r="AS37" i="2"/>
  <c r="DX37" i="2"/>
  <c r="EA37" i="2" s="1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EW38" i="2"/>
  <c r="EA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HG42" i="2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H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HI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HI52" i="2" l="1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HH57" i="2"/>
  <c r="EB57" i="2"/>
  <c r="HG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H60" i="2"/>
  <c r="HG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HI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FN74" i="2"/>
  <c r="FO74" i="2"/>
  <c r="FR74" i="2" s="1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EW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FS75" i="2"/>
  <c r="HG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HH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EX98" i="2"/>
  <c r="FS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EW100" i="2" s="1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HI104" i="2" l="1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EV105" i="2" s="1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B107" i="2"/>
  <c r="EA107" i="2"/>
  <c r="EX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FS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HI112" i="2" l="1"/>
  <c r="EC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FS113" i="2" l="1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H120" i="2" l="1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V128" i="2" l="1"/>
  <c r="EX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X130" i="2"/>
  <c r="EB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W133" i="2" s="1"/>
  <c r="ES133" i="2"/>
  <c r="EV133" i="2" s="1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I133" i="2" l="1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EW134" i="2" s="1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G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B145" i="2" l="1"/>
  <c r="EA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HH146" i="2"/>
  <c r="FS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HI147" i="2" l="1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EC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EV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A155" i="2"/>
  <c r="EW155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HI156" i="2" l="1"/>
  <c r="A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A157" i="2" l="1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H158" i="2" l="1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H160" i="2"/>
  <c r="EY159" i="2"/>
  <c r="FS160" i="2"/>
  <c r="HI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EA161" i="2" l="1"/>
  <c r="HH161" i="2"/>
  <c r="EB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HH162" i="2" l="1"/>
  <c r="HG162" i="2"/>
  <c r="EB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A163" i="2" l="1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X164" i="2" l="1"/>
  <c r="EV164" i="2"/>
  <c r="FR164" i="2"/>
  <c r="DH164" i="2"/>
  <c r="FS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DG167" i="2"/>
  <c r="HH167" i="2"/>
  <c r="EB167" i="2"/>
  <c r="EX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FS169" i="2" l="1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W175" i="2" l="1"/>
  <c r="FS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FQ177" i="2"/>
  <c r="FS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G178" i="2" l="1"/>
  <c r="EA178" i="2"/>
  <c r="EB178" i="2"/>
  <c r="FQ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EB179" i="2" l="1"/>
  <c r="EV179" i="2"/>
  <c r="EA179" i="2"/>
  <c r="HI179" i="2"/>
  <c r="DF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EA186" i="2"/>
  <c r="HG186" i="2"/>
  <c r="FS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B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V189" i="2" l="1"/>
  <c r="HH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G191" i="2" l="1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B192" i="2" s="1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C192" i="2" l="1"/>
  <c r="EA192" i="2"/>
  <c r="EW192" i="2"/>
  <c r="HG192" i="2"/>
  <c r="EV192" i="2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HI194" i="2"/>
  <c r="FQ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A195" i="2"/>
  <c r="EB195" i="2"/>
  <c r="EX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C197" i="2" l="1"/>
  <c r="AA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W198" i="2" l="1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H199" i="2" l="1"/>
  <c r="EV199" i="2"/>
  <c r="FS199" i="2"/>
  <c r="EW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EB201" i="2"/>
  <c r="HH201" i="2"/>
  <c r="HG201" i="2"/>
  <c r="FS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R202" i="2" l="1"/>
  <c r="EX202" i="2"/>
  <c r="HH202" i="2"/>
  <c r="FS202" i="2"/>
  <c r="HG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66" i="2" a="1"/>
  <c r="EI166" i="2" s="1"/>
  <c r="EI153" i="2" a="1"/>
  <c r="EI153" i="2" s="1"/>
  <c r="EI142" i="2" a="1"/>
  <c r="EI142" i="2" s="1"/>
  <c r="DN155" i="2" a="1"/>
  <c r="DN155" i="2" s="1"/>
  <c r="CS66" i="2" a="1"/>
  <c r="CS66" i="2" s="1"/>
  <c r="CS52" i="2" a="1"/>
  <c r="CS52" i="2" s="1"/>
  <c r="CS129" i="2" a="1"/>
  <c r="CS129" i="2" s="1"/>
  <c r="DN186" i="2" a="1"/>
  <c r="DN186" i="2" s="1"/>
  <c r="DN43" i="2" a="1"/>
  <c r="DN43" i="2" s="1"/>
  <c r="DN41" i="2" a="1"/>
  <c r="DN41" i="2" s="1"/>
  <c r="DN50" i="2" a="1"/>
  <c r="DN50" i="2" s="1"/>
  <c r="DN129" i="2" a="1"/>
  <c r="DN129" i="2" s="1"/>
  <c r="DN170" i="2" a="1"/>
  <c r="DN170" i="2" s="1"/>
  <c r="DN66" i="2" a="1"/>
  <c r="DN66" i="2" s="1"/>
  <c r="DN192" i="2" a="1"/>
  <c r="DN192" i="2" s="1"/>
  <c r="DN150" i="2" a="1"/>
  <c r="DN150" i="2" s="1"/>
  <c r="CS116" i="2" a="1"/>
  <c r="CS116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87" i="2" a="1"/>
  <c r="EI87" i="2" s="1"/>
  <c r="EI36" i="2" a="1"/>
  <c r="EI36" i="2" s="1"/>
  <c r="EI113" i="2" a="1"/>
  <c r="EI113" i="2" s="1"/>
  <c r="EI16" i="2" a="1"/>
  <c r="EI16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49" i="2" a="1"/>
  <c r="DN49" i="2" s="1"/>
  <c r="DN162" i="2" a="1"/>
  <c r="DN162" i="2" s="1"/>
  <c r="DN16" i="2" a="1"/>
  <c r="DN16" i="2" s="1"/>
  <c r="DN65" i="2" a="1"/>
  <c r="DN65" i="2" s="1"/>
  <c r="DN133" i="2" a="1"/>
  <c r="DN133" i="2" s="1"/>
  <c r="DN190" i="2" a="1"/>
  <c r="DN190" i="2" s="1"/>
  <c r="DN6" i="2" a="1"/>
  <c r="DN6" i="2" s="1"/>
  <c r="DO6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HJ202" i="2"/>
  <c r="EY202" i="2"/>
  <c r="AX200" i="2"/>
  <c r="AH92" i="2" l="1" a="1"/>
  <c r="AH92" i="2" s="1"/>
  <c r="AH62" i="2" a="1"/>
  <c r="AH62" i="2" s="1"/>
  <c r="AH199" i="2" a="1"/>
  <c r="AH199" i="2" s="1"/>
  <c r="AH166" i="2" a="1"/>
  <c r="AH166" i="2" s="1"/>
  <c r="AH19" i="2" a="1"/>
  <c r="AH19" i="2" s="1"/>
  <c r="AH90" i="2" a="1"/>
  <c r="AH90" i="2" s="1"/>
  <c r="AH163" i="2" a="1"/>
  <c r="AH163" i="2" s="1"/>
  <c r="EI178" i="2" a="1"/>
  <c r="EI178" i="2" s="1"/>
  <c r="DN164" i="2" a="1"/>
  <c r="DN164" i="2" s="1"/>
  <c r="EI38" i="2" a="1"/>
  <c r="EI38" i="2" s="1"/>
  <c r="DN63" i="2" a="1"/>
  <c r="DN63" i="2" s="1"/>
  <c r="DN188" i="2" a="1"/>
  <c r="DN188" i="2" s="1"/>
  <c r="DN113" i="2" a="1"/>
  <c r="DN113" i="2" s="1"/>
  <c r="DN137" i="2" a="1"/>
  <c r="DN137" i="2" s="1"/>
  <c r="EI145" i="2" a="1"/>
  <c r="EI145" i="2" s="1"/>
  <c r="FR203" i="2"/>
  <c r="EI198" i="2" a="1"/>
  <c r="EI198" i="2" s="1"/>
  <c r="DN70" i="2" a="1"/>
  <c r="DN70" i="2" s="1"/>
  <c r="DN187" i="2" a="1"/>
  <c r="DN187" i="2" s="1"/>
  <c r="DN135" i="2" a="1"/>
  <c r="DN135" i="2" s="1"/>
  <c r="EI34" i="2" a="1"/>
  <c r="EI34" i="2" s="1"/>
  <c r="DN86" i="2" a="1"/>
  <c r="DN86" i="2" s="1"/>
  <c r="DN25" i="2" a="1"/>
  <c r="DN25" i="2" s="1"/>
  <c r="EI162" i="2" a="1"/>
  <c r="EI162" i="2" s="1"/>
  <c r="EI128" i="2" a="1"/>
  <c r="EI128" i="2" s="1"/>
  <c r="EI20" i="2" a="1"/>
  <c r="EI20" i="2" s="1"/>
  <c r="DN55" i="2" a="1"/>
  <c r="DN55" i="2" s="1"/>
  <c r="DN46" i="2" a="1"/>
  <c r="DN46" i="2" s="1"/>
  <c r="DN38" i="2" a="1"/>
  <c r="DN38" i="2" s="1"/>
  <c r="EI165" i="2" a="1"/>
  <c r="EI165" i="2" s="1"/>
  <c r="DN123" i="2" a="1"/>
  <c r="DN123" i="2" s="1"/>
  <c r="DN177" i="2" a="1"/>
  <c r="DN177" i="2" s="1"/>
  <c r="DN184" i="2" a="1"/>
  <c r="DN184" i="2" s="1"/>
  <c r="EI150" i="2" a="1"/>
  <c r="EI150" i="2" s="1"/>
  <c r="DN132" i="2" a="1"/>
  <c r="DN132" i="2" s="1"/>
  <c r="EI37" i="2" a="1"/>
  <c r="EI37" i="2" s="1"/>
  <c r="DN30" i="2" a="1"/>
  <c r="DN30" i="2" s="1"/>
  <c r="EI35" i="2" a="1"/>
  <c r="EI35" i="2" s="1"/>
  <c r="DN110" i="2" a="1"/>
  <c r="DN110" i="2" s="1"/>
  <c r="EI139" i="2" a="1"/>
  <c r="EI139" i="2" s="1"/>
  <c r="DN31" i="2" a="1"/>
  <c r="DN31" i="2" s="1"/>
  <c r="EI67" i="2" a="1"/>
  <c r="EI67" i="2" s="1"/>
  <c r="EI71" i="2" a="1"/>
  <c r="EI71" i="2" s="1"/>
  <c r="EI195" i="2" a="1"/>
  <c r="EI195" i="2" s="1"/>
  <c r="DN115" i="2" a="1"/>
  <c r="DN115" i="2" s="1"/>
  <c r="DN152" i="2" a="1"/>
  <c r="DN152" i="2" s="1"/>
  <c r="DN124" i="2" a="1"/>
  <c r="DN124" i="2" s="1"/>
  <c r="EI29" i="2" a="1"/>
  <c r="EI29" i="2" s="1"/>
  <c r="BP203" i="2"/>
  <c r="HH203" i="2"/>
  <c r="EI109" i="2" a="1"/>
  <c r="EI109" i="2" s="1"/>
  <c r="DN176" i="2" a="1"/>
  <c r="DN176" i="2" s="1"/>
  <c r="DN167" i="2" a="1"/>
  <c r="DN167" i="2" s="1"/>
  <c r="EI170" i="2" a="1"/>
  <c r="EI170" i="2" s="1"/>
  <c r="EI57" i="2" a="1"/>
  <c r="EI57" i="2" s="1"/>
  <c r="DN153" i="2" a="1"/>
  <c r="DN153" i="2" s="1"/>
  <c r="DN29" i="2" a="1"/>
  <c r="DN29" i="2" s="1"/>
  <c r="EI106" i="2" a="1"/>
  <c r="EI106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ED203" i="2" s="1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0" i="2" l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<sst xmlns="http://schemas.openxmlformats.org/spreadsheetml/2006/main" count="1172" uniqueCount="324">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</sst>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1.5630855774068424</c:v>
                </c:pt>
                <c:pt idx="2">
                  <c:v>1.9941405754104276</c:v>
                </c:pt>
                <c:pt idx="3">
                  <c:v>2.5445505069102112</c:v>
                </c:pt>
                <c:pt idx="4">
                  <c:v>3.2474898112455457</c:v>
                </c:pt>
                <c:pt idx="5">
                  <c:v>4.1453866021713255</c:v>
                </c:pt>
                <c:pt idx="6">
                  <c:v>5.292512436219778</c:v>
                </c:pt>
                <c:pt idx="7">
                  <c:v>6.7582990763748976</c:v>
                </c:pt>
                <c:pt idx="8">
                  <c:v>8.631586902833817</c:v>
                </c:pt>
                <c:pt idx="9">
                  <c:v>11.026067379669733</c:v>
                </c:pt>
                <c:pt idx="10">
                  <c:v>14.087256081165423</c:v>
                </c:pt>
                <c:pt idx="11">
                  <c:v>18.001427845645381</c:v>
                </c:pt>
                <c:pt idx="12">
                  <c:v>23.00706760422047</c:v>
                </c:pt>
                <c:pt idx="13">
                  <c:v>29.409546962764335</c:v>
                </c:pt>
                <c:pt idx="14">
                  <c:v>37.599937503570509</c:v>
                </c:pt>
                <c:pt idx="15">
                  <c:v>48.079129612237985</c:v>
                </c:pt>
                <c:pt idx="16">
                  <c:v>61.488756600822086</c:v>
                </c:pt>
                <c:pt idx="17">
                  <c:v>78.650848767435647</c:v>
                </c:pt>
                <c:pt idx="18">
                  <c:v>100.61868749558056</c:v>
                </c:pt>
                <c:pt idx="19">
                  <c:v>128.7420298420451</c:v>
                </c:pt>
                <c:pt idx="20">
                  <c:v>164.75077334312192</c:v>
                </c:pt>
                <c:pt idx="21">
                  <c:v>133.88554969577129</c:v>
                </c:pt>
                <c:pt idx="22">
                  <c:v>143.27355550168537</c:v>
                </c:pt>
                <c:pt idx="23">
                  <c:v>152.64683015838821</c:v>
                </c:pt>
                <c:pt idx="24">
                  <c:v>162.00640689272805</c:v>
                </c:pt>
                <c:pt idx="25">
                  <c:v>171.35318959873041</c:v>
                </c:pt>
                <c:pt idx="26">
                  <c:v>180.68797535583599</c:v>
                </c:pt>
                <c:pt idx="27">
                  <c:v>190.01147204026685</c:v>
                </c:pt>
                <c:pt idx="28">
                  <c:v>199.32431229219435</c:v>
                </c:pt>
                <c:pt idx="29">
                  <c:v>208.62706473142643</c:v>
                </c:pt>
                <c:pt idx="30">
                  <c:v>217.92024306476185</c:v>
                </c:pt>
                <c:pt idx="31">
                  <c:v>160.17621878306821</c:v>
                </c:pt>
                <c:pt idx="32">
                  <c:v>170.33782955280489</c:v>
                </c:pt>
                <c:pt idx="33">
                  <c:v>180.48516769023772</c:v>
                </c:pt>
                <c:pt idx="34">
                  <c:v>190.61914954910142</c:v>
                </c:pt>
                <c:pt idx="35">
                  <c:v>200.74058596732002</c:v>
                </c:pt>
                <c:pt idx="36">
                  <c:v>210.85019924163896</c:v>
                </c:pt>
                <c:pt idx="37">
                  <c:v>220.94863667100961</c:v>
                </c:pt>
                <c:pt idx="38">
                  <c:v>231.03648149074067</c:v>
                </c:pt>
                <c:pt idx="39">
                  <c:v>241.11426179447608</c:v>
                </c:pt>
                <c:pt idx="40">
                  <c:v>251.1824578846782</c:v>
                </c:pt>
                <c:pt idx="41">
                  <c:v>192.13814620457819</c:v>
                </c:pt>
                <c:pt idx="42">
                  <c:v>203.77468058377053</c:v>
                </c:pt>
                <c:pt idx="43">
                  <c:v>215.39584283593396</c:v>
                </c:pt>
                <c:pt idx="44">
                  <c:v>227.0025797348942</c:v>
                </c:pt>
                <c:pt idx="45">
                  <c:v>238.59573324490518</c:v>
                </c:pt>
                <c:pt idx="46">
                  <c:v>250.17605676255928</c:v>
                </c:pt>
                <c:pt idx="47">
                  <c:v>261.74422819048414</c:v>
                </c:pt>
                <c:pt idx="48">
                  <c:v>273.30086057644468</c:v>
                </c:pt>
                <c:pt idx="49">
                  <c:v>284.84651085713051</c:v>
                </c:pt>
                <c:pt idx="50">
                  <c:v>296.38168710899464</c:v>
                </c:pt>
                <c:pt idx="51">
                  <c:v>234.56482390663419</c:v>
                </c:pt>
                <c:pt idx="52">
                  <c:v>248.16297855306274</c:v>
                </c:pt>
                <c:pt idx="53">
                  <c:v>261.74422819048414</c:v>
                </c:pt>
                <c:pt idx="54">
                  <c:v>275.30957376859936</c:v>
                </c:pt>
                <c:pt idx="55">
                  <c:v>288.85990949975189</c:v>
                </c:pt>
                <c:pt idx="56">
                  <c:v>302.39603882080934</c:v>
                </c:pt>
                <c:pt idx="57">
                  <c:v>315.91868734548348</c:v>
                </c:pt>
                <c:pt idx="58">
                  <c:v>329.42851348169211</c:v>
                </c:pt>
                <c:pt idx="59">
                  <c:v>342.92611721533916</c:v>
                </c:pt>
                <c:pt idx="60">
                  <c:v>356.4120474383385</c:v>
                </c:pt>
                <c:pt idx="61">
                  <c:v>291.86913926751021</c:v>
                </c:pt>
                <c:pt idx="62">
                  <c:v>307.40596257029637</c:v>
                </c:pt>
                <c:pt idx="63">
                  <c:v>322.92534379451814</c:v>
                </c:pt>
                <c:pt idx="64">
                  <c:v>338.42823915402437</c:v>
                </c:pt>
                <c:pt idx="65">
                  <c:v>353.91551010384433</c:v>
                </c:pt>
                <c:pt idx="66">
                  <c:v>369.38793655321842</c:v>
                </c:pt>
                <c:pt idx="67">
                  <c:v>384.84622774857962</c:v>
                </c:pt>
                <c:pt idx="68">
                  <c:v>400.29103131634878</c:v>
                </c:pt>
                <c:pt idx="69">
                  <c:v>415.72294083711449</c:v>
                </c:pt>
                <c:pt idx="70">
                  <c:v>431.14250223646945</c:v>
                </c:pt>
                <c:pt idx="71">
                  <c:v>361.40397634816736</c:v>
                </c:pt>
                <c:pt idx="72">
                  <c:v>378.36539662842574</c:v>
                </c:pt>
                <c:pt idx="73">
                  <c:v>395.310273009897</c:v>
                </c:pt>
                <c:pt idx="74">
                  <c:v>412.23941423652178</c:v>
                </c:pt>
                <c:pt idx="75">
                  <c:v>429.15355722818907</c:v>
                </c:pt>
                <c:pt idx="76">
                  <c:v>446.05337609733306</c:v>
                </c:pt>
                <c:pt idx="77">
                  <c:v>462.93948972795494</c:v>
                </c:pt>
                <c:pt idx="78">
                  <c:v>479.81246819138977</c:v>
                </c:pt>
                <c:pt idx="79">
                  <c:v>496.6728382127958</c:v>
                </c:pt>
                <c:pt idx="80">
                  <c:v>513.52108785692201</c:v>
                </c:pt>
                <c:pt idx="81">
                  <c:v>438.59929855364607</c:v>
                </c:pt>
                <c:pt idx="82">
                  <c:v>455.98800633231934</c:v>
                </c:pt>
                <c:pt idx="83">
                  <c:v>473.36255181121783</c:v>
                </c:pt>
                <c:pt idx="84">
                  <c:v>490.72352773098049</c:v>
                </c:pt>
                <c:pt idx="85">
                  <c:v>508.0714814925293</c:v>
                </c:pt>
                <c:pt idx="86">
                  <c:v>525.40692008667054</c:v>
                </c:pt>
                <c:pt idx="87">
                  <c:v>542.7303143394812</c:v>
                </c:pt>
                <c:pt idx="88">
                  <c:v>560.04210258768592</c:v>
                </c:pt>
                <c:pt idx="89">
                  <c:v>577.34269387615848</c:v>
                </c:pt>
                <c:pt idx="90">
                  <c:v>594.63247075242327</c:v>
                </c:pt>
                <c:pt idx="91">
                  <c:v>515.99777715164339</c:v>
                </c:pt>
                <c:pt idx="92">
                  <c:v>534.31757023210309</c:v>
                </c:pt>
                <c:pt idx="93">
                  <c:v>552.62415903802309</c:v>
                </c:pt>
                <c:pt idx="94">
                  <c:v>570.91804225426574</c:v>
                </c:pt>
                <c:pt idx="95">
                  <c:v>589.19968402429186</c:v>
                </c:pt>
                <c:pt idx="96">
                  <c:v>607.46951736202516</c:v>
                </c:pt>
                <c:pt idx="97">
                  <c:v>625.72794713217797</c:v>
                </c:pt>
                <c:pt idx="98">
                  <c:v>643.97535266486341</c:v>
                </c:pt>
                <c:pt idx="99">
                  <c:v>662.21209005867013</c:v>
                </c:pt>
                <c:pt idx="100">
                  <c:v>680.43849421703806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4.3926046297979076</c:v>
                </c:pt>
                <c:pt idx="2">
                  <c:v>8.3612614966873711</c:v>
                </c:pt>
                <c:pt idx="3">
                  <c:v>15.935083980933408</c:v>
                </c:pt>
                <c:pt idx="4">
                  <c:v>30.405468314778947</c:v>
                </c:pt>
                <c:pt idx="5">
                  <c:v>58.082485530805052</c:v>
                </c:pt>
                <c:pt idx="6">
                  <c:v>72.155748931369416</c:v>
                </c:pt>
                <c:pt idx="7">
                  <c:v>94.133673128860323</c:v>
                </c:pt>
                <c:pt idx="8">
                  <c:v>115.98283085356282</c:v>
                </c:pt>
                <c:pt idx="9">
                  <c:v>137.73104312742694</c:v>
                </c:pt>
                <c:pt idx="10">
                  <c:v>159.39654402501074</c:v>
                </c:pt>
                <c:pt idx="11">
                  <c:v>139.70382844505221</c:v>
                </c:pt>
                <c:pt idx="12">
                  <c:v>161.362507950626</c:v>
                </c:pt>
                <c:pt idx="13">
                  <c:v>182.95230030612535</c:v>
                </c:pt>
                <c:pt idx="14">
                  <c:v>204.48248491014036</c:v>
                </c:pt>
                <c:pt idx="15">
                  <c:v>225.96022281826015</c:v>
                </c:pt>
                <c:pt idx="16">
                  <c:v>211.90768212600287</c:v>
                </c:pt>
                <c:pt idx="17">
                  <c:v>231.02975966933766</c:v>
                </c:pt>
                <c:pt idx="18">
                  <c:v>250.11566977871595</c:v>
                </c:pt>
                <c:pt idx="19">
                  <c:v>269.16856029275453</c:v>
                </c:pt>
                <c:pt idx="20">
                  <c:v>288.19109683703851</c:v>
                </c:pt>
                <c:pt idx="21">
                  <c:v>277.32465175371152</c:v>
                </c:pt>
                <c:pt idx="22">
                  <c:v>293.62085999795471</c:v>
                </c:pt>
                <c:pt idx="23">
                  <c:v>309.89688707897216</c:v>
                </c:pt>
                <c:pt idx="24">
                  <c:v>326.1539420224164</c:v>
                </c:pt>
                <c:pt idx="25">
                  <c:v>342.39310348379212</c:v>
                </c:pt>
                <c:pt idx="26">
                  <c:v>334.27569654819109</c:v>
                </c:pt>
                <c:pt idx="27">
                  <c:v>347.41603793627536</c:v>
                </c:pt>
                <c:pt idx="28">
                  <c:v>360.54547259299108</c:v>
                </c:pt>
                <c:pt idx="29">
                  <c:v>373.66445368853493</c:v>
                </c:pt>
                <c:pt idx="30">
                  <c:v>386.77339997206712</c:v>
                </c:pt>
                <c:pt idx="31">
                  <c:v>380.60570876556693</c:v>
                </c:pt>
                <c:pt idx="32">
                  <c:v>391.78307456466808</c:v>
                </c:pt>
                <c:pt idx="33">
                  <c:v>402.95352523018465</c:v>
                </c:pt>
                <c:pt idx="34">
                  <c:v>414.1172795224561</c:v>
                </c:pt>
                <c:pt idx="35">
                  <c:v>425.27454344239999</c:v>
                </c:pt>
                <c:pt idx="36">
                  <c:v>421.04322924291415</c:v>
                </c:pt>
                <c:pt idx="37">
                  <c:v>430.2740205592209</c:v>
                </c:pt>
                <c:pt idx="38">
                  <c:v>439.50055712660497</c:v>
                </c:pt>
                <c:pt idx="39">
                  <c:v>448.72294089251392</c:v>
                </c:pt>
                <c:pt idx="40">
                  <c:v>457.94126927057533</c:v>
                </c:pt>
                <c:pt idx="41">
                  <c:v>456.02111397099492</c:v>
                </c:pt>
                <c:pt idx="42">
                  <c:v>465.6201790592072</c:v>
                </c:pt>
                <c:pt idx="43">
                  <c:v>475.2150257772908</c:v>
                </c:pt>
                <c:pt idx="44">
                  <c:v>484.80575132371115</c:v>
                </c:pt>
                <c:pt idx="45">
                  <c:v>494.39244873679655</c:v>
                </c:pt>
                <c:pt idx="46">
                  <c:v>4.7119831685935622E-12</c:v>
                </c:pt>
                <c:pt idx="47">
                  <c:v>4.7119831685935622E-12</c:v>
                </c:pt>
                <c:pt idx="48">
                  <c:v>4.7119831685935622E-12</c:v>
                </c:pt>
                <c:pt idx="49">
                  <c:v>4.7119831685935622E-12</c:v>
                </c:pt>
                <c:pt idx="50">
                  <c:v>4.7119831685935622E-12</c:v>
                </c:pt>
                <c:pt idx="51">
                  <c:v>4.7119831685935622E-12</c:v>
                </c:pt>
                <c:pt idx="52">
                  <c:v>4.7119831685935622E-12</c:v>
                </c:pt>
                <c:pt idx="53">
                  <c:v>4.7119831685935622E-12</c:v>
                </c:pt>
                <c:pt idx="54">
                  <c:v>4.7119831685935622E-12</c:v>
                </c:pt>
                <c:pt idx="55">
                  <c:v>4.7119831685935622E-12</c:v>
                </c:pt>
                <c:pt idx="56">
                  <c:v>4.7119831685935622E-12</c:v>
                </c:pt>
                <c:pt idx="57">
                  <c:v>4.7119831685935622E-12</c:v>
                </c:pt>
                <c:pt idx="58">
                  <c:v>4.7119831685935622E-12</c:v>
                </c:pt>
                <c:pt idx="59">
                  <c:v>4.7119831685935622E-12</c:v>
                </c:pt>
                <c:pt idx="60">
                  <c:v>4.7119831685935622E-12</c:v>
                </c:pt>
                <c:pt idx="61">
                  <c:v>4.7119831685935622E-12</c:v>
                </c:pt>
                <c:pt idx="62">
                  <c:v>4.7119831685935622E-12</c:v>
                </c:pt>
                <c:pt idx="63">
                  <c:v>4.7119831685935622E-12</c:v>
                </c:pt>
                <c:pt idx="64">
                  <c:v>4.7119831685935622E-12</c:v>
                </c:pt>
                <c:pt idx="65">
                  <c:v>4.7119831685935622E-12</c:v>
                </c:pt>
                <c:pt idx="66">
                  <c:v>4.7119831685935622E-12</c:v>
                </c:pt>
                <c:pt idx="67">
                  <c:v>4.7119831685935622E-12</c:v>
                </c:pt>
                <c:pt idx="68">
                  <c:v>4.7119831685935622E-12</c:v>
                </c:pt>
                <c:pt idx="69">
                  <c:v>4.7119831685935622E-12</c:v>
                </c:pt>
                <c:pt idx="70">
                  <c:v>4.7119831685935622E-12</c:v>
                </c:pt>
                <c:pt idx="71">
                  <c:v>4.7119831685935622E-12</c:v>
                </c:pt>
                <c:pt idx="72">
                  <c:v>4.7119831685935622E-12</c:v>
                </c:pt>
                <c:pt idx="73">
                  <c:v>4.7119831685935622E-12</c:v>
                </c:pt>
                <c:pt idx="74">
                  <c:v>4.7119831685935622E-12</c:v>
                </c:pt>
                <c:pt idx="75">
                  <c:v>4.7119831685935622E-12</c:v>
                </c:pt>
                <c:pt idx="76">
                  <c:v>4.7119831685935622E-12</c:v>
                </c:pt>
                <c:pt idx="77">
                  <c:v>4.7119831685935622E-12</c:v>
                </c:pt>
                <c:pt idx="78">
                  <c:v>4.7119831685935622E-12</c:v>
                </c:pt>
                <c:pt idx="79">
                  <c:v>4.7119831685935622E-12</c:v>
                </c:pt>
                <c:pt idx="80">
                  <c:v>4.7119831685935622E-12</c:v>
                </c:pt>
                <c:pt idx="81">
                  <c:v>4.7119831685935622E-12</c:v>
                </c:pt>
                <c:pt idx="82">
                  <c:v>4.7119831685935622E-12</c:v>
                </c:pt>
                <c:pt idx="83">
                  <c:v>4.7119831685935622E-12</c:v>
                </c:pt>
                <c:pt idx="84">
                  <c:v>4.7119831685935622E-12</c:v>
                </c:pt>
                <c:pt idx="85">
                  <c:v>4.7119831685935622E-12</c:v>
                </c:pt>
                <c:pt idx="86">
                  <c:v>4.7119831685935622E-12</c:v>
                </c:pt>
                <c:pt idx="87">
                  <c:v>4.7119831685935622E-12</c:v>
                </c:pt>
                <c:pt idx="88">
                  <c:v>4.7119831685935622E-12</c:v>
                </c:pt>
                <c:pt idx="89">
                  <c:v>4.7119831685935622E-12</c:v>
                </c:pt>
                <c:pt idx="90">
                  <c:v>4.7119831685935622E-12</c:v>
                </c:pt>
                <c:pt idx="91">
                  <c:v>4.7119831685935622E-12</c:v>
                </c:pt>
                <c:pt idx="92">
                  <c:v>4.7119831685935622E-12</c:v>
                </c:pt>
                <c:pt idx="93">
                  <c:v>4.7119831685935622E-12</c:v>
                </c:pt>
                <c:pt idx="94">
                  <c:v>4.7119831685935622E-12</c:v>
                </c:pt>
                <c:pt idx="95">
                  <c:v>4.7119831685935622E-12</c:v>
                </c:pt>
                <c:pt idx="96">
                  <c:v>4.7119831685935622E-12</c:v>
                </c:pt>
                <c:pt idx="97">
                  <c:v>4.7119831685935622E-12</c:v>
                </c:pt>
                <c:pt idx="98">
                  <c:v>4.7119831685935622E-12</c:v>
                </c:pt>
                <c:pt idx="99">
                  <c:v>4.7119831685935622E-12</c:v>
                </c:pt>
                <c:pt idx="100">
                  <c:v>4.7119831685935622E-12</c:v>
                </c:pt>
                <c:pt idx="101">
                  <c:v>4.7119831685935622E-12</c:v>
                </c:pt>
                <c:pt idx="102">
                  <c:v>4.7119831685935622E-12</c:v>
                </c:pt>
                <c:pt idx="103">
                  <c:v>4.7119831685935622E-12</c:v>
                </c:pt>
                <c:pt idx="104">
                  <c:v>4.7119831685935622E-12</c:v>
                </c:pt>
                <c:pt idx="105">
                  <c:v>4.7119831685935622E-12</c:v>
                </c:pt>
                <c:pt idx="106">
                  <c:v>4.7119831685935622E-12</c:v>
                </c:pt>
                <c:pt idx="107">
                  <c:v>4.7119831685935622E-12</c:v>
                </c:pt>
                <c:pt idx="108">
                  <c:v>4.7119831685935622E-12</c:v>
                </c:pt>
                <c:pt idx="109">
                  <c:v>4.7119831685935622E-12</c:v>
                </c:pt>
                <c:pt idx="110">
                  <c:v>4.7119831685935622E-12</c:v>
                </c:pt>
                <c:pt idx="111">
                  <c:v>4.7119831685935622E-12</c:v>
                </c:pt>
                <c:pt idx="112">
                  <c:v>4.7119831685935622E-12</c:v>
                </c:pt>
                <c:pt idx="113">
                  <c:v>4.7119831685935622E-12</c:v>
                </c:pt>
                <c:pt idx="114">
                  <c:v>4.7119831685935622E-12</c:v>
                </c:pt>
                <c:pt idx="115">
                  <c:v>4.7119831685935622E-12</c:v>
                </c:pt>
                <c:pt idx="116">
                  <c:v>4.7119831685935622E-12</c:v>
                </c:pt>
                <c:pt idx="117">
                  <c:v>4.7119831685935622E-12</c:v>
                </c:pt>
                <c:pt idx="118">
                  <c:v>4.7119831685935622E-12</c:v>
                </c:pt>
                <c:pt idx="119">
                  <c:v>4.7119831685935622E-12</c:v>
                </c:pt>
                <c:pt idx="120">
                  <c:v>4.7119831685935622E-12</c:v>
                </c:pt>
                <c:pt idx="121">
                  <c:v>4.7119831685935622E-12</c:v>
                </c:pt>
                <c:pt idx="122">
                  <c:v>4.7119831685935622E-12</c:v>
                </c:pt>
                <c:pt idx="123">
                  <c:v>4.7119831685935622E-12</c:v>
                </c:pt>
                <c:pt idx="124">
                  <c:v>4.7119831685935622E-12</c:v>
                </c:pt>
                <c:pt idx="125">
                  <c:v>4.7119831685935622E-12</c:v>
                </c:pt>
                <c:pt idx="126">
                  <c:v>4.7119831685935622E-12</c:v>
                </c:pt>
                <c:pt idx="127">
                  <c:v>4.7119831685935622E-12</c:v>
                </c:pt>
                <c:pt idx="128">
                  <c:v>4.7119831685935622E-12</c:v>
                </c:pt>
                <c:pt idx="129">
                  <c:v>4.7119831685935622E-12</c:v>
                </c:pt>
                <c:pt idx="130">
                  <c:v>4.7119831685935622E-12</c:v>
                </c:pt>
                <c:pt idx="131">
                  <c:v>4.7119831685935622E-12</c:v>
                </c:pt>
                <c:pt idx="132">
                  <c:v>4.7119831685935622E-12</c:v>
                </c:pt>
                <c:pt idx="133">
                  <c:v>4.7119831685935622E-12</c:v>
                </c:pt>
                <c:pt idx="134">
                  <c:v>4.7119831685935622E-12</c:v>
                </c:pt>
                <c:pt idx="135">
                  <c:v>4.7119831685935622E-12</c:v>
                </c:pt>
                <c:pt idx="136">
                  <c:v>4.7119831685935622E-12</c:v>
                </c:pt>
                <c:pt idx="137">
                  <c:v>4.7119831685935622E-12</c:v>
                </c:pt>
                <c:pt idx="138">
                  <c:v>4.7119831685935622E-12</c:v>
                </c:pt>
                <c:pt idx="139">
                  <c:v>4.7119831685935622E-12</c:v>
                </c:pt>
                <c:pt idx="140">
                  <c:v>4.7119831685935622E-12</c:v>
                </c:pt>
                <c:pt idx="141">
                  <c:v>4.7119831685935622E-12</c:v>
                </c:pt>
                <c:pt idx="142">
                  <c:v>4.7119831685935622E-12</c:v>
                </c:pt>
                <c:pt idx="143">
                  <c:v>4.7119831685935622E-12</c:v>
                </c:pt>
                <c:pt idx="144">
                  <c:v>4.7119831685935622E-12</c:v>
                </c:pt>
                <c:pt idx="145">
                  <c:v>4.7119831685935622E-12</c:v>
                </c:pt>
                <c:pt idx="146">
                  <c:v>4.7119831685935622E-12</c:v>
                </c:pt>
                <c:pt idx="147">
                  <c:v>4.7119831685935622E-12</c:v>
                </c:pt>
                <c:pt idx="148">
                  <c:v>4.7119831685935622E-12</c:v>
                </c:pt>
                <c:pt idx="149">
                  <c:v>4.7119831685935622E-12</c:v>
                </c:pt>
                <c:pt idx="150">
                  <c:v>4.7119831685935622E-12</c:v>
                </c:pt>
                <c:pt idx="151">
                  <c:v>4.7119831685935622E-12</c:v>
                </c:pt>
                <c:pt idx="152">
                  <c:v>4.7119831685935622E-12</c:v>
                </c:pt>
                <c:pt idx="153">
                  <c:v>4.7119831685935622E-12</c:v>
                </c:pt>
                <c:pt idx="154">
                  <c:v>4.7119831685935622E-12</c:v>
                </c:pt>
                <c:pt idx="155">
                  <c:v>4.7119831685935622E-12</c:v>
                </c:pt>
                <c:pt idx="156">
                  <c:v>4.7119831685935622E-12</c:v>
                </c:pt>
                <c:pt idx="157">
                  <c:v>4.7119831685935622E-12</c:v>
                </c:pt>
                <c:pt idx="158">
                  <c:v>4.7119831685935622E-12</c:v>
                </c:pt>
                <c:pt idx="159">
                  <c:v>4.7119831685935622E-12</c:v>
                </c:pt>
                <c:pt idx="160">
                  <c:v>4.7119831685935622E-12</c:v>
                </c:pt>
                <c:pt idx="161">
                  <c:v>4.7119831685935622E-12</c:v>
                </c:pt>
                <c:pt idx="162">
                  <c:v>4.7119831685935622E-12</c:v>
                </c:pt>
                <c:pt idx="163">
                  <c:v>4.7119831685935622E-12</c:v>
                </c:pt>
                <c:pt idx="164">
                  <c:v>4.7119831685935622E-12</c:v>
                </c:pt>
                <c:pt idx="165">
                  <c:v>4.7119831685935622E-12</c:v>
                </c:pt>
                <c:pt idx="166">
                  <c:v>4.7119831685935622E-12</c:v>
                </c:pt>
                <c:pt idx="167">
                  <c:v>4.7119831685935622E-12</c:v>
                </c:pt>
                <c:pt idx="168">
                  <c:v>4.7119831685935622E-12</c:v>
                </c:pt>
                <c:pt idx="169">
                  <c:v>4.7119831685935622E-12</c:v>
                </c:pt>
                <c:pt idx="170">
                  <c:v>4.7119831685935622E-12</c:v>
                </c:pt>
                <c:pt idx="171">
                  <c:v>4.7119831685935622E-12</c:v>
                </c:pt>
                <c:pt idx="172">
                  <c:v>4.7119831685935622E-12</c:v>
                </c:pt>
                <c:pt idx="173">
                  <c:v>4.7119831685935622E-12</c:v>
                </c:pt>
                <c:pt idx="174">
                  <c:v>4.7119831685935622E-12</c:v>
                </c:pt>
                <c:pt idx="175">
                  <c:v>4.7119831685935622E-12</c:v>
                </c:pt>
                <c:pt idx="176">
                  <c:v>4.7119831685935622E-12</c:v>
                </c:pt>
                <c:pt idx="177">
                  <c:v>4.7119831685935622E-12</c:v>
                </c:pt>
                <c:pt idx="178">
                  <c:v>4.7119831685935622E-12</c:v>
                </c:pt>
                <c:pt idx="179">
                  <c:v>4.7119831685935622E-12</c:v>
                </c:pt>
                <c:pt idx="180">
                  <c:v>4.7119831685935622E-12</c:v>
                </c:pt>
                <c:pt idx="181">
                  <c:v>4.7119831685935622E-12</c:v>
                </c:pt>
                <c:pt idx="182">
                  <c:v>4.7119831685935622E-12</c:v>
                </c:pt>
                <c:pt idx="183">
                  <c:v>4.7119831685935622E-12</c:v>
                </c:pt>
                <c:pt idx="184">
                  <c:v>4.7119831685935622E-12</c:v>
                </c:pt>
                <c:pt idx="185">
                  <c:v>4.7119831685935622E-12</c:v>
                </c:pt>
                <c:pt idx="186">
                  <c:v>4.7119831685935622E-12</c:v>
                </c:pt>
                <c:pt idx="187">
                  <c:v>4.7119831685935622E-12</c:v>
                </c:pt>
                <c:pt idx="188">
                  <c:v>4.7119831685935622E-12</c:v>
                </c:pt>
                <c:pt idx="189">
                  <c:v>4.7119831685935622E-12</c:v>
                </c:pt>
                <c:pt idx="190">
                  <c:v>4.7119831685935622E-12</c:v>
                </c:pt>
                <c:pt idx="191">
                  <c:v>4.7119831685935622E-12</c:v>
                </c:pt>
                <c:pt idx="192">
                  <c:v>4.7119831685935622E-12</c:v>
                </c:pt>
                <c:pt idx="193">
                  <c:v>4.7119831685935622E-12</c:v>
                </c:pt>
                <c:pt idx="194">
                  <c:v>4.7119831685935622E-12</c:v>
                </c:pt>
                <c:pt idx="195">
                  <c:v>4.7119831685935622E-12</c:v>
                </c:pt>
                <c:pt idx="196">
                  <c:v>4.7119831685935622E-12</c:v>
                </c:pt>
                <c:pt idx="197">
                  <c:v>4.7119831685935622E-12</c:v>
                </c:pt>
                <c:pt idx="198">
                  <c:v>4.7119831685935622E-12</c:v>
                </c:pt>
                <c:pt idx="199">
                  <c:v>4.7119831685935622E-12</c:v>
                </c:pt>
                <c:pt idx="200">
                  <c:v>4.7119831685935622E-12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2.0078204006093454</c:v>
                </c:pt>
                <c:pt idx="2">
                  <c:v>2.599584462434867</c:v>
                </c:pt>
                <c:pt idx="3">
                  <c:v>3.3664668410228042</c:v>
                </c:pt>
                <c:pt idx="4">
                  <c:v>4.3604872386698723</c:v>
                </c:pt>
                <c:pt idx="5">
                  <c:v>5.6491730114405536</c:v>
                </c:pt>
                <c:pt idx="6">
                  <c:v>7.3201973988275313</c:v>
                </c:pt>
                <c:pt idx="7">
                  <c:v>9.4874092176840534</c:v>
                </c:pt>
                <c:pt idx="8">
                  <c:v>12.298672614544188</c:v>
                </c:pt>
                <c:pt idx="9">
                  <c:v>15.946061713233563</c:v>
                </c:pt>
                <c:pt idx="10">
                  <c:v>20.679119397466433</c:v>
                </c:pt>
                <c:pt idx="11">
                  <c:v>26.822103589400299</c:v>
                </c:pt>
                <c:pt idx="12">
                  <c:v>34.796423290800711</c:v>
                </c:pt>
                <c:pt idx="13">
                  <c:v>46.234119941610061</c:v>
                </c:pt>
                <c:pt idx="14">
                  <c:v>57.595727469096431</c:v>
                </c:pt>
                <c:pt idx="15">
                  <c:v>68.898503230689343</c:v>
                </c:pt>
                <c:pt idx="16">
                  <c:v>80.153509810179131</c:v>
                </c:pt>
                <c:pt idx="17">
                  <c:v>82.795684713351179</c:v>
                </c:pt>
                <c:pt idx="18">
                  <c:v>95.976042454744359</c:v>
                </c:pt>
                <c:pt idx="19">
                  <c:v>109.11127889310849</c:v>
                </c:pt>
                <c:pt idx="20">
                  <c:v>122.20760219903367</c:v>
                </c:pt>
                <c:pt idx="21">
                  <c:v>118.28248521778211</c:v>
                </c:pt>
                <c:pt idx="22">
                  <c:v>132.65988081821206</c:v>
                </c:pt>
                <c:pt idx="23">
                  <c:v>146.99966348541213</c:v>
                </c:pt>
                <c:pt idx="24">
                  <c:v>161.30602268756169</c:v>
                </c:pt>
                <c:pt idx="25">
                  <c:v>149.92856259907052</c:v>
                </c:pt>
                <c:pt idx="26">
                  <c:v>164.55317012699555</c:v>
                </c:pt>
                <c:pt idx="27">
                  <c:v>179.14706633212708</c:v>
                </c:pt>
                <c:pt idx="28">
                  <c:v>193.71310674706146</c:v>
                </c:pt>
                <c:pt idx="29">
                  <c:v>179.0390690118401</c:v>
                </c:pt>
                <c:pt idx="30">
                  <c:v>194.14429388357817</c:v>
                </c:pt>
                <c:pt idx="31">
                  <c:v>209.22219955438302</c:v>
                </c:pt>
                <c:pt idx="32">
                  <c:v>224.27503265620331</c:v>
                </c:pt>
                <c:pt idx="33">
                  <c:v>239.30471336312061</c:v>
                </c:pt>
                <c:pt idx="34">
                  <c:v>254.31290079767018</c:v>
                </c:pt>
                <c:pt idx="35">
                  <c:v>218.25677877090325</c:v>
                </c:pt>
                <c:pt idx="36">
                  <c:v>231.14851118928985</c:v>
                </c:pt>
                <c:pt idx="37">
                  <c:v>244.02381613322609</c:v>
                </c:pt>
                <c:pt idx="38">
                  <c:v>256.88368281077408</c:v>
                </c:pt>
                <c:pt idx="39">
                  <c:v>269.728993242081</c:v>
                </c:pt>
                <c:pt idx="40">
                  <c:v>282.5605385349478</c:v>
                </c:pt>
                <c:pt idx="41">
                  <c:v>252.17013304454611</c:v>
                </c:pt>
                <c:pt idx="42">
                  <c:v>261.59527644833923</c:v>
                </c:pt>
                <c:pt idx="43">
                  <c:v>271.01275486164383</c:v>
                </c:pt>
                <c:pt idx="44">
                  <c:v>280.42287240988907</c:v>
                </c:pt>
                <c:pt idx="45">
                  <c:v>289.82591112395897</c:v>
                </c:pt>
                <c:pt idx="46">
                  <c:v>299.2221332257389</c:v>
                </c:pt>
                <c:pt idx="47">
                  <c:v>276.3068331591748</c:v>
                </c:pt>
                <c:pt idx="48">
                  <c:v>282.88115712017401</c:v>
                </c:pt>
                <c:pt idx="49">
                  <c:v>289.45205847098617</c:v>
                </c:pt>
                <c:pt idx="50">
                  <c:v>296.01962596813172</c:v>
                </c:pt>
                <c:pt idx="51">
                  <c:v>302.58394410348018</c:v>
                </c:pt>
                <c:pt idx="52">
                  <c:v>309.14509339930686</c:v>
                </c:pt>
                <c:pt idx="53">
                  <c:v>315.70315067697044</c:v>
                </c:pt>
                <c:pt idx="54">
                  <c:v>322.25818930207646</c:v>
                </c:pt>
                <c:pt idx="55">
                  <c:v>296.82032489091381</c:v>
                </c:pt>
                <c:pt idx="56">
                  <c:v>299.54234179499872</c:v>
                </c:pt>
                <c:pt idx="57">
                  <c:v>302.26380761935292</c:v>
                </c:pt>
                <c:pt idx="58">
                  <c:v>304.98472803598753</c:v>
                </c:pt>
                <c:pt idx="59">
                  <c:v>307.70510860725182</c:v>
                </c:pt>
                <c:pt idx="60">
                  <c:v>310.4249547889259</c:v>
                </c:pt>
                <c:pt idx="61">
                  <c:v>313.1442719332012</c:v>
                </c:pt>
                <c:pt idx="62">
                  <c:v>315.8630652915503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4" zoomScale="80" zoomScaleNormal="80" workbookViewId="0">
      <selection activeCell="E99" sqref="E99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8" t="s">
        <v>231</v>
      </c>
      <c r="B5" s="268"/>
      <c r="C5" s="24">
        <v>1.53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164</v>
      </c>
      <c r="C9" s="32">
        <v>0.32</v>
      </c>
      <c r="D9" s="33">
        <f t="shared" ref="D9:D18" si="0">C9*$C$5</f>
        <v>0.48960000000000004</v>
      </c>
      <c r="E9" s="34">
        <v>100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44</v>
      </c>
      <c r="C10" s="32">
        <v>0.44</v>
      </c>
      <c r="D10" s="33">
        <f t="shared" si="0"/>
        <v>0.67320000000000002</v>
      </c>
      <c r="E10" s="34">
        <v>45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 t="s">
        <v>36</v>
      </c>
      <c r="C11" s="32">
        <v>0.24</v>
      </c>
      <c r="D11" s="33">
        <f t="shared" si="0"/>
        <v>0.36719999999999997</v>
      </c>
      <c r="E11" s="34">
        <v>62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1</v>
      </c>
      <c r="D19" s="38">
        <f>SUM(D9:D18)</f>
        <v>1.53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Cèdre de l'Atlas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20</v>
      </c>
      <c r="B36" s="60">
        <v>158</v>
      </c>
      <c r="C36" s="60">
        <v>1</v>
      </c>
      <c r="D36" s="60">
        <v>39.5</v>
      </c>
      <c r="E36" s="51">
        <v>0.2</v>
      </c>
      <c r="F36" s="51">
        <v>0.2</v>
      </c>
      <c r="G36" s="51">
        <v>0.6</v>
      </c>
      <c r="H36" s="51"/>
      <c r="I36" s="49">
        <f>IFERROR(B36/A36,"")</f>
        <v>7.9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30</v>
      </c>
      <c r="B37" s="60">
        <v>210.5</v>
      </c>
      <c r="C37" s="60">
        <v>2</v>
      </c>
      <c r="D37" s="60">
        <v>67</v>
      </c>
      <c r="E37" s="51">
        <v>0.3</v>
      </c>
      <c r="F37" s="51">
        <v>0.4</v>
      </c>
      <c r="G37" s="51">
        <v>0.3</v>
      </c>
      <c r="H37" s="51"/>
      <c r="I37" s="53">
        <f t="shared" ref="I37:I55" si="1">IF(A37&lt;&gt;0,(B37-(B36-D36))/(A37-A36),"")</f>
        <v>9.1999999999999993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40</v>
      </c>
      <c r="B38" s="60">
        <v>243.5</v>
      </c>
      <c r="C38" s="60">
        <v>3</v>
      </c>
      <c r="D38" s="60">
        <v>70</v>
      </c>
      <c r="E38" s="51"/>
      <c r="F38" s="51"/>
      <c r="G38" s="51"/>
      <c r="H38" s="51"/>
      <c r="I38" s="53">
        <f t="shared" si="1"/>
        <v>10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50</v>
      </c>
      <c r="B39" s="60">
        <v>288.5</v>
      </c>
      <c r="C39" s="60">
        <v>4</v>
      </c>
      <c r="D39" s="60">
        <v>75</v>
      </c>
      <c r="E39" s="51"/>
      <c r="F39" s="51"/>
      <c r="G39" s="51"/>
      <c r="H39" s="51"/>
      <c r="I39" s="49">
        <f t="shared" si="1"/>
        <v>11.5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60</v>
      </c>
      <c r="B40" s="60">
        <v>348.5</v>
      </c>
      <c r="C40" s="60">
        <v>5</v>
      </c>
      <c r="D40" s="60">
        <v>80</v>
      </c>
      <c r="E40" s="51"/>
      <c r="F40" s="51"/>
      <c r="G40" s="51"/>
      <c r="H40" s="51"/>
      <c r="I40" s="49">
        <f t="shared" si="1"/>
        <v>13.5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>
        <v>70</v>
      </c>
      <c r="B41" s="60">
        <v>423.5</v>
      </c>
      <c r="C41" s="60">
        <v>6</v>
      </c>
      <c r="D41" s="60">
        <v>87</v>
      </c>
      <c r="E41" s="51"/>
      <c r="F41" s="51"/>
      <c r="G41" s="51"/>
      <c r="H41" s="51"/>
      <c r="I41" s="53">
        <f t="shared" si="1"/>
        <v>15.5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>
        <v>80</v>
      </c>
      <c r="B42" s="60">
        <v>506.5</v>
      </c>
      <c r="C42" s="60">
        <v>7</v>
      </c>
      <c r="D42" s="60">
        <v>93</v>
      </c>
      <c r="E42" s="51"/>
      <c r="F42" s="51"/>
      <c r="G42" s="51"/>
      <c r="H42" s="51"/>
      <c r="I42" s="53">
        <f t="shared" si="1"/>
        <v>17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>
        <v>90</v>
      </c>
      <c r="B43" s="60">
        <v>588.5</v>
      </c>
      <c r="C43" s="60">
        <v>8</v>
      </c>
      <c r="D43" s="60">
        <v>98</v>
      </c>
      <c r="E43" s="51"/>
      <c r="F43" s="51"/>
      <c r="G43" s="51"/>
      <c r="H43" s="51"/>
      <c r="I43" s="49">
        <f t="shared" si="1"/>
        <v>17.5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>
        <v>100</v>
      </c>
      <c r="B44" s="60">
        <v>675.5</v>
      </c>
      <c r="C44" s="60">
        <v>9</v>
      </c>
      <c r="D44" s="60">
        <v>675.5</v>
      </c>
      <c r="E44" s="51"/>
      <c r="F44" s="51"/>
      <c r="G44" s="51"/>
      <c r="H44" s="51"/>
      <c r="I44" s="49">
        <f t="shared" si="1"/>
        <v>18.5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Robinier faux-acacia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5</v>
      </c>
      <c r="B62" s="60">
        <v>28</v>
      </c>
      <c r="C62" s="60">
        <v>1</v>
      </c>
      <c r="D62" s="60">
        <v>4</v>
      </c>
      <c r="E62" s="51"/>
      <c r="F62" s="51"/>
      <c r="G62" s="51"/>
      <c r="H62" s="51">
        <v>1</v>
      </c>
      <c r="I62" s="53">
        <f>IFERROR(B62/A62,"")</f>
        <v>5.6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10</v>
      </c>
      <c r="B63" s="60">
        <v>79</v>
      </c>
      <c r="C63" s="60">
        <v>2</v>
      </c>
      <c r="D63" s="60">
        <v>21</v>
      </c>
      <c r="E63" s="51"/>
      <c r="F63" s="51"/>
      <c r="G63" s="51">
        <v>0.2</v>
      </c>
      <c r="H63" s="51">
        <v>0.8</v>
      </c>
      <c r="I63" s="49">
        <f>IF(A63&lt;&gt;0,(B63-(B62-D62))/(A63-A62),"")</f>
        <v>11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15</v>
      </c>
      <c r="B64" s="60">
        <v>113</v>
      </c>
      <c r="C64" s="60">
        <v>3</v>
      </c>
      <c r="D64" s="60">
        <v>17</v>
      </c>
      <c r="E64" s="51"/>
      <c r="F64" s="51"/>
      <c r="G64" s="51">
        <v>0.5</v>
      </c>
      <c r="H64" s="51">
        <v>0.5</v>
      </c>
      <c r="I64" s="49">
        <f>IF(A64&lt;&gt;0,(B64-(B63-D63))/(A64-A63),"")</f>
        <v>11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20</v>
      </c>
      <c r="B65" s="60">
        <v>145</v>
      </c>
      <c r="C65" s="60">
        <v>4</v>
      </c>
      <c r="D65" s="60">
        <v>14</v>
      </c>
      <c r="E65" s="51">
        <v>0.1</v>
      </c>
      <c r="F65" s="51"/>
      <c r="G65" s="51">
        <v>0.4</v>
      </c>
      <c r="H65" s="51">
        <v>0.5</v>
      </c>
      <c r="I65" s="49">
        <f>IF(A65&lt;&gt;0,(B65-(B64-D64))/(A65-A64),"")</f>
        <v>9.8000000000000007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25</v>
      </c>
      <c r="B66" s="60">
        <v>173</v>
      </c>
      <c r="C66" s="60">
        <v>5</v>
      </c>
      <c r="D66" s="60">
        <v>11</v>
      </c>
      <c r="E66" s="51">
        <v>0.3</v>
      </c>
      <c r="F66" s="51"/>
      <c r="G66" s="51">
        <v>0.3</v>
      </c>
      <c r="H66" s="51">
        <v>0.4</v>
      </c>
      <c r="I66" s="49">
        <f t="shared" ref="I66:I81" si="2">IF(A66&lt;&gt;0,(B66-(B65-D65))/(A66-A65),"")</f>
        <v>8.4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30</v>
      </c>
      <c r="B67" s="60">
        <v>196</v>
      </c>
      <c r="C67" s="60">
        <v>6</v>
      </c>
      <c r="D67" s="60">
        <v>9</v>
      </c>
      <c r="E67" s="51">
        <v>0.3</v>
      </c>
      <c r="F67" s="51"/>
      <c r="G67" s="51">
        <v>0.3</v>
      </c>
      <c r="H67" s="51">
        <v>0.4</v>
      </c>
      <c r="I67" s="49">
        <f t="shared" si="2"/>
        <v>6.8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35</v>
      </c>
      <c r="B68" s="60">
        <v>216</v>
      </c>
      <c r="C68" s="60">
        <v>7</v>
      </c>
      <c r="D68" s="60">
        <v>7</v>
      </c>
      <c r="E68" s="51"/>
      <c r="F68" s="51"/>
      <c r="G68" s="51"/>
      <c r="H68" s="51"/>
      <c r="I68" s="49">
        <f t="shared" si="2"/>
        <v>5.8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40</v>
      </c>
      <c r="B69" s="50">
        <v>233</v>
      </c>
      <c r="C69" s="50">
        <v>8</v>
      </c>
      <c r="D69" s="50">
        <v>6</v>
      </c>
      <c r="E69" s="51"/>
      <c r="F69" s="51"/>
      <c r="G69" s="51"/>
      <c r="H69" s="51"/>
      <c r="I69" s="49">
        <f t="shared" si="2"/>
        <v>4.8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>
        <v>45</v>
      </c>
      <c r="B70" s="50">
        <v>252</v>
      </c>
      <c r="C70" s="50">
        <v>9</v>
      </c>
      <c r="D70" s="50">
        <v>252</v>
      </c>
      <c r="E70" s="51"/>
      <c r="F70" s="51"/>
      <c r="G70" s="51"/>
      <c r="H70" s="51"/>
      <c r="I70" s="49">
        <f t="shared" si="2"/>
        <v>5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Pin maritime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>
        <v>12</v>
      </c>
      <c r="B88" s="60">
        <v>25</v>
      </c>
      <c r="C88" s="60">
        <v>1</v>
      </c>
      <c r="D88" s="60">
        <v>0</v>
      </c>
      <c r="E88" s="51"/>
      <c r="F88" s="51"/>
      <c r="G88" s="51"/>
      <c r="H88" s="87"/>
      <c r="I88" s="53">
        <f>IFERROR(B88/A88,"")</f>
        <v>2.0833333333333335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>
        <v>16</v>
      </c>
      <c r="B89" s="60">
        <v>59</v>
      </c>
      <c r="C89" s="60">
        <v>2</v>
      </c>
      <c r="D89" s="60">
        <v>8</v>
      </c>
      <c r="E89" s="51">
        <v>0.2</v>
      </c>
      <c r="F89" s="51">
        <v>0.2</v>
      </c>
      <c r="G89" s="51">
        <v>0.6</v>
      </c>
      <c r="H89" s="87"/>
      <c r="I89" s="53">
        <f t="shared" ref="I89:I107" si="3">IF(A89&lt;&gt;0,(B89-(B88-D88))/(A89-A88),"")</f>
        <v>8.5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>
        <v>20</v>
      </c>
      <c r="B90" s="60">
        <v>91</v>
      </c>
      <c r="C90" s="60">
        <v>3</v>
      </c>
      <c r="D90" s="60">
        <v>14</v>
      </c>
      <c r="E90" s="87">
        <v>0.3</v>
      </c>
      <c r="F90" s="87">
        <v>0.4</v>
      </c>
      <c r="G90" s="87">
        <v>0.3</v>
      </c>
      <c r="H90" s="87"/>
      <c r="I90" s="53">
        <f t="shared" si="3"/>
        <v>10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>
        <v>24</v>
      </c>
      <c r="B91" s="60">
        <v>121</v>
      </c>
      <c r="C91" s="60">
        <v>4</v>
      </c>
      <c r="D91" s="60">
        <v>20</v>
      </c>
      <c r="E91" s="87">
        <v>0.4</v>
      </c>
      <c r="F91" s="87">
        <v>0.3</v>
      </c>
      <c r="G91" s="87">
        <v>0.3</v>
      </c>
      <c r="H91" s="87"/>
      <c r="I91" s="53">
        <f t="shared" si="3"/>
        <v>11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>
        <v>28</v>
      </c>
      <c r="B92" s="60">
        <v>146</v>
      </c>
      <c r="C92" s="60">
        <v>5</v>
      </c>
      <c r="D92" s="60">
        <v>23</v>
      </c>
      <c r="E92" s="87">
        <v>0.4</v>
      </c>
      <c r="F92" s="87">
        <v>0.3</v>
      </c>
      <c r="G92" s="87">
        <v>0.3</v>
      </c>
      <c r="H92" s="87"/>
      <c r="I92" s="53">
        <f t="shared" si="3"/>
        <v>11.25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>
        <v>34</v>
      </c>
      <c r="B93" s="60">
        <v>193</v>
      </c>
      <c r="C93" s="60">
        <v>6</v>
      </c>
      <c r="D93" s="60">
        <v>38</v>
      </c>
      <c r="E93" s="87"/>
      <c r="F93" s="87"/>
      <c r="G93" s="87"/>
      <c r="H93" s="87"/>
      <c r="I93" s="53">
        <f t="shared" si="3"/>
        <v>11.666666666666666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>
        <v>40</v>
      </c>
      <c r="B94" s="60">
        <v>215</v>
      </c>
      <c r="C94" s="60">
        <v>7</v>
      </c>
      <c r="D94" s="60">
        <v>31</v>
      </c>
      <c r="E94" s="87"/>
      <c r="F94" s="87"/>
      <c r="G94" s="87"/>
      <c r="H94" s="87"/>
      <c r="I94" s="53">
        <f t="shared" si="3"/>
        <v>10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>
        <v>46</v>
      </c>
      <c r="B95" s="60">
        <v>228</v>
      </c>
      <c r="C95" s="60">
        <v>8</v>
      </c>
      <c r="D95" s="60">
        <v>23</v>
      </c>
      <c r="E95" s="87"/>
      <c r="F95" s="87"/>
      <c r="G95" s="87"/>
      <c r="H95" s="87"/>
      <c r="I95" s="53">
        <f t="shared" si="3"/>
        <v>7.333333333333333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>
        <v>54</v>
      </c>
      <c r="B96" s="60">
        <v>246</v>
      </c>
      <c r="C96" s="60">
        <v>9</v>
      </c>
      <c r="D96" s="60">
        <v>22</v>
      </c>
      <c r="E96" s="87"/>
      <c r="F96" s="87"/>
      <c r="G96" s="87"/>
      <c r="H96" s="87"/>
      <c r="I96" s="53">
        <f t="shared" si="3"/>
        <v>5.125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>
        <v>62</v>
      </c>
      <c r="B97" s="60">
        <v>241</v>
      </c>
      <c r="C97" s="60">
        <v>10</v>
      </c>
      <c r="D97" s="60">
        <v>241</v>
      </c>
      <c r="E97" s="87"/>
      <c r="F97" s="87"/>
      <c r="G97" s="87"/>
      <c r="H97" s="87"/>
      <c r="I97" s="53">
        <f t="shared" si="3"/>
        <v>2.125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C25" sqref="C25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1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Cèdre de l'Atlas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Robinier faux-acacia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Pin maritime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319.22903094674564</v>
      </c>
      <c r="T3" s="59">
        <f>IF('Données projet'!E9&gt;30,$R$33-$H$33,LOOKUP('Données projet'!$E$9,$A$3:$A$203,R3:R203)-LOOKUP('Données projet'!$E$9,$A$3:$A$203,$H$3:$H$203))</f>
        <v>254.58690973142848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302.6112905010138</v>
      </c>
      <c r="AO3" s="59">
        <f>IF('Données projet'!E10&gt;30,$AM$33-$H$33,LOOKUP('Données projet'!$E$10,$A$3:$A$203,AM3:AM203)-LOOKUP('Données projet'!$E$10,$A$3:$A$203,$H$3:$H$203))</f>
        <v>423.44006663873375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207.91763299672158</v>
      </c>
      <c r="BJ3" s="59">
        <f>IF('Données projet'!E11&gt;30,$BH$33-$H$33,LOOKUP('Données projet'!$E$11,$A$3:$A$203,BH3:BH203)-LOOKUP('Données projet'!$E$11,$A$3:$A$203,$H$3:$H$203))</f>
        <v>230.81096055024483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7.9</v>
      </c>
      <c r="N4" s="13">
        <f>IF('Données projet'!$A$36&gt;35,N3+M4-V3,IF(A4&lt;'Données projet'!$A$36,$K$205^A4,IF(A4='Données projet'!$A$36,'Données projet'!$B$36,N3+M4-V3)))</f>
        <v>1.2880503926580862</v>
      </c>
      <c r="O4" s="13">
        <f>N4*VLOOKUP('Données projet'!$B$9,Paramètres!$A$1:$I$89,3,0)*VLOOKUP('Données projet'!$B$9,Paramètres!$A$1:$I$89,5,0)</f>
        <v>0.60280758376398436</v>
      </c>
      <c r="P4" s="13">
        <f>EXP(-1.0587+0.8836*LN(O4)+0.284)</f>
        <v>0.29465781953181042</v>
      </c>
      <c r="Q4" s="20">
        <f t="shared" ref="Q4:Q34" si="2">(O4+P4)*0.475*44/12</f>
        <v>1.5630855774068424</v>
      </c>
      <c r="R4" s="59">
        <f t="shared" si="0"/>
        <v>259.45197446629572</v>
      </c>
      <c r="S4" s="59">
        <f ca="1">AVERAGE(OFFSET($R$3,0,0,'Données projet'!$E$9+1,1))-AVERAGE(OFFSET($H$3,0,0,'Données projet'!$E$9+1,1))</f>
        <v>319.22903094674564</v>
      </c>
      <c r="T4" s="59">
        <f>$T$3</f>
        <v>254.58690973142848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5.6</v>
      </c>
      <c r="AI4" s="13">
        <f>IF('Données projet'!$A$62&gt;35,AI3+AH4-AQ3,IF(A4&lt;'Données projet'!$A$62,$AF$205^A4,IF(A4='Données projet'!$A$62,'Données projet'!$B$62,AI3+AH4-AQ3)))</f>
        <v>1.9472943612303364</v>
      </c>
      <c r="AJ4" s="13">
        <f>AI4*VLOOKUP('Données projet'!$B$10,Paramètres!$A$1:$I$89,3,0)*VLOOKUP('Données projet'!$B$10,Paramètres!$A$1:$I$89,5,0)</f>
        <v>1.7619119380412083</v>
      </c>
      <c r="AK4" s="13">
        <f>EXP(-1.0587+0.8836*LN(AJ4)+0.284)</f>
        <v>0.76015770586189668</v>
      </c>
      <c r="AL4" s="20">
        <f t="shared" ref="AL4:AL67" si="4">(AJ4+AK4)*0.475*44/12</f>
        <v>4.3926046297979076</v>
      </c>
      <c r="AM4" s="59">
        <f t="shared" ref="AM4:AM67" si="5">AL4+(AD4+AE4)*44/12</f>
        <v>262.28149351868677</v>
      </c>
      <c r="AN4" s="59">
        <f ca="1">AVERAGE(OFFSET($AM$3,0,0,'Données projet'!$E$10+1,1))-AVERAGE(OFFSET($H$3,0,0,'Données projet'!$E$10+1,1))</f>
        <v>302.6112905010138</v>
      </c>
      <c r="AO4" s="59">
        <f>$AO$3</f>
        <v>423.44006663873375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2.0833333333333335</v>
      </c>
      <c r="BD4" s="12">
        <f>IF('Données projet'!$A$88&gt;35,BD3+BC4-BL3,IF(A4&lt;'Données projet'!$A$88,$BA$205^A4,IF(A4='Données projet'!$A$88,'Données projet'!$B$88,BD3+BC4-BL3)))</f>
        <v>1.3076604860118306</v>
      </c>
      <c r="BE4" s="13">
        <f>BD4*VLOOKUP('Données projet'!$B$11,Paramètres!$A$1:$I$89,3,0)*VLOOKUP('Données projet'!$B$11,Paramètres!$A$1:$I$89,5,0)</f>
        <v>0.78198097063507477</v>
      </c>
      <c r="BF4" s="13">
        <f>EXP(-1.0587+0.8836*LN(BE4)+0.284)</f>
        <v>0.37083457038464518</v>
      </c>
      <c r="BG4" s="20">
        <f t="shared" ref="BG4:BG67" si="7">(BE4+BF4)*0.475*44/12</f>
        <v>2.0078204006093454</v>
      </c>
      <c r="BH4" s="59">
        <f t="shared" ref="BH4:BH67" si="8">BG4+(AY4+AZ4)*44/12</f>
        <v>259.89670928949818</v>
      </c>
      <c r="BI4" s="59">
        <f ca="1">AVERAGE(OFFSET($BH$3,0,0,'Données projet'!$E$11+1,1))-AVERAGE(OFFSET($H$3,0,0,'Données projet'!$E$11+1,1))</f>
        <v>207.91763299672158</v>
      </c>
      <c r="BJ4" s="59">
        <f>$BJ$3</f>
        <v>230.81096055024483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7.9</v>
      </c>
      <c r="N5" s="13">
        <f>IF('Données projet'!$A$36&gt;35,N4+M5-V4,IF(A5&lt;'Données projet'!$A$36,$K$205^A5,IF(A5='Données projet'!$A$36,'Données projet'!$B$36,N4+M5-V4)))</f>
        <v>1.6590738140266501</v>
      </c>
      <c r="O5" s="13">
        <f>N5*VLOOKUP('Données projet'!$B$9,Paramètres!$A$1:$I$89,3,0)*VLOOKUP('Données projet'!$B$9,Paramètres!$A$1:$I$89,5,0)</f>
        <v>0.77644654496447219</v>
      </c>
      <c r="P5" s="13">
        <f t="shared" ref="P5:P68" si="33">EXP(-1.0587+0.8836*LN(O5)+0.284)</f>
        <v>0.36851455096495994</v>
      </c>
      <c r="Q5" s="20">
        <f t="shared" si="2"/>
        <v>1.9941405754104276</v>
      </c>
      <c r="R5" s="59">
        <f t="shared" si="0"/>
        <v>261.10525168652157</v>
      </c>
      <c r="S5" s="59">
        <f ca="1">AVERAGE(OFFSET($R$3,0,0,'Données projet'!$E$9+1,1))-AVERAGE(OFFSET($H$3,0,0,'Données projet'!$E$9+1,1))</f>
        <v>319.22903094674564</v>
      </c>
      <c r="T5" s="59">
        <f t="shared" ref="T5:T68" si="34">$T$3</f>
        <v>254.58690973142848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5.6</v>
      </c>
      <c r="AI5" s="13">
        <f>IF('Données projet'!$A$62&gt;35,AI4+AH5-AQ4,IF(A5&lt;'Données projet'!$A$62,$AF$205^A5,IF(A5='Données projet'!$A$62,'Données projet'!$B$62,AI4+AH5-AQ4)))</f>
        <v>3.7919553292794639</v>
      </c>
      <c r="AJ5" s="13">
        <f>AI5*VLOOKUP('Données projet'!$B$10,Paramètres!$A$1:$I$89,3,0)*VLOOKUP('Données projet'!$B$10,Paramètres!$A$1:$I$89,5,0)</f>
        <v>3.4309611819320587</v>
      </c>
      <c r="AK5" s="13">
        <f t="shared" ref="AK5:AK68" si="35">EXP(-1.0587+0.8836*LN(AJ5)+0.284)</f>
        <v>1.3697631223860498</v>
      </c>
      <c r="AL5" s="20">
        <f t="shared" si="4"/>
        <v>8.3612614966873711</v>
      </c>
      <c r="AM5" s="59">
        <f t="shared" si="5"/>
        <v>267.47237260779849</v>
      </c>
      <c r="AN5" s="59">
        <f ca="1">AVERAGE(OFFSET($AM$3,0,0,'Données projet'!$E$10+1,1))-AVERAGE(OFFSET($H$3,0,0,'Données projet'!$E$10+1,1))</f>
        <v>302.6112905010138</v>
      </c>
      <c r="AO5" s="59">
        <f t="shared" ref="AO5:AO68" si="36">$AO$3</f>
        <v>423.44006663873375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2.0833333333333335</v>
      </c>
      <c r="BD5" s="12">
        <f>IF('Données projet'!$A$88&gt;35,BD4+BC5-BL4,IF(A5&lt;'Données projet'!$A$88,$BA$205^A5,IF(A5='Données projet'!$A$88,'Données projet'!$B$88,BD4+BC5-BL4)))</f>
        <v>1.7099759466766971</v>
      </c>
      <c r="BE5" s="13">
        <f>BD5*VLOOKUP('Données projet'!$B$11,Paramètres!$A$1:$I$89,3,0)*VLOOKUP('Données projet'!$B$11,Paramètres!$A$1:$I$89,5,0)</f>
        <v>1.0225656161126651</v>
      </c>
      <c r="BF5" s="13">
        <f t="shared" ref="BF5:BF68" si="37">EXP(-1.0587+0.8836*LN(BE5)+0.284)</f>
        <v>0.47001876423271316</v>
      </c>
      <c r="BG5" s="20">
        <f t="shared" si="7"/>
        <v>2.599584462434867</v>
      </c>
      <c r="BH5" s="59">
        <f t="shared" si="8"/>
        <v>261.71069557354599</v>
      </c>
      <c r="BI5" s="59">
        <f ca="1">AVERAGE(OFFSET($BH$3,0,0,'Données projet'!$E$11+1,1))-AVERAGE(OFFSET($H$3,0,0,'Données projet'!$E$11+1,1))</f>
        <v>207.91763299672158</v>
      </c>
      <c r="BJ5" s="59">
        <f t="shared" ref="BJ5:BJ68" si="38">$BJ$3</f>
        <v>230.81096055024483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7.9</v>
      </c>
      <c r="N6" s="13">
        <f>IF('Données projet'!$A$36&gt;35,N5+M6-V5,IF(A6&lt;'Données projet'!$A$36,$K$205^A6,IF(A6='Données projet'!$A$36,'Données projet'!$B$36,N5+M6-V5)))</f>
        <v>2.1369706776057753</v>
      </c>
      <c r="O6" s="13">
        <f>N6*VLOOKUP('Données projet'!$B$9,Paramètres!$A$1:$I$89,3,0)*VLOOKUP('Données projet'!$B$9,Paramètres!$A$1:$I$89,5,0)</f>
        <v>1.0001022771195029</v>
      </c>
      <c r="P6" s="13">
        <f t="shared" si="33"/>
        <v>0.46088365986243646</v>
      </c>
      <c r="Q6" s="20">
        <f t="shared" si="2"/>
        <v>2.5445505069102112</v>
      </c>
      <c r="R6" s="59">
        <f t="shared" si="0"/>
        <v>262.8778838402435</v>
      </c>
      <c r="S6" s="59">
        <f ca="1">AVERAGE(OFFSET($R$3,0,0,'Données projet'!$E$9+1,1))-AVERAGE(OFFSET($H$3,0,0,'Données projet'!$E$9+1,1))</f>
        <v>319.22903094674564</v>
      </c>
      <c r="T6" s="59">
        <f t="shared" si="34"/>
        <v>254.58690973142848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5.6</v>
      </c>
      <c r="AI6" s="13">
        <f>IF('Données projet'!$A$62&gt;35,AI5+AH6-AQ5,IF(A6&lt;'Données projet'!$A$62,$AF$205^A6,IF(A6='Données projet'!$A$62,'Données projet'!$B$62,AI5+AH6-AQ5)))</f>
        <v>7.3840532307432234</v>
      </c>
      <c r="AJ6" s="13">
        <f>AI6*VLOOKUP('Données projet'!$B$10,Paramètres!$A$1:$I$89,3,0)*VLOOKUP('Données projet'!$B$10,Paramètres!$A$1:$I$89,5,0)</f>
        <v>6.6810913631764679</v>
      </c>
      <c r="AK6" s="13">
        <f t="shared" si="35"/>
        <v>2.4682391521919964</v>
      </c>
      <c r="AL6" s="20">
        <f t="shared" si="4"/>
        <v>15.935083980933408</v>
      </c>
      <c r="AM6" s="59">
        <f t="shared" si="5"/>
        <v>276.26841731426674</v>
      </c>
      <c r="AN6" s="59">
        <f ca="1">AVERAGE(OFFSET($AM$3,0,0,'Données projet'!$E$10+1,1))-AVERAGE(OFFSET($H$3,0,0,'Données projet'!$E$10+1,1))</f>
        <v>302.6112905010138</v>
      </c>
      <c r="AO6" s="59">
        <f t="shared" si="36"/>
        <v>423.44006663873375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2.0833333333333335</v>
      </c>
      <c r="BD6" s="12">
        <f>IF('Données projet'!$A$88&gt;35,BD5+BC6-BL5,IF(A6&lt;'Données projet'!$A$88,$BA$205^A6,IF(A6='Données projet'!$A$88,'Données projet'!$B$88,BD5+BC6-BL5)))</f>
        <v>2.2360679774997898</v>
      </c>
      <c r="BE6" s="13">
        <f>BD6*VLOOKUP('Données projet'!$B$11,Paramètres!$A$1:$I$89,3,0)*VLOOKUP('Données projet'!$B$11,Paramètres!$A$1:$I$89,5,0)</f>
        <v>1.3371686505448743</v>
      </c>
      <c r="BF6" s="13">
        <f t="shared" si="37"/>
        <v>0.59573097109501338</v>
      </c>
      <c r="BG6" s="20">
        <f t="shared" si="7"/>
        <v>3.3664668410228042</v>
      </c>
      <c r="BH6" s="59">
        <f t="shared" si="8"/>
        <v>263.69980017435614</v>
      </c>
      <c r="BI6" s="59">
        <f ca="1">AVERAGE(OFFSET($BH$3,0,0,'Données projet'!$E$11+1,1))-AVERAGE(OFFSET($H$3,0,0,'Données projet'!$E$11+1,1))</f>
        <v>207.91763299672158</v>
      </c>
      <c r="BJ6" s="59">
        <f t="shared" si="38"/>
        <v>230.81096055024483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7.9</v>
      </c>
      <c r="N7" s="13">
        <f>IF('Données projet'!$A$36&gt;35,N6+M7-V6,IF(A7&lt;'Données projet'!$A$36,$K$205^A7,IF(A7='Données projet'!$A$36,'Données projet'!$B$36,N6+M7-V6)))</f>
        <v>2.7525259203889356</v>
      </c>
      <c r="O7" s="13">
        <f>N7*VLOOKUP('Données projet'!$B$9,Paramètres!$A$1:$I$89,3,0)*VLOOKUP('Données projet'!$B$9,Paramètres!$A$1:$I$89,5,0)</f>
        <v>1.2881821307420218</v>
      </c>
      <c r="P7" s="13">
        <f t="shared" si="33"/>
        <v>0.57640532069082717</v>
      </c>
      <c r="Q7" s="20">
        <f t="shared" si="2"/>
        <v>3.2474898112455457</v>
      </c>
      <c r="R7" s="59">
        <f t="shared" si="0"/>
        <v>264.80304536680109</v>
      </c>
      <c r="S7" s="59">
        <f ca="1">AVERAGE(OFFSET($R$3,0,0,'Données projet'!$E$9+1,1))-AVERAGE(OFFSET($H$3,0,0,'Données projet'!$E$9+1,1))</f>
        <v>319.22903094674564</v>
      </c>
      <c r="T7" s="59">
        <f t="shared" si="34"/>
        <v>254.58690973142848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5.6</v>
      </c>
      <c r="AI7" s="13">
        <f>IF('Données projet'!$A$62&gt;35,AI6+AH7-AQ6,IF(A7&lt;'Données projet'!$A$62,$AF$205^A7,IF(A7='Données projet'!$A$62,'Données projet'!$B$62,AI6+AH7-AQ6)))</f>
        <v>14.378925219250927</v>
      </c>
      <c r="AJ7" s="13">
        <f>AI7*VLOOKUP('Données projet'!$B$10,Paramètres!$A$1:$I$89,3,0)*VLOOKUP('Données projet'!$B$10,Paramètres!$A$1:$I$89,5,0)</f>
        <v>13.010051538378239</v>
      </c>
      <c r="AK7" s="13">
        <f t="shared" si="35"/>
        <v>4.4476336184326453</v>
      </c>
      <c r="AL7" s="20">
        <f t="shared" si="4"/>
        <v>30.405468314778947</v>
      </c>
      <c r="AM7" s="59">
        <f t="shared" si="5"/>
        <v>291.96102387033449</v>
      </c>
      <c r="AN7" s="59">
        <f ca="1">AVERAGE(OFFSET($AM$3,0,0,'Données projet'!$E$10+1,1))-AVERAGE(OFFSET($H$3,0,0,'Données projet'!$E$10+1,1))</f>
        <v>302.6112905010138</v>
      </c>
      <c r="AO7" s="59">
        <f t="shared" si="36"/>
        <v>423.44006663873375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2.0833333333333335</v>
      </c>
      <c r="BD7" s="12">
        <f>IF('Données projet'!$A$88&gt;35,BD6+BC7-BL6,IF(A7&lt;'Données projet'!$A$88,$BA$205^A7,IF(A7='Données projet'!$A$88,'Données projet'!$B$88,BD6+BC7-BL6)))</f>
        <v>2.9240177382128665</v>
      </c>
      <c r="BE7" s="13">
        <f>BD7*VLOOKUP('Données projet'!$B$11,Paramètres!$A$1:$I$89,3,0)*VLOOKUP('Données projet'!$B$11,Paramètres!$A$1:$I$89,5,0)</f>
        <v>1.7485626074512943</v>
      </c>
      <c r="BF7" s="13">
        <f t="shared" si="37"/>
        <v>0.75506642910557031</v>
      </c>
      <c r="BG7" s="20">
        <f t="shared" si="7"/>
        <v>4.3604872386698723</v>
      </c>
      <c r="BH7" s="59">
        <f t="shared" si="8"/>
        <v>265.9160427942254</v>
      </c>
      <c r="BI7" s="59">
        <f ca="1">AVERAGE(OFFSET($BH$3,0,0,'Données projet'!$E$11+1,1))-AVERAGE(OFFSET($H$3,0,0,'Données projet'!$E$11+1,1))</f>
        <v>207.91763299672158</v>
      </c>
      <c r="BJ7" s="59">
        <f t="shared" si="38"/>
        <v>230.81096055024483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7.9</v>
      </c>
      <c r="N8" s="13">
        <f>IF('Données projet'!$A$36&gt;35,N7+M8-V7,IF(A8&lt;'Données projet'!$A$36,$K$205^A8,IF(A8='Données projet'!$A$36,'Données projet'!$B$36,N7+M8-V7)))</f>
        <v>3.5453920925585285</v>
      </c>
      <c r="O8" s="13">
        <f>N8*VLOOKUP('Données projet'!$B$9,Paramètres!$A$1:$I$89,3,0)*VLOOKUP('Données projet'!$B$9,Paramètres!$A$1:$I$89,5,0)</f>
        <v>1.6592434993173915</v>
      </c>
      <c r="P8" s="13">
        <f t="shared" si="33"/>
        <v>0.72088277944126433</v>
      </c>
      <c r="Q8" s="20">
        <f t="shared" si="2"/>
        <v>4.1453866021713255</v>
      </c>
      <c r="R8" s="59">
        <f t="shared" si="0"/>
        <v>266.92316437994907</v>
      </c>
      <c r="S8" s="59">
        <f ca="1">AVERAGE(OFFSET($R$3,0,0,'Données projet'!$E$9+1,1))-AVERAGE(OFFSET($H$3,0,0,'Données projet'!$E$9+1,1))</f>
        <v>319.22903094674564</v>
      </c>
      <c r="T8" s="59">
        <f t="shared" si="34"/>
        <v>254.58690973142848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>
        <f>VLOOKUP(A8,'Données projet'!$A$61:$I$81,2,0)</f>
        <v>28</v>
      </c>
      <c r="AG8" s="12">
        <f>VLOOKUP(A8,'Données projet'!$A$61:$I$81,9,0)</f>
        <v>5.6</v>
      </c>
      <c r="AH8" s="12">
        <f t="array" ref="AH8">INDEX(AG:AG,MIN(IF(ISNUMBER(AG8:AG204),ROW(AG8:AG204),"")))</f>
        <v>5.6</v>
      </c>
      <c r="AI8" s="13">
        <f>IF('Données projet'!$A$62&gt;35,AI7+AH8-AQ7,IF(A8&lt;'Données projet'!$A$62,$AF$205^A8,IF(A8='Données projet'!$A$62,'Données projet'!$B$62,AI7+AH8-AQ7)))</f>
        <v>28</v>
      </c>
      <c r="AJ8" s="13">
        <f>AI8*VLOOKUP('Données projet'!$B$10,Paramètres!$A$1:$I$89,3,0)*VLOOKUP('Données projet'!$B$10,Paramètres!$A$1:$I$89,5,0)</f>
        <v>25.334399999999999</v>
      </c>
      <c r="AK8" s="13">
        <f t="shared" si="35"/>
        <v>8.0143955200794572</v>
      </c>
      <c r="AL8" s="20">
        <f t="shared" si="4"/>
        <v>58.082485530805052</v>
      </c>
      <c r="AM8" s="59">
        <f t="shared" si="5"/>
        <v>320.86026330858283</v>
      </c>
      <c r="AN8" s="59">
        <f ca="1">AVERAGE(OFFSET($AM$3,0,0,'Données projet'!$E$10+1,1))-AVERAGE(OFFSET($H$3,0,0,'Données projet'!$E$10+1,1))</f>
        <v>302.6112905010138</v>
      </c>
      <c r="AO8" s="59">
        <f t="shared" si="36"/>
        <v>423.44006663873375</v>
      </c>
      <c r="AP8" s="15">
        <f>IF(ISNA(VLOOKUP(A8,'Données projet'!$A$61:$I$81,3,0)),0,VLOOKUP(A8,'Données projet'!$A$61:$I$81,3,0))</f>
        <v>1</v>
      </c>
      <c r="AQ8" s="15">
        <f>IF(ISNA(VLOOKUP(A8,'Données projet'!$A$61:$I$81,4,0)),0,VLOOKUP(A8,'Données projet'!$A$61:$I$81,4,0))</f>
        <v>4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2.0833333333333335</v>
      </c>
      <c r="BD8" s="12">
        <f>IF('Données projet'!$A$88&gt;35,BD7+BC8-BL7,IF(A8&lt;'Données projet'!$A$88,$BA$205^A8,IF(A8='Données projet'!$A$88,'Données projet'!$B$88,BD7+BC8-BL7)))</f>
        <v>3.8236224566586507</v>
      </c>
      <c r="BE8" s="13">
        <f>BD8*VLOOKUP('Données projet'!$B$11,Paramètres!$A$1:$I$89,3,0)*VLOOKUP('Données projet'!$B$11,Paramètres!$A$1:$I$89,5,0)</f>
        <v>2.2865262290818733</v>
      </c>
      <c r="BF8" s="13">
        <f t="shared" si="37"/>
        <v>0.95701808370696195</v>
      </c>
      <c r="BG8" s="20">
        <f t="shared" si="7"/>
        <v>5.6491730114405536</v>
      </c>
      <c r="BH8" s="59">
        <f t="shared" si="8"/>
        <v>268.42695078921832</v>
      </c>
      <c r="BI8" s="59">
        <f ca="1">AVERAGE(OFFSET($BH$3,0,0,'Données projet'!$E$11+1,1))-AVERAGE(OFFSET($H$3,0,0,'Données projet'!$E$11+1,1))</f>
        <v>207.91763299672158</v>
      </c>
      <c r="BJ8" s="59">
        <f t="shared" si="38"/>
        <v>230.81096055024483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7.9</v>
      </c>
      <c r="N9" s="13">
        <f>IF('Données projet'!$A$36&gt;35,N8+M9-V8,IF(A9&lt;'Données projet'!$A$36,$K$205^A9,IF(A9='Données projet'!$A$36,'Données projet'!$B$36,N8+M9-V8)))</f>
        <v>4.566643676946887</v>
      </c>
      <c r="O9" s="13">
        <f>N9*VLOOKUP('Données projet'!$B$9,Paramètres!$A$1:$I$89,3,0)*VLOOKUP('Données projet'!$B$9,Paramètres!$A$1:$I$89,5,0)</f>
        <v>2.1371892408111433</v>
      </c>
      <c r="P9" s="13">
        <f t="shared" si="33"/>
        <v>0.9015738804633705</v>
      </c>
      <c r="Q9" s="20">
        <f t="shared" si="2"/>
        <v>5.292512436219778</v>
      </c>
      <c r="R9" s="59">
        <f t="shared" si="0"/>
        <v>269.29251243621979</v>
      </c>
      <c r="S9" s="59">
        <f ca="1">AVERAGE(OFFSET($R$3,0,0,'Données projet'!$E$9+1,1))-AVERAGE(OFFSET($H$3,0,0,'Données projet'!$E$9+1,1))</f>
        <v>319.22903094674564</v>
      </c>
      <c r="T9" s="59">
        <f t="shared" si="34"/>
        <v>254.58690973142848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11</v>
      </c>
      <c r="AI9" s="13">
        <f>IF('Données projet'!$A$62&gt;35,AI8+AH9-AQ8,IF(A9&lt;'Données projet'!$A$62,$AF$205^A9,IF(A9='Données projet'!$A$62,'Données projet'!$B$62,AI8+AH9-AQ8)))</f>
        <v>35</v>
      </c>
      <c r="AJ9" s="13">
        <f>AI9*VLOOKUP('Données projet'!$B$10,Paramètres!$A$1:$I$89,3,0)*VLOOKUP('Données projet'!$B$10,Paramètres!$A$1:$I$89,5,0)</f>
        <v>31.667999999999996</v>
      </c>
      <c r="AK9" s="13">
        <f t="shared" si="35"/>
        <v>9.7611381424130652</v>
      </c>
      <c r="AL9" s="20">
        <f t="shared" si="4"/>
        <v>72.155748931369416</v>
      </c>
      <c r="AM9" s="59">
        <f t="shared" si="5"/>
        <v>336.15574893136943</v>
      </c>
      <c r="AN9" s="59">
        <f ca="1">AVERAGE(OFFSET($AM$3,0,0,'Données projet'!$E$10+1,1))-AVERAGE(OFFSET($H$3,0,0,'Données projet'!$E$10+1,1))</f>
        <v>302.6112905010138</v>
      </c>
      <c r="AO9" s="59">
        <f t="shared" si="36"/>
        <v>423.44006663873375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2.0833333333333335</v>
      </c>
      <c r="BD9" s="12">
        <f>IF('Données projet'!$A$88&gt;35,BD8+BC9-BL8,IF(A9&lt;'Données projet'!$A$88,$BA$205^A9,IF(A9='Données projet'!$A$88,'Données projet'!$B$88,BD8+BC9-BL8)))</f>
        <v>5.0000000000000009</v>
      </c>
      <c r="BE9" s="13">
        <f>BD9*VLOOKUP('Données projet'!$B$11,Paramètres!$A$1:$I$89,3,0)*VLOOKUP('Données projet'!$B$11,Paramètres!$A$1:$I$89,5,0)</f>
        <v>2.9900000000000011</v>
      </c>
      <c r="BF9" s="13">
        <f t="shared" si="37"/>
        <v>1.212984152436859</v>
      </c>
      <c r="BG9" s="20">
        <f t="shared" si="7"/>
        <v>7.3201973988275313</v>
      </c>
      <c r="BH9" s="59">
        <f t="shared" si="8"/>
        <v>271.32019739882753</v>
      </c>
      <c r="BI9" s="59">
        <f ca="1">AVERAGE(OFFSET($BH$3,0,0,'Données projet'!$E$11+1,1))-AVERAGE(OFFSET($H$3,0,0,'Données projet'!$E$11+1,1))</f>
        <v>207.91763299672158</v>
      </c>
      <c r="BJ9" s="59">
        <f t="shared" si="38"/>
        <v>230.81096055024483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7.9</v>
      </c>
      <c r="N10" s="13">
        <f>IF('Données projet'!$A$36&gt;35,N9+M10-V9,IF(A10&lt;'Données projet'!$A$36,$K$205^A10,IF(A10='Données projet'!$A$36,'Données projet'!$B$36,N9+M10-V9)))</f>
        <v>5.8820671812210037</v>
      </c>
      <c r="O10" s="13">
        <f>N10*VLOOKUP('Données projet'!$B$9,Paramètres!$A$1:$I$89,3,0)*VLOOKUP('Données projet'!$B$9,Paramètres!$A$1:$I$89,5,0)</f>
        <v>2.7528074408114294</v>
      </c>
      <c r="P10" s="13">
        <f t="shared" si="33"/>
        <v>1.1275556652411438</v>
      </c>
      <c r="Q10" s="20">
        <f t="shared" si="2"/>
        <v>6.7582990763748976</v>
      </c>
      <c r="R10" s="59">
        <f t="shared" si="0"/>
        <v>271.98052129859713</v>
      </c>
      <c r="S10" s="59">
        <f ca="1">AVERAGE(OFFSET($R$3,0,0,'Données projet'!$E$9+1,1))-AVERAGE(OFFSET($H$3,0,0,'Données projet'!$E$9+1,1))</f>
        <v>319.22903094674564</v>
      </c>
      <c r="T10" s="59">
        <f t="shared" si="34"/>
        <v>254.58690973142848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11</v>
      </c>
      <c r="AI10" s="13">
        <f>IF('Données projet'!$A$62&gt;35,AI9+AH10-AQ9,IF(A10&lt;'Données projet'!$A$62,$AF$205^A10,IF(A10='Données projet'!$A$62,'Données projet'!$B$62,AI9+AH10-AQ9)))</f>
        <v>46</v>
      </c>
      <c r="AJ10" s="13">
        <f>AI10*VLOOKUP('Données projet'!$B$10,Paramètres!$A$1:$I$89,3,0)*VLOOKUP('Données projet'!$B$10,Paramètres!$A$1:$I$89,5,0)</f>
        <v>41.620800000000003</v>
      </c>
      <c r="AK10" s="13">
        <f t="shared" si="35"/>
        <v>12.427241987862391</v>
      </c>
      <c r="AL10" s="20">
        <f t="shared" si="4"/>
        <v>94.133673128860323</v>
      </c>
      <c r="AM10" s="59">
        <f t="shared" si="5"/>
        <v>359.35589535108255</v>
      </c>
      <c r="AN10" s="59">
        <f ca="1">AVERAGE(OFFSET($AM$3,0,0,'Données projet'!$E$10+1,1))-AVERAGE(OFFSET($H$3,0,0,'Données projet'!$E$10+1,1))</f>
        <v>302.6112905010138</v>
      </c>
      <c r="AO10" s="59">
        <f t="shared" si="36"/>
        <v>423.44006663873375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2.0833333333333335</v>
      </c>
      <c r="BD10" s="12">
        <f>IF('Données projet'!$A$88&gt;35,BD9+BC10-BL9,IF(A10&lt;'Données projet'!$A$88,$BA$205^A10,IF(A10='Données projet'!$A$88,'Données projet'!$B$88,BD9+BC10-BL9)))</f>
        <v>6.5383024300591543</v>
      </c>
      <c r="BE10" s="13">
        <f>BD10*VLOOKUP('Données projet'!$B$11,Paramètres!$A$1:$I$89,3,0)*VLOOKUP('Données projet'!$B$11,Paramètres!$A$1:$I$89,5,0)</f>
        <v>3.9099048531753748</v>
      </c>
      <c r="BF10" s="13">
        <f t="shared" si="37"/>
        <v>1.5374114440594884</v>
      </c>
      <c r="BG10" s="20">
        <f t="shared" si="7"/>
        <v>9.4874092176840534</v>
      </c>
      <c r="BH10" s="59">
        <f t="shared" si="8"/>
        <v>274.70963143990627</v>
      </c>
      <c r="BI10" s="59">
        <f ca="1">AVERAGE(OFFSET($BH$3,0,0,'Données projet'!$E$11+1,1))-AVERAGE(OFFSET($H$3,0,0,'Données projet'!$E$11+1,1))</f>
        <v>207.91763299672158</v>
      </c>
      <c r="BJ10" s="59">
        <f t="shared" si="38"/>
        <v>230.81096055024483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7.9</v>
      </c>
      <c r="N11" s="13">
        <f>IF('Données projet'!$A$36&gt;35,N10+M11-V10,IF(A11&lt;'Données projet'!$A$36,$K$205^A11,IF(A11='Données projet'!$A$36,'Données projet'!$B$36,N10+M11-V10)))</f>
        <v>7.5763989424129567</v>
      </c>
      <c r="O11" s="13">
        <f>N11*VLOOKUP('Données projet'!$B$9,Paramètres!$A$1:$I$89,3,0)*VLOOKUP('Données projet'!$B$9,Paramètres!$A$1:$I$89,5,0)</f>
        <v>3.5457547050492639</v>
      </c>
      <c r="P11" s="13">
        <f t="shared" si="33"/>
        <v>1.4101803587787649</v>
      </c>
      <c r="Q11" s="20">
        <f t="shared" si="2"/>
        <v>8.631586902833817</v>
      </c>
      <c r="R11" s="59">
        <f t="shared" si="0"/>
        <v>275.07603134727827</v>
      </c>
      <c r="S11" s="59">
        <f ca="1">AVERAGE(OFFSET($R$3,0,0,'Données projet'!$E$9+1,1))-AVERAGE(OFFSET($H$3,0,0,'Données projet'!$E$9+1,1))</f>
        <v>319.22903094674564</v>
      </c>
      <c r="T11" s="59">
        <f t="shared" si="34"/>
        <v>254.58690973142848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11</v>
      </c>
      <c r="AI11" s="13">
        <f>IF('Données projet'!$A$62&gt;35,AI10+AH11-AQ10,IF(A11&lt;'Données projet'!$A$62,$AF$205^A11,IF(A11='Données projet'!$A$62,'Données projet'!$B$62,AI10+AH11-AQ10)))</f>
        <v>57</v>
      </c>
      <c r="AJ11" s="13">
        <f>AI11*VLOOKUP('Données projet'!$B$10,Paramètres!$A$1:$I$89,3,0)*VLOOKUP('Données projet'!$B$10,Paramètres!$A$1:$I$89,5,0)</f>
        <v>51.573599999999992</v>
      </c>
      <c r="AK11" s="13">
        <f t="shared" si="35"/>
        <v>15.019412930275323</v>
      </c>
      <c r="AL11" s="20">
        <f t="shared" si="4"/>
        <v>115.98283085356282</v>
      </c>
      <c r="AM11" s="59">
        <f t="shared" si="5"/>
        <v>382.42727529800726</v>
      </c>
      <c r="AN11" s="59">
        <f ca="1">AVERAGE(OFFSET($AM$3,0,0,'Données projet'!$E$10+1,1))-AVERAGE(OFFSET($H$3,0,0,'Données projet'!$E$10+1,1))</f>
        <v>302.6112905010138</v>
      </c>
      <c r="AO11" s="59">
        <f t="shared" si="36"/>
        <v>423.44006663873375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2.0833333333333335</v>
      </c>
      <c r="BD11" s="12">
        <f>IF('Données projet'!$A$88&gt;35,BD10+BC11-BL10,IF(A11&lt;'Données projet'!$A$88,$BA$205^A11,IF(A11='Données projet'!$A$88,'Données projet'!$B$88,BD10+BC11-BL10)))</f>
        <v>8.5498797333834879</v>
      </c>
      <c r="BE11" s="13">
        <f>BD11*VLOOKUP('Données projet'!$B$11,Paramètres!$A$1:$I$89,3,0)*VLOOKUP('Données projet'!$B$11,Paramètres!$A$1:$I$89,5,0)</f>
        <v>5.1128280805633262</v>
      </c>
      <c r="BF11" s="13">
        <f t="shared" si="37"/>
        <v>1.9486107411845339</v>
      </c>
      <c r="BG11" s="20">
        <f t="shared" si="7"/>
        <v>12.298672614544188</v>
      </c>
      <c r="BH11" s="59">
        <f t="shared" si="8"/>
        <v>278.74311705898867</v>
      </c>
      <c r="BI11" s="59">
        <f ca="1">AVERAGE(OFFSET($BH$3,0,0,'Données projet'!$E$11+1,1))-AVERAGE(OFFSET($H$3,0,0,'Données projet'!$E$11+1,1))</f>
        <v>207.91763299672158</v>
      </c>
      <c r="BJ11" s="59">
        <f t="shared" si="38"/>
        <v>230.81096055024483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7.9</v>
      </c>
      <c r="N12" s="13">
        <f>IF('Données projet'!$A$36&gt;35,N11+M12-V11,IF(A12&lt;'Données projet'!$A$36,$K$205^A12,IF(A12='Données projet'!$A$36,'Données projet'!$B$36,N11+M12-V11)))</f>
        <v>9.7587836327093171</v>
      </c>
      <c r="O12" s="13">
        <f>N12*VLOOKUP('Données projet'!$B$9,Paramètres!$A$1:$I$89,3,0)*VLOOKUP('Données projet'!$B$9,Paramètres!$A$1:$I$89,5,0)</f>
        <v>4.5671107401079603</v>
      </c>
      <c r="P12" s="13">
        <f t="shared" si="33"/>
        <v>1.763645650133036</v>
      </c>
      <c r="Q12" s="20">
        <f t="shared" si="2"/>
        <v>11.026067379669733</v>
      </c>
      <c r="R12" s="59">
        <f t="shared" si="0"/>
        <v>278.6927340463364</v>
      </c>
      <c r="S12" s="59">
        <f ca="1">AVERAGE(OFFSET($R$3,0,0,'Données projet'!$E$9+1,1))-AVERAGE(OFFSET($H$3,0,0,'Données projet'!$E$9+1,1))</f>
        <v>319.22903094674564</v>
      </c>
      <c r="T12" s="59">
        <f t="shared" si="34"/>
        <v>254.58690973142848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11</v>
      </c>
      <c r="AI12" s="13">
        <f>IF('Données projet'!$A$62&gt;35,AI11+AH12-AQ11,IF(A12&lt;'Données projet'!$A$62,$AF$205^A12,IF(A12='Données projet'!$A$62,'Données projet'!$B$62,AI11+AH12-AQ11)))</f>
        <v>68</v>
      </c>
      <c r="AJ12" s="13">
        <f>AI12*VLOOKUP('Données projet'!$B$10,Paramètres!$A$1:$I$89,3,0)*VLOOKUP('Données projet'!$B$10,Paramètres!$A$1:$I$89,5,0)</f>
        <v>61.526399999999995</v>
      </c>
      <c r="AK12" s="13">
        <f t="shared" si="35"/>
        <v>17.553624762159014</v>
      </c>
      <c r="AL12" s="20">
        <f t="shared" si="4"/>
        <v>137.73104312742694</v>
      </c>
      <c r="AM12" s="59">
        <f t="shared" si="5"/>
        <v>405.39770979409366</v>
      </c>
      <c r="AN12" s="59">
        <f ca="1">AVERAGE(OFFSET($AM$3,0,0,'Données projet'!$E$10+1,1))-AVERAGE(OFFSET($H$3,0,0,'Données projet'!$E$10+1,1))</f>
        <v>302.6112905010138</v>
      </c>
      <c r="AO12" s="59">
        <f t="shared" si="36"/>
        <v>423.44006663873375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2.0833333333333335</v>
      </c>
      <c r="BD12" s="12">
        <f>IF('Données projet'!$A$88&gt;35,BD11+BC12-BL11,IF(A12&lt;'Données projet'!$A$88,$BA$205^A12,IF(A12='Données projet'!$A$88,'Données projet'!$B$88,BD11+BC12-BL11)))</f>
        <v>11.180339887498953</v>
      </c>
      <c r="BE12" s="13">
        <f>BD12*VLOOKUP('Données projet'!$B$11,Paramètres!$A$1:$I$89,3,0)*VLOOKUP('Données projet'!$B$11,Paramètres!$A$1:$I$89,5,0)</f>
        <v>6.6858432527243732</v>
      </c>
      <c r="BF12" s="13">
        <f t="shared" si="37"/>
        <v>2.4697902668355676</v>
      </c>
      <c r="BG12" s="20">
        <f t="shared" si="7"/>
        <v>15.946061713233563</v>
      </c>
      <c r="BH12" s="59">
        <f t="shared" si="8"/>
        <v>283.61272837990026</v>
      </c>
      <c r="BI12" s="59">
        <f ca="1">AVERAGE(OFFSET($BH$3,0,0,'Données projet'!$E$11+1,1))-AVERAGE(OFFSET($H$3,0,0,'Données projet'!$E$11+1,1))</f>
        <v>207.91763299672158</v>
      </c>
      <c r="BJ12" s="59">
        <f t="shared" si="38"/>
        <v>230.81096055024483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7.9</v>
      </c>
      <c r="N13" s="13">
        <f>IF('Données projet'!$A$36&gt;35,N12+M13-V12,IF(A13&lt;'Données projet'!$A$36,$K$205^A13,IF(A13='Données projet'!$A$36,'Données projet'!$B$36,N12+M13-V12)))</f>
        <v>12.569805089976542</v>
      </c>
      <c r="O13" s="13">
        <f>N13*VLOOKUP('Données projet'!$B$9,Paramètres!$A$1:$I$89,3,0)*VLOOKUP('Données projet'!$B$9,Paramètres!$A$1:$I$89,5,0)</f>
        <v>5.8826687821090227</v>
      </c>
      <c r="P13" s="13">
        <f t="shared" si="33"/>
        <v>2.2057079152108381</v>
      </c>
      <c r="Q13" s="20">
        <f t="shared" si="2"/>
        <v>14.087256081165423</v>
      </c>
      <c r="R13" s="59">
        <f t="shared" si="0"/>
        <v>282.97614497005429</v>
      </c>
      <c r="S13" s="59">
        <f ca="1">AVERAGE(OFFSET($R$3,0,0,'Données projet'!$E$9+1,1))-AVERAGE(OFFSET($H$3,0,0,'Données projet'!$E$9+1,1))</f>
        <v>319.22903094674564</v>
      </c>
      <c r="T13" s="59">
        <f t="shared" si="34"/>
        <v>254.58690973142848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>
        <f>VLOOKUP(A13,'Données projet'!$A$61:$I$81,2,0)</f>
        <v>79</v>
      </c>
      <c r="AG13" s="12">
        <f>VLOOKUP(A13,'Données projet'!$A$61:$I$81,9,0)</f>
        <v>11</v>
      </c>
      <c r="AH13" s="12">
        <f t="array" ref="AH13">INDEX(AG:AG,MIN(IF(ISNUMBER(AG13:AG209),ROW(AG13:AG209),"")))</f>
        <v>11</v>
      </c>
      <c r="AI13" s="13">
        <f>IF('Données projet'!$A$62&gt;35,AI12+AH13-AQ12,IF(A13&lt;'Données projet'!$A$62,$AF$205^A13,IF(A13='Données projet'!$A$62,'Données projet'!$B$62,AI12+AH13-AQ12)))</f>
        <v>79</v>
      </c>
      <c r="AJ13" s="13">
        <f>AI13*VLOOKUP('Données projet'!$B$10,Paramètres!$A$1:$I$89,3,0)*VLOOKUP('Données projet'!$B$10,Paramètres!$A$1:$I$89,5,0)</f>
        <v>71.479200000000006</v>
      </c>
      <c r="AK13" s="13">
        <f t="shared" si="35"/>
        <v>20.040346808618612</v>
      </c>
      <c r="AL13" s="20">
        <f t="shared" si="4"/>
        <v>159.39654402501074</v>
      </c>
      <c r="AM13" s="59">
        <f t="shared" si="5"/>
        <v>428.28543291389963</v>
      </c>
      <c r="AN13" s="59">
        <f ca="1">AVERAGE(OFFSET($AM$3,0,0,'Données projet'!$E$10+1,1))-AVERAGE(OFFSET($H$3,0,0,'Données projet'!$E$10+1,1))</f>
        <v>302.6112905010138</v>
      </c>
      <c r="AO13" s="59">
        <f t="shared" si="36"/>
        <v>423.44006663873375</v>
      </c>
      <c r="AP13" s="15">
        <f>IF(ISNA(VLOOKUP(A13,'Données projet'!$A$61:$I$81,3,0)),0,VLOOKUP(A13,'Données projet'!$A$61:$I$81,3,0))</f>
        <v>2</v>
      </c>
      <c r="AQ13" s="15">
        <f>IF(ISNA(VLOOKUP(A13,'Données projet'!$A$61:$I$81,4,0)),0,VLOOKUP(A13,'Données projet'!$A$61:$I$81,4,0))</f>
        <v>21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0.2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3.5855532398068117</v>
      </c>
      <c r="AX13" s="21">
        <f t="shared" si="6"/>
        <v>3.5855532398068117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2.0833333333333335</v>
      </c>
      <c r="BD13" s="12">
        <f>IF('Données projet'!$A$88&gt;35,BD12+BC13-BL12,IF(A13&lt;'Données projet'!$A$88,$BA$205^A13,IF(A13='Données projet'!$A$88,'Données projet'!$B$88,BD12+BC13-BL12)))</f>
        <v>14.620088691064336</v>
      </c>
      <c r="BE13" s="13">
        <f>BD13*VLOOKUP('Données projet'!$B$11,Paramètres!$A$1:$I$89,3,0)*VLOOKUP('Données projet'!$B$11,Paramètres!$A$1:$I$89,5,0)</f>
        <v>8.7428130372564734</v>
      </c>
      <c r="BF13" s="13">
        <f t="shared" si="37"/>
        <v>3.1303655641596633</v>
      </c>
      <c r="BG13" s="20">
        <f t="shared" si="7"/>
        <v>20.679119397466433</v>
      </c>
      <c r="BH13" s="59">
        <f t="shared" si="8"/>
        <v>289.56800828635528</v>
      </c>
      <c r="BI13" s="59">
        <f ca="1">AVERAGE(OFFSET($BH$3,0,0,'Données projet'!$E$11+1,1))-AVERAGE(OFFSET($H$3,0,0,'Données projet'!$E$11+1,1))</f>
        <v>207.91763299672158</v>
      </c>
      <c r="BJ13" s="59">
        <f t="shared" si="38"/>
        <v>230.81096055024483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7.9</v>
      </c>
      <c r="N14" s="13">
        <f>IF('Données projet'!$A$36&gt;35,N13+M14-V13,IF(A14&lt;'Données projet'!$A$36,$K$205^A14,IF(A14='Données projet'!$A$36,'Données projet'!$B$36,N13+M14-V13)))</f>
        <v>16.190542381779895</v>
      </c>
      <c r="O14" s="13">
        <f>N14*VLOOKUP('Données projet'!$B$9,Paramètres!$A$1:$I$89,3,0)*VLOOKUP('Données projet'!$B$9,Paramètres!$A$1:$I$89,5,0)</f>
        <v>7.5771738346729904</v>
      </c>
      <c r="P14" s="13">
        <f t="shared" si="33"/>
        <v>2.7585742106736397</v>
      </c>
      <c r="Q14" s="20">
        <f t="shared" si="2"/>
        <v>18.001427845645381</v>
      </c>
      <c r="R14" s="59">
        <f t="shared" si="0"/>
        <v>288.11253895675651</v>
      </c>
      <c r="S14" s="59">
        <f ca="1">AVERAGE(OFFSET($R$3,0,0,'Données projet'!$E$9+1,1))-AVERAGE(OFFSET($H$3,0,0,'Données projet'!$E$9+1,1))</f>
        <v>319.22903094674564</v>
      </c>
      <c r="T14" s="59">
        <f t="shared" si="34"/>
        <v>254.58690973142848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11</v>
      </c>
      <c r="AI14" s="13">
        <f>IF('Données projet'!$A$62&gt;35,AI13+AH14-AQ13,IF(A14&lt;'Données projet'!$A$62,$AF$205^A14,IF(A14='Données projet'!$A$62,'Données projet'!$B$62,AI13+AH14-AQ13)))</f>
        <v>69</v>
      </c>
      <c r="AJ14" s="13">
        <f>AI14*VLOOKUP('Données projet'!$B$10,Paramètres!$A$1:$I$89,3,0)*VLOOKUP('Données projet'!$B$10,Paramètres!$A$1:$I$89,5,0)</f>
        <v>62.431199999999997</v>
      </c>
      <c r="AK14" s="13">
        <f t="shared" si="35"/>
        <v>17.781524466058684</v>
      </c>
      <c r="AL14" s="20">
        <f t="shared" si="4"/>
        <v>139.70382844505221</v>
      </c>
      <c r="AM14" s="59">
        <f t="shared" si="5"/>
        <v>409.81493955616338</v>
      </c>
      <c r="AN14" s="59">
        <f ca="1">AVERAGE(OFFSET($AM$3,0,0,'Données projet'!$E$10+1,1))-AVERAGE(OFFSET($H$3,0,0,'Données projet'!$E$10+1,1))</f>
        <v>302.6112905010138</v>
      </c>
      <c r="AO14" s="59">
        <f t="shared" si="36"/>
        <v>423.44006663873375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2.5353690101727921</v>
      </c>
      <c r="AX14" s="21">
        <f t="shared" si="6"/>
        <v>2.5353690101727921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2.0833333333333335</v>
      </c>
      <c r="BD14" s="12">
        <f>IF('Données projet'!$A$88&gt;35,BD13+BC14-BL13,IF(A14&lt;'Données projet'!$A$88,$BA$205^A14,IF(A14='Données projet'!$A$88,'Données projet'!$B$88,BD13+BC14-BL13)))</f>
        <v>19.118112283293257</v>
      </c>
      <c r="BE14" s="13">
        <f>BD14*VLOOKUP('Données projet'!$B$11,Paramètres!$A$1:$I$89,3,0)*VLOOKUP('Données projet'!$B$11,Paramètres!$A$1:$I$89,5,0)</f>
        <v>11.432631145409369</v>
      </c>
      <c r="BF14" s="13">
        <f t="shared" si="37"/>
        <v>3.9676197193180758</v>
      </c>
      <c r="BG14" s="20">
        <f t="shared" si="7"/>
        <v>26.822103589400299</v>
      </c>
      <c r="BH14" s="59">
        <f t="shared" si="8"/>
        <v>296.93321470051143</v>
      </c>
      <c r="BI14" s="59">
        <f ca="1">AVERAGE(OFFSET($BH$3,0,0,'Données projet'!$E$11+1,1))-AVERAGE(OFFSET($H$3,0,0,'Données projet'!$E$11+1,1))</f>
        <v>207.91763299672158</v>
      </c>
      <c r="BJ14" s="59">
        <f t="shared" si="38"/>
        <v>230.81096055024483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7.9</v>
      </c>
      <c r="N15" s="13">
        <f>IF('Données projet'!$A$36&gt;35,N14+M15-V14,IF(A15&lt;'Données projet'!$A$36,$K$205^A15,IF(A15='Données projet'!$A$36,'Données projet'!$B$36,N14+M15-V14)))</f>
        <v>20.854234472198982</v>
      </c>
      <c r="O15" s="13">
        <f>N15*VLOOKUP('Données projet'!$B$9,Paramètres!$A$1:$I$89,3,0)*VLOOKUP('Données projet'!$B$9,Paramètres!$A$1:$I$89,5,0)</f>
        <v>9.7597817329891239</v>
      </c>
      <c r="P15" s="13">
        <f t="shared" si="33"/>
        <v>3.4500178483814818</v>
      </c>
      <c r="Q15" s="20">
        <f t="shared" si="2"/>
        <v>23.00706760422047</v>
      </c>
      <c r="R15" s="59">
        <f t="shared" si="0"/>
        <v>294.3404009375538</v>
      </c>
      <c r="S15" s="59">
        <f ca="1">AVERAGE(OFFSET($R$3,0,0,'Données projet'!$E$9+1,1))-AVERAGE(OFFSET($H$3,0,0,'Données projet'!$E$9+1,1))</f>
        <v>319.22903094674564</v>
      </c>
      <c r="T15" s="59">
        <f t="shared" si="34"/>
        <v>254.58690973142848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11</v>
      </c>
      <c r="AI15" s="13">
        <f>IF('Données projet'!$A$62&gt;35,AI14+AH15-AQ14,IF(A15&lt;'Données projet'!$A$62,$AF$205^A15,IF(A15='Données projet'!$A$62,'Données projet'!$B$62,AI14+AH15-AQ14)))</f>
        <v>80</v>
      </c>
      <c r="AJ15" s="13">
        <f>AI15*VLOOKUP('Données projet'!$B$10,Paramètres!$A$1:$I$89,3,0)*VLOOKUP('Données projet'!$B$10,Paramètres!$A$1:$I$89,5,0)</f>
        <v>72.384</v>
      </c>
      <c r="AK15" s="13">
        <f t="shared" si="35"/>
        <v>20.264329923804397</v>
      </c>
      <c r="AL15" s="20">
        <f t="shared" si="4"/>
        <v>161.362507950626</v>
      </c>
      <c r="AM15" s="59">
        <f t="shared" si="5"/>
        <v>432.69584128395934</v>
      </c>
      <c r="AN15" s="59">
        <f ca="1">AVERAGE(OFFSET($AM$3,0,0,'Données projet'!$E$10+1,1))-AVERAGE(OFFSET($H$3,0,0,'Données projet'!$E$10+1,1))</f>
        <v>302.6112905010138</v>
      </c>
      <c r="AO15" s="59">
        <f t="shared" si="36"/>
        <v>423.44006663873375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1.7927766199034063</v>
      </c>
      <c r="AX15" s="21">
        <f t="shared" si="6"/>
        <v>1.7927766199034063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>
        <f>VLOOKUP(A15,'Données projet'!$A$87:$I$107,2,0)</f>
        <v>25</v>
      </c>
      <c r="BB15" s="12">
        <f>VLOOKUP(A15,'Données projet'!$A$87:$I$107,9,0)</f>
        <v>2.0833333333333335</v>
      </c>
      <c r="BC15" s="12">
        <f t="array" ref="BC15">INDEX(BB:BB,MIN(IF(ISNUMBER(BB15:BB211),ROW(BB15:BB211),"")))</f>
        <v>2.0833333333333335</v>
      </c>
      <c r="BD15" s="12">
        <f>IF('Données projet'!$A$88&gt;35,BD14+BC15-BL14,IF(A15&lt;'Données projet'!$A$88,$BA$205^A15,IF(A15='Données projet'!$A$88,'Données projet'!$B$88,BD14+BC15-BL14)))</f>
        <v>25</v>
      </c>
      <c r="BE15" s="13">
        <f>BD15*VLOOKUP('Données projet'!$B$11,Paramètres!$A$1:$I$89,3,0)*VLOOKUP('Données projet'!$B$11,Paramètres!$A$1:$I$89,5,0)</f>
        <v>14.950000000000001</v>
      </c>
      <c r="BF15" s="13">
        <f t="shared" si="37"/>
        <v>5.0288076310817473</v>
      </c>
      <c r="BG15" s="20">
        <f t="shared" si="7"/>
        <v>34.796423290800711</v>
      </c>
      <c r="BH15" s="59">
        <f t="shared" si="8"/>
        <v>306.12975662413402</v>
      </c>
      <c r="BI15" s="59">
        <f ca="1">AVERAGE(OFFSET($BH$3,0,0,'Données projet'!$E$11+1,1))-AVERAGE(OFFSET($H$3,0,0,'Données projet'!$E$11+1,1))</f>
        <v>207.91763299672158</v>
      </c>
      <c r="BJ15" s="59">
        <f t="shared" si="38"/>
        <v>230.81096055024483</v>
      </c>
      <c r="BK15" s="15">
        <f>IF(ISNA(VLOOKUP(A15,'Données projet'!$A$87:$I$107,3,0)),0,VLOOKUP(A15,'Données projet'!$A$87:$I$107,3,0))</f>
        <v>1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7.9</v>
      </c>
      <c r="N16" s="13">
        <f>IF('Données projet'!$A$36&gt;35,N15+M16-V15,IF(A16&lt;'Données projet'!$A$36,$K$205^A16,IF(A16='Données projet'!$A$36,'Données projet'!$B$36,N15+M16-V15)))</f>
        <v>26.861304900499697</v>
      </c>
      <c r="O16" s="13">
        <f>N16*VLOOKUP('Données projet'!$B$9,Paramètres!$A$1:$I$89,3,0)*VLOOKUP('Données projet'!$B$9,Paramètres!$A$1:$I$89,5,0)</f>
        <v>12.571090693433858</v>
      </c>
      <c r="P16" s="13">
        <f t="shared" si="33"/>
        <v>4.3147735914069099</v>
      </c>
      <c r="Q16" s="20">
        <f t="shared" si="2"/>
        <v>29.409546962764335</v>
      </c>
      <c r="R16" s="59">
        <f t="shared" si="0"/>
        <v>301.9651025183199</v>
      </c>
      <c r="S16" s="59">
        <f ca="1">AVERAGE(OFFSET($R$3,0,0,'Données projet'!$E$9+1,1))-AVERAGE(OFFSET($H$3,0,0,'Données projet'!$E$9+1,1))</f>
        <v>319.22903094674564</v>
      </c>
      <c r="T16" s="59">
        <f t="shared" si="34"/>
        <v>254.58690973142848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11</v>
      </c>
      <c r="AI16" s="13">
        <f>IF('Données projet'!$A$62&gt;35,AI15+AH16-AQ15,IF(A16&lt;'Données projet'!$A$62,$AF$205^A16,IF(A16='Données projet'!$A$62,'Données projet'!$B$62,AI15+AH16-AQ15)))</f>
        <v>91</v>
      </c>
      <c r="AJ16" s="13">
        <f>AI16*VLOOKUP('Données projet'!$B$10,Paramètres!$A$1:$I$89,3,0)*VLOOKUP('Données projet'!$B$10,Paramètres!$A$1:$I$89,5,0)</f>
        <v>82.336799999999997</v>
      </c>
      <c r="AK16" s="13">
        <f t="shared" si="35"/>
        <v>22.707582950885364</v>
      </c>
      <c r="AL16" s="20">
        <f t="shared" si="4"/>
        <v>182.95230030612535</v>
      </c>
      <c r="AM16" s="59">
        <f t="shared" si="5"/>
        <v>455.50785586168092</v>
      </c>
      <c r="AN16" s="59">
        <f ca="1">AVERAGE(OFFSET($AM$3,0,0,'Données projet'!$E$10+1,1))-AVERAGE(OFFSET($H$3,0,0,'Données projet'!$E$10+1,1))</f>
        <v>302.6112905010138</v>
      </c>
      <c r="AO16" s="59">
        <f t="shared" si="36"/>
        <v>423.44006663873375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1.2676845050863963</v>
      </c>
      <c r="AX16" s="21">
        <f t="shared" si="6"/>
        <v>1.2676845050863963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8.5</v>
      </c>
      <c r="BD16" s="12">
        <f>IF('Données projet'!$A$88&gt;35,BD15+BC16-BL15,IF(A16&lt;'Données projet'!$A$88,$BA$205^A16,IF(A16='Données projet'!$A$88,'Données projet'!$B$88,BD15+BC16-BL15)))</f>
        <v>33.5</v>
      </c>
      <c r="BE16" s="13">
        <f>BD16*VLOOKUP('Données projet'!$B$11,Paramètres!$A$1:$I$89,3,0)*VLOOKUP('Données projet'!$B$11,Paramètres!$A$1:$I$89,5,0)</f>
        <v>20.033000000000001</v>
      </c>
      <c r="BF16" s="13">
        <f t="shared" si="37"/>
        <v>6.5129061865703672</v>
      </c>
      <c r="BG16" s="20">
        <f t="shared" si="7"/>
        <v>46.234119941610061</v>
      </c>
      <c r="BH16" s="59">
        <f t="shared" si="8"/>
        <v>318.7896754971656</v>
      </c>
      <c r="BI16" s="59">
        <f ca="1">AVERAGE(OFFSET($BH$3,0,0,'Données projet'!$E$11+1,1))-AVERAGE(OFFSET($H$3,0,0,'Données projet'!$E$11+1,1))</f>
        <v>207.91763299672158</v>
      </c>
      <c r="BJ16" s="59">
        <f t="shared" si="38"/>
        <v>230.81096055024483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7.9</v>
      </c>
      <c r="N17" s="13">
        <f>IF('Données projet'!$A$36&gt;35,N16+M17-V16,IF(A17&lt;'Données projet'!$A$36,$K$205^A17,IF(A17='Données projet'!$A$36,'Données projet'!$B$36,N16+M17-V16)))</f>
        <v>34.598714324397214</v>
      </c>
      <c r="O17" s="13">
        <f>N17*VLOOKUP('Données projet'!$B$9,Paramètres!$A$1:$I$89,3,0)*VLOOKUP('Données projet'!$B$9,Paramètres!$A$1:$I$89,5,0)</f>
        <v>16.192198303817896</v>
      </c>
      <c r="P17" s="13">
        <f t="shared" si="33"/>
        <v>5.3962825594761723</v>
      </c>
      <c r="Q17" s="20">
        <f t="shared" si="2"/>
        <v>37.599937503570509</v>
      </c>
      <c r="R17" s="59">
        <f t="shared" si="0"/>
        <v>311.37771528134829</v>
      </c>
      <c r="S17" s="59">
        <f ca="1">AVERAGE(OFFSET($R$3,0,0,'Données projet'!$E$9+1,1))-AVERAGE(OFFSET($H$3,0,0,'Données projet'!$E$9+1,1))</f>
        <v>319.22903094674564</v>
      </c>
      <c r="T17" s="59">
        <f t="shared" si="34"/>
        <v>254.58690973142848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11</v>
      </c>
      <c r="AI17" s="13">
        <f>IF('Données projet'!$A$62&gt;35,AI16+AH17-AQ16,IF(A17&lt;'Données projet'!$A$62,$AF$205^A17,IF(A17='Données projet'!$A$62,'Données projet'!$B$62,AI16+AH17-AQ16)))</f>
        <v>102</v>
      </c>
      <c r="AJ17" s="13">
        <f>AI17*VLOOKUP('Données projet'!$B$10,Paramètres!$A$1:$I$89,3,0)*VLOOKUP('Données projet'!$B$10,Paramètres!$A$1:$I$89,5,0)</f>
        <v>92.289599999999993</v>
      </c>
      <c r="AK17" s="13">
        <f t="shared" si="35"/>
        <v>25.116611431659546</v>
      </c>
      <c r="AL17" s="20">
        <f t="shared" si="4"/>
        <v>204.48248491014036</v>
      </c>
      <c r="AM17" s="59">
        <f t="shared" si="5"/>
        <v>478.26026268791816</v>
      </c>
      <c r="AN17" s="59">
        <f ca="1">AVERAGE(OFFSET($AM$3,0,0,'Données projet'!$E$10+1,1))-AVERAGE(OFFSET($H$3,0,0,'Données projet'!$E$10+1,1))</f>
        <v>302.6112905010138</v>
      </c>
      <c r="AO17" s="59">
        <f t="shared" si="36"/>
        <v>423.44006663873375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0.89638830995170327</v>
      </c>
      <c r="AX17" s="21">
        <f t="shared" si="6"/>
        <v>0.89638830995170327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8.5</v>
      </c>
      <c r="BD17" s="12">
        <f>IF('Données projet'!$A$88&gt;35,BD16+BC17-BL16,IF(A17&lt;'Données projet'!$A$88,$BA$205^A17,IF(A17='Données projet'!$A$88,'Données projet'!$B$88,BD16+BC17-BL16)))</f>
        <v>42</v>
      </c>
      <c r="BE17" s="13">
        <f>BD17*VLOOKUP('Données projet'!$B$11,Paramètres!$A$1:$I$89,3,0)*VLOOKUP('Données projet'!$B$11,Paramètres!$A$1:$I$89,5,0)</f>
        <v>25.116</v>
      </c>
      <c r="BF17" s="13">
        <f t="shared" si="37"/>
        <v>7.9533172071367026</v>
      </c>
      <c r="BG17" s="20">
        <f t="shared" si="7"/>
        <v>57.595727469096431</v>
      </c>
      <c r="BH17" s="59">
        <f t="shared" si="8"/>
        <v>331.37350524687417</v>
      </c>
      <c r="BI17" s="59">
        <f ca="1">AVERAGE(OFFSET($BH$3,0,0,'Données projet'!$E$11+1,1))-AVERAGE(OFFSET($H$3,0,0,'Données projet'!$E$11+1,1))</f>
        <v>207.91763299672158</v>
      </c>
      <c r="BJ17" s="59">
        <f t="shared" si="38"/>
        <v>230.81096055024483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7.9</v>
      </c>
      <c r="N18" s="13">
        <f>IF('Données projet'!$A$36&gt;35,N17+M18-V17,IF(A18&lt;'Données projet'!$A$36,$K$205^A18,IF(A18='Données projet'!$A$36,'Données projet'!$B$36,N17+M18-V17)))</f>
        <v>44.564887571004775</v>
      </c>
      <c r="O18" s="13">
        <f>N18*VLOOKUP('Données projet'!$B$9,Paramètres!$A$1:$I$89,3,0)*VLOOKUP('Données projet'!$B$9,Paramètres!$A$1:$I$89,5,0)</f>
        <v>20.856367383230236</v>
      </c>
      <c r="P18" s="13">
        <f t="shared" si="33"/>
        <v>6.7488744993944465</v>
      </c>
      <c r="Q18" s="20">
        <f t="shared" si="2"/>
        <v>48.079129612237985</v>
      </c>
      <c r="R18" s="59">
        <f t="shared" si="0"/>
        <v>323.07912961223798</v>
      </c>
      <c r="S18" s="59">
        <f ca="1">AVERAGE(OFFSET($R$3,0,0,'Données projet'!$E$9+1,1))-AVERAGE(OFFSET($H$3,0,0,'Données projet'!$E$9+1,1))</f>
        <v>319.22903094674564</v>
      </c>
      <c r="T18" s="59">
        <f t="shared" si="34"/>
        <v>254.58690973142848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>
        <f>VLOOKUP(A18,'Données projet'!$A$61:$I$81,2,0)</f>
        <v>113</v>
      </c>
      <c r="AG18" s="12">
        <f>VLOOKUP(A18,'Données projet'!$A$61:$I$81,9,0)</f>
        <v>11</v>
      </c>
      <c r="AH18" s="12">
        <f t="array" ref="AH18">INDEX(AG:AG,MIN(IF(ISNUMBER(AG18:AG214),ROW(AG18:AG214),"")))</f>
        <v>11</v>
      </c>
      <c r="AI18" s="13">
        <f>IF('Données projet'!$A$62&gt;35,AI17+AH18-AQ17,IF(A18&lt;'Données projet'!$A$62,$AF$205^A18,IF(A18='Données projet'!$A$62,'Données projet'!$B$62,AI17+AH18-AQ17)))</f>
        <v>113</v>
      </c>
      <c r="AJ18" s="13">
        <f>AI18*VLOOKUP('Données projet'!$B$10,Paramètres!$A$1:$I$89,3,0)*VLOOKUP('Données projet'!$B$10,Paramètres!$A$1:$I$89,5,0)</f>
        <v>102.24239999999999</v>
      </c>
      <c r="AK18" s="13">
        <f t="shared" si="35"/>
        <v>27.495526976991481</v>
      </c>
      <c r="AL18" s="20">
        <f t="shared" si="4"/>
        <v>225.96022281826015</v>
      </c>
      <c r="AM18" s="59">
        <f t="shared" si="5"/>
        <v>500.96022281826015</v>
      </c>
      <c r="AN18" s="59">
        <f ca="1">AVERAGE(OFFSET($AM$3,0,0,'Données projet'!$E$10+1,1))-AVERAGE(OFFSET($H$3,0,0,'Données projet'!$E$10+1,1))</f>
        <v>302.6112905010138</v>
      </c>
      <c r="AO18" s="59">
        <f t="shared" si="36"/>
        <v>423.44006663873375</v>
      </c>
      <c r="AP18" s="15">
        <f>IF(ISNA(VLOOKUP(A18,'Données projet'!$A$61:$I$81,3,0)),0,VLOOKUP(A18,'Données projet'!$A$61:$I$81,3,0))</f>
        <v>3</v>
      </c>
      <c r="AQ18" s="15">
        <f>IF(ISNA(VLOOKUP(A18,'Données projet'!$A$61:$I$81,4,0)),0,VLOOKUP(A18,'Données projet'!$A$61:$I$81,4,0))</f>
        <v>17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0.5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7.8903190473903164</v>
      </c>
      <c r="AX18" s="21">
        <f t="shared" si="6"/>
        <v>7.8903190473903164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8.5</v>
      </c>
      <c r="BD18" s="12">
        <f>IF('Données projet'!$A$88&gt;35,BD17+BC18-BL17,IF(A18&lt;'Données projet'!$A$88,$BA$205^A18,IF(A18='Données projet'!$A$88,'Données projet'!$B$88,BD17+BC18-BL17)))</f>
        <v>50.5</v>
      </c>
      <c r="BE18" s="13">
        <f>BD18*VLOOKUP('Données projet'!$B$11,Paramètres!$A$1:$I$89,3,0)*VLOOKUP('Données projet'!$B$11,Paramètres!$A$1:$I$89,5,0)</f>
        <v>30.199000000000002</v>
      </c>
      <c r="BF18" s="13">
        <f t="shared" si="37"/>
        <v>9.3599492233623032</v>
      </c>
      <c r="BG18" s="20">
        <f t="shared" si="7"/>
        <v>68.898503230689343</v>
      </c>
      <c r="BH18" s="59">
        <f t="shared" si="8"/>
        <v>343.89850323068936</v>
      </c>
      <c r="BI18" s="59">
        <f ca="1">AVERAGE(OFFSET($BH$3,0,0,'Données projet'!$E$11+1,1))-AVERAGE(OFFSET($H$3,0,0,'Données projet'!$E$11+1,1))</f>
        <v>207.91763299672158</v>
      </c>
      <c r="BJ18" s="59">
        <f t="shared" si="38"/>
        <v>230.81096055024483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7.9</v>
      </c>
      <c r="N19" s="13">
        <f>IF('Données projet'!$A$36&gt;35,N18+M19-V18,IF(A19&lt;'Données projet'!$A$36,$K$205^A19,IF(A19='Données projet'!$A$36,'Données projet'!$B$36,N18+M19-V18)))</f>
        <v>57.401820934596167</v>
      </c>
      <c r="O19" s="13">
        <f>N19*VLOOKUP('Données projet'!$B$9,Paramètres!$A$1:$I$89,3,0)*VLOOKUP('Données projet'!$B$9,Paramètres!$A$1:$I$89,5,0)</f>
        <v>26.864052197391008</v>
      </c>
      <c r="P19" s="13">
        <f t="shared" si="33"/>
        <v>8.4404970471001413</v>
      </c>
      <c r="Q19" s="20">
        <f t="shared" si="2"/>
        <v>61.488756600822086</v>
      </c>
      <c r="R19" s="59">
        <f t="shared" si="0"/>
        <v>337.71097882304434</v>
      </c>
      <c r="S19" s="59">
        <f ca="1">AVERAGE(OFFSET($R$3,0,0,'Données projet'!$E$9+1,1))-AVERAGE(OFFSET($H$3,0,0,'Données projet'!$E$9+1,1))</f>
        <v>319.22903094674564</v>
      </c>
      <c r="T19" s="59">
        <f t="shared" si="34"/>
        <v>254.58690973142848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9.8000000000000007</v>
      </c>
      <c r="AI19" s="13">
        <f>IF('Données projet'!$A$62&gt;35,AI18+AH19-AQ18,IF(A19&lt;'Données projet'!$A$62,$AF$205^A19,IF(A19='Données projet'!$A$62,'Données projet'!$B$62,AI18+AH19-AQ18)))</f>
        <v>105.8</v>
      </c>
      <c r="AJ19" s="13">
        <f>AI19*VLOOKUP('Données projet'!$B$10,Paramètres!$A$1:$I$89,3,0)*VLOOKUP('Données projet'!$B$10,Paramètres!$A$1:$I$89,5,0)</f>
        <v>95.72784</v>
      </c>
      <c r="AK19" s="13">
        <f t="shared" si="35"/>
        <v>25.941642560384413</v>
      </c>
      <c r="AL19" s="20">
        <f t="shared" si="4"/>
        <v>211.90768212600287</v>
      </c>
      <c r="AM19" s="59">
        <f t="shared" si="5"/>
        <v>488.12990434822507</v>
      </c>
      <c r="AN19" s="59">
        <f ca="1">AVERAGE(OFFSET($AM$3,0,0,'Données projet'!$E$10+1,1))-AVERAGE(OFFSET($H$3,0,0,'Données projet'!$E$10+1,1))</f>
        <v>302.6112905010138</v>
      </c>
      <c r="AO19" s="59">
        <f t="shared" si="36"/>
        <v>423.44006663873375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5.5792981041350727</v>
      </c>
      <c r="AX19" s="21">
        <f t="shared" si="6"/>
        <v>5.5792981041350727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>
        <f>VLOOKUP(A19,'Données projet'!$A$87:$I$107,2,0)</f>
        <v>59</v>
      </c>
      <c r="BB19" s="12">
        <f>VLOOKUP(A19,'Données projet'!$A$87:$I$107,9,0)</f>
        <v>8.5</v>
      </c>
      <c r="BC19" s="12">
        <f t="array" ref="BC19">INDEX(BB:BB,MIN(IF(ISNUMBER(BB19:BB215),ROW(BB19:BB215),"")))</f>
        <v>8.5</v>
      </c>
      <c r="BD19" s="12">
        <f>IF('Données projet'!$A$88&gt;35,BD18+BC19-BL18,IF(A19&lt;'Données projet'!$A$88,$BA$205^A19,IF(A19='Données projet'!$A$88,'Données projet'!$B$88,BD18+BC19-BL18)))</f>
        <v>59</v>
      </c>
      <c r="BE19" s="13">
        <f>BD19*VLOOKUP('Données projet'!$B$11,Paramètres!$A$1:$I$89,3,0)*VLOOKUP('Données projet'!$B$11,Paramètres!$A$1:$I$89,5,0)</f>
        <v>35.282000000000004</v>
      </c>
      <c r="BF19" s="13">
        <f t="shared" si="37"/>
        <v>10.73915395799758</v>
      </c>
      <c r="BG19" s="20">
        <f t="shared" si="7"/>
        <v>80.153509810179131</v>
      </c>
      <c r="BH19" s="59">
        <f t="shared" si="8"/>
        <v>356.37573203240134</v>
      </c>
      <c r="BI19" s="59">
        <f ca="1">AVERAGE(OFFSET($BH$3,0,0,'Données projet'!$E$11+1,1))-AVERAGE(OFFSET($H$3,0,0,'Données projet'!$E$11+1,1))</f>
        <v>207.91763299672158</v>
      </c>
      <c r="BJ19" s="59">
        <f t="shared" si="38"/>
        <v>230.81096055024483</v>
      </c>
      <c r="BK19" s="15">
        <f>IF(ISNA(VLOOKUP(A19,'Données projet'!$A$87:$I$107,3,0)),0,VLOOKUP(A19,'Données projet'!$A$87:$I$107,3,0))</f>
        <v>2</v>
      </c>
      <c r="BL19" s="15">
        <f>IF(ISNA(VLOOKUP(A19,'Données projet'!$A$87:$I$107,4,0)),0,VLOOKUP(A19,'Données projet'!$A$87:$I$107,4,0))</f>
        <v>8</v>
      </c>
      <c r="BM19" s="16">
        <f>IF(ISNA(VLOOKUP(A19,'Données projet'!$A$87:$I$107,5,0)),0%,VLOOKUP(A19,'Données projet'!$A$87:$I$107,5,0)*VLOOKUP('Données projet'!$B$11,Paramètres!$A$1:$I$89,7,0))</f>
        <v>9.0000000000000011E-2</v>
      </c>
      <c r="BN19" s="16">
        <f>IF(ISNA(VLOOKUP(A19,'Données projet'!$A$87:$I$107,6,0)),0%,VLOOKUP(A19,'Données projet'!$A$87:$I$107,6,0)*VLOOKUP('Données projet'!$B$11,Paramètres!$A$1:$I$89,7,0))</f>
        <v>9.0000000000000011E-2</v>
      </c>
      <c r="BO19" s="16">
        <f>IF(ISNA(VLOOKUP(A19,'Données projet'!$A$87:$I$107,7,0)),0%,VLOOKUP(A19,'Données projet'!$A$87:$I$107,7,0))</f>
        <v>0.6</v>
      </c>
      <c r="BP19" s="21">
        <f>EXP(-LN(2)/35)*BP18+(1-EXP(-LN(2)/35))/(LN(2)/35)*BL19*BM19*VLOOKUP('Données projet'!$B$11,Paramètres!$A$1:$I$89,3,0)*0.475*44/12</f>
        <v>0.57116559193404848</v>
      </c>
      <c r="BQ19" s="21">
        <f>EXP(-LN(2)/25)*BQ18+(1-EXP(-LN(2)/25))/(LN(2)/25)*Calculateur!BL19*Calculateur!BN19*VLOOKUP('Données projet'!$B$11,Paramètres!$A$1:$I$89,3,0)*0.475*44/12</f>
        <v>0.5689166953674516</v>
      </c>
      <c r="BR19" s="21">
        <f>EXP(-LN(2)/2)*BR18+(1-EXP(-LN(2)/2))/(LN(2)/2)*BL19*BO19*VLOOKUP('Données projet'!$B$11,Paramètres!$A$1:$I$89,3,0)*0.475*44/12</f>
        <v>3.2499595868199673</v>
      </c>
      <c r="BS19" s="22">
        <f t="shared" si="9"/>
        <v>4.3900418741214668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7.9</v>
      </c>
      <c r="N20" s="13">
        <f>IF('Données projet'!$A$36&gt;35,N19+M20-V19,IF(A20&lt;'Données projet'!$A$36,$K$205^A20,IF(A20='Données projet'!$A$36,'Données projet'!$B$36,N19+M20-V19)))</f>
        <v>73.936437994095741</v>
      </c>
      <c r="O20" s="13">
        <f>N20*VLOOKUP('Données projet'!$B$9,Paramètres!$A$1:$I$89,3,0)*VLOOKUP('Données projet'!$B$9,Paramètres!$A$1:$I$89,5,0)</f>
        <v>34.602252981236802</v>
      </c>
      <c r="P20" s="13">
        <f t="shared" si="33"/>
        <v>10.556129086190376</v>
      </c>
      <c r="Q20" s="20">
        <f t="shared" si="2"/>
        <v>78.650848767435647</v>
      </c>
      <c r="R20" s="59">
        <f t="shared" si="0"/>
        <v>356.09529321188012</v>
      </c>
      <c r="S20" s="59">
        <f ca="1">AVERAGE(OFFSET($R$3,0,0,'Données projet'!$E$9+1,1))-AVERAGE(OFFSET($H$3,0,0,'Données projet'!$E$9+1,1))</f>
        <v>319.22903094674564</v>
      </c>
      <c r="T20" s="59">
        <f t="shared" si="34"/>
        <v>254.58690973142848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9.8000000000000007</v>
      </c>
      <c r="AI20" s="13">
        <f>IF('Données projet'!$A$62&gt;35,AI19+AH20-AQ19,IF(A20&lt;'Données projet'!$A$62,$AF$205^A20,IF(A20='Données projet'!$A$62,'Données projet'!$B$62,AI19+AH20-AQ19)))</f>
        <v>115.6</v>
      </c>
      <c r="AJ20" s="13">
        <f>AI20*VLOOKUP('Données projet'!$B$10,Paramètres!$A$1:$I$89,3,0)*VLOOKUP('Données projet'!$B$10,Paramètres!$A$1:$I$89,5,0)</f>
        <v>104.59487999999999</v>
      </c>
      <c r="AK20" s="13">
        <f t="shared" si="35"/>
        <v>28.053785838854211</v>
      </c>
      <c r="AL20" s="20">
        <f t="shared" si="4"/>
        <v>231.02975966933766</v>
      </c>
      <c r="AM20" s="59">
        <f t="shared" si="5"/>
        <v>508.47420411378209</v>
      </c>
      <c r="AN20" s="59">
        <f ca="1">AVERAGE(OFFSET($AM$3,0,0,'Données projet'!$E$10+1,1))-AVERAGE(OFFSET($H$3,0,0,'Données projet'!$E$10+1,1))</f>
        <v>302.6112905010138</v>
      </c>
      <c r="AO20" s="59">
        <f t="shared" si="36"/>
        <v>423.44006663873375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3.9451595236951587</v>
      </c>
      <c r="AX20" s="21">
        <f t="shared" si="6"/>
        <v>3.9451595236951587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10</v>
      </c>
      <c r="BD20" s="12">
        <f>IF('Données projet'!$A$88&gt;35,BD19+BC20-BL19,IF(A20&lt;'Données projet'!$A$88,$BA$205^A20,IF(A20='Données projet'!$A$88,'Données projet'!$B$88,BD19+BC20-BL19)))</f>
        <v>61</v>
      </c>
      <c r="BE20" s="13">
        <f>BD20*VLOOKUP('Données projet'!$B$11,Paramètres!$A$1:$I$89,3,0)*VLOOKUP('Données projet'!$B$11,Paramètres!$A$1:$I$89,5,0)</f>
        <v>36.478000000000002</v>
      </c>
      <c r="BF20" s="13">
        <f t="shared" si="37"/>
        <v>11.06019217991456</v>
      </c>
      <c r="BG20" s="20">
        <f t="shared" si="7"/>
        <v>82.795684713351179</v>
      </c>
      <c r="BH20" s="59">
        <f t="shared" si="8"/>
        <v>360.24012915779565</v>
      </c>
      <c r="BI20" s="59">
        <f ca="1">AVERAGE(OFFSET($BH$3,0,0,'Données projet'!$E$11+1,1))-AVERAGE(OFFSET($H$3,0,0,'Données projet'!$E$11+1,1))</f>
        <v>207.91763299672158</v>
      </c>
      <c r="BJ20" s="59">
        <f t="shared" si="38"/>
        <v>230.81096055024483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0.5599653830528335</v>
      </c>
      <c r="BQ20" s="21">
        <f>EXP(-LN(2)/25)*BQ19+(1-EXP(-LN(2)/25))/(LN(2)/25)*Calculateur!BL20*Calculateur!BN20*VLOOKUP('Données projet'!$B$11,Paramètres!$A$1:$I$89,3,0)*0.475*44/12</f>
        <v>0.5533596384145999</v>
      </c>
      <c r="BR20" s="21">
        <f>EXP(-LN(2)/2)*BR19+(1-EXP(-LN(2)/2))/(LN(2)/2)*BL20*BO20*VLOOKUP('Données projet'!$B$11,Paramètres!$A$1:$I$89,3,0)*0.475*44/12</f>
        <v>2.2980684624226293</v>
      </c>
      <c r="BS20" s="22">
        <f t="shared" si="9"/>
        <v>3.4113934838900626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7.9</v>
      </c>
      <c r="N21" s="13">
        <f>IF('Données projet'!$A$36&gt;35,N20+M21-V20,IF(A21&lt;'Données projet'!$A$36,$K$205^A21,IF(A21='Données projet'!$A$36,'Données projet'!$B$36,N20+M21-V20)))</f>
        <v>95.233857990035276</v>
      </c>
      <c r="O21" s="13">
        <f>N21*VLOOKUP('Données projet'!$B$9,Paramètres!$A$1:$I$89,3,0)*VLOOKUP('Données projet'!$B$9,Paramètres!$A$1:$I$89,5,0)</f>
        <v>44.569445539336513</v>
      </c>
      <c r="P21" s="13">
        <f t="shared" si="33"/>
        <v>13.202049673437019</v>
      </c>
      <c r="Q21" s="20">
        <f t="shared" si="2"/>
        <v>100.61868749558056</v>
      </c>
      <c r="R21" s="59">
        <f t="shared" si="0"/>
        <v>379.28535416224724</v>
      </c>
      <c r="S21" s="59">
        <f ca="1">AVERAGE(OFFSET($R$3,0,0,'Données projet'!$E$9+1,1))-AVERAGE(OFFSET($H$3,0,0,'Données projet'!$E$9+1,1))</f>
        <v>319.22903094674564</v>
      </c>
      <c r="T21" s="59">
        <f t="shared" si="34"/>
        <v>254.58690973142848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9.8000000000000007</v>
      </c>
      <c r="AI21" s="13">
        <f>IF('Données projet'!$A$62&gt;35,AI20+AH21-AQ20,IF(A21&lt;'Données projet'!$A$62,$AF$205^A21,IF(A21='Données projet'!$A$62,'Données projet'!$B$62,AI20+AH21-AQ20)))</f>
        <v>125.39999999999999</v>
      </c>
      <c r="AJ21" s="13">
        <f>AI21*VLOOKUP('Données projet'!$B$10,Paramètres!$A$1:$I$89,3,0)*VLOOKUP('Données projet'!$B$10,Paramètres!$A$1:$I$89,5,0)</f>
        <v>113.46191999999998</v>
      </c>
      <c r="AK21" s="13">
        <f t="shared" si="35"/>
        <v>30.145163126535493</v>
      </c>
      <c r="AL21" s="20">
        <f t="shared" si="4"/>
        <v>250.11566977871595</v>
      </c>
      <c r="AM21" s="59">
        <f t="shared" si="5"/>
        <v>528.78233644538261</v>
      </c>
      <c r="AN21" s="59">
        <f ca="1">AVERAGE(OFFSET($AM$3,0,0,'Données projet'!$E$10+1,1))-AVERAGE(OFFSET($H$3,0,0,'Données projet'!$E$10+1,1))</f>
        <v>302.6112905010138</v>
      </c>
      <c r="AO21" s="59">
        <f t="shared" si="36"/>
        <v>423.44006663873375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2.7896490520675368</v>
      </c>
      <c r="AX21" s="21">
        <f t="shared" si="6"/>
        <v>2.7896490520675368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10</v>
      </c>
      <c r="BD21" s="12">
        <f>IF('Données projet'!$A$88&gt;35,BD20+BC21-BL20,IF(A21&lt;'Données projet'!$A$88,$BA$205^A21,IF(A21='Données projet'!$A$88,'Données projet'!$B$88,BD20+BC21-BL20)))</f>
        <v>71</v>
      </c>
      <c r="BE21" s="13">
        <f>BD21*VLOOKUP('Données projet'!$B$11,Paramètres!$A$1:$I$89,3,0)*VLOOKUP('Données projet'!$B$11,Paramètres!$A$1:$I$89,5,0)</f>
        <v>42.458000000000006</v>
      </c>
      <c r="BF21" s="13">
        <f t="shared" si="37"/>
        <v>12.647861696503936</v>
      </c>
      <c r="BG21" s="20">
        <f t="shared" si="7"/>
        <v>95.976042454744359</v>
      </c>
      <c r="BH21" s="59">
        <f t="shared" si="8"/>
        <v>374.64270912141103</v>
      </c>
      <c r="BI21" s="59">
        <f ca="1">AVERAGE(OFFSET($BH$3,0,0,'Données projet'!$E$11+1,1))-AVERAGE(OFFSET($H$3,0,0,'Données projet'!$E$11+1,1))</f>
        <v>207.91763299672158</v>
      </c>
      <c r="BJ21" s="59">
        <f t="shared" si="38"/>
        <v>230.81096055024483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0.54898480343632627</v>
      </c>
      <c r="BQ21" s="21">
        <f>EXP(-LN(2)/25)*BQ20+(1-EXP(-LN(2)/25))/(LN(2)/25)*Calculateur!BL21*Calculateur!BN21*VLOOKUP('Données projet'!$B$11,Paramètres!$A$1:$I$89,3,0)*0.475*44/12</f>
        <v>0.53822799000223398</v>
      </c>
      <c r="BR21" s="21">
        <f>EXP(-LN(2)/2)*BR20+(1-EXP(-LN(2)/2))/(LN(2)/2)*BL21*BO21*VLOOKUP('Données projet'!$B$11,Paramètres!$A$1:$I$89,3,0)*0.475*44/12</f>
        <v>1.6249797934099839</v>
      </c>
      <c r="BS21" s="22">
        <f t="shared" si="9"/>
        <v>2.7121925868485439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7.9</v>
      </c>
      <c r="N22" s="13">
        <f>IF('Données projet'!$A$36&gt;35,N21+M22-V21,IF(A22&lt;'Données projet'!$A$36,$K$205^A22,IF(A22='Données projet'!$A$36,'Données projet'!$B$36,N21+M22-V21)))</f>
        <v>122.66600817840934</v>
      </c>
      <c r="O22" s="13">
        <f>N22*VLOOKUP('Données projet'!$B$9,Paramètres!$A$1:$I$89,3,0)*VLOOKUP('Données projet'!$B$9,Paramètres!$A$1:$I$89,5,0)</f>
        <v>57.407691827495569</v>
      </c>
      <c r="P22" s="13">
        <f t="shared" si="33"/>
        <v>16.511176981334152</v>
      </c>
      <c r="Q22" s="20">
        <f t="shared" si="2"/>
        <v>128.7420298420451</v>
      </c>
      <c r="R22" s="59">
        <f t="shared" si="0"/>
        <v>408.63091873093396</v>
      </c>
      <c r="S22" s="59">
        <f ca="1">AVERAGE(OFFSET($R$3,0,0,'Données projet'!$E$9+1,1))-AVERAGE(OFFSET($H$3,0,0,'Données projet'!$E$9+1,1))</f>
        <v>319.22903094674564</v>
      </c>
      <c r="T22" s="59">
        <f t="shared" si="34"/>
        <v>254.58690973142848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9.8000000000000007</v>
      </c>
      <c r="AI22" s="13">
        <f>IF('Données projet'!$A$62&gt;35,AI21+AH22-AQ21,IF(A22&lt;'Données projet'!$A$62,$AF$205^A22,IF(A22='Données projet'!$A$62,'Données projet'!$B$62,AI21+AH22-AQ21)))</f>
        <v>135.19999999999999</v>
      </c>
      <c r="AJ22" s="13">
        <f>AI22*VLOOKUP('Données projet'!$B$10,Paramètres!$A$1:$I$89,3,0)*VLOOKUP('Données projet'!$B$10,Paramètres!$A$1:$I$89,5,0)</f>
        <v>122.32895999999998</v>
      </c>
      <c r="AK22" s="13">
        <f t="shared" si="35"/>
        <v>32.217581794883031</v>
      </c>
      <c r="AL22" s="20">
        <f t="shared" si="4"/>
        <v>269.16856029275453</v>
      </c>
      <c r="AM22" s="59">
        <f t="shared" si="5"/>
        <v>549.05744918164339</v>
      </c>
      <c r="AN22" s="59">
        <f ca="1">AVERAGE(OFFSET($AM$3,0,0,'Données projet'!$E$10+1,1))-AVERAGE(OFFSET($H$3,0,0,'Données projet'!$E$10+1,1))</f>
        <v>302.6112905010138</v>
      </c>
      <c r="AO22" s="59">
        <f t="shared" si="36"/>
        <v>423.44006663873375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1.9725797618475795</v>
      </c>
      <c r="AX22" s="21">
        <f t="shared" si="6"/>
        <v>1.9725797618475795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10</v>
      </c>
      <c r="BD22" s="12">
        <f>IF('Données projet'!$A$88&gt;35,BD21+BC22-BL21,IF(A22&lt;'Données projet'!$A$88,$BA$205^A22,IF(A22='Données projet'!$A$88,'Données projet'!$B$88,BD21+BC22-BL21)))</f>
        <v>81</v>
      </c>
      <c r="BE22" s="13">
        <f>BD22*VLOOKUP('Données projet'!$B$11,Paramètres!$A$1:$I$89,3,0)*VLOOKUP('Données projet'!$B$11,Paramètres!$A$1:$I$89,5,0)</f>
        <v>48.438000000000009</v>
      </c>
      <c r="BF22" s="13">
        <f t="shared" si="37"/>
        <v>14.209624244846971</v>
      </c>
      <c r="BG22" s="20">
        <f t="shared" si="7"/>
        <v>109.11127889310849</v>
      </c>
      <c r="BH22" s="59">
        <f t="shared" si="8"/>
        <v>389.00016778199733</v>
      </c>
      <c r="BI22" s="59">
        <f ca="1">AVERAGE(OFFSET($BH$3,0,0,'Données projet'!$E$11+1,1))-AVERAGE(OFFSET($H$3,0,0,'Données projet'!$E$11+1,1))</f>
        <v>207.91763299672158</v>
      </c>
      <c r="BJ22" s="59">
        <f t="shared" si="38"/>
        <v>230.81096055024483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0.53821954628860658</v>
      </c>
      <c r="BQ22" s="21">
        <f>EXP(-LN(2)/25)*BQ21+(1-EXP(-LN(2)/25))/(LN(2)/25)*Calculateur!BL22*Calculateur!BN22*VLOOKUP('Données projet'!$B$11,Paramètres!$A$1:$I$89,3,0)*0.475*44/12</f>
        <v>0.52351011731144304</v>
      </c>
      <c r="BR22" s="21">
        <f>EXP(-LN(2)/2)*BR21+(1-EXP(-LN(2)/2))/(LN(2)/2)*BL22*BO22*VLOOKUP('Données projet'!$B$11,Paramètres!$A$1:$I$89,3,0)*0.475*44/12</f>
        <v>1.1490342312113146</v>
      </c>
      <c r="BS22" s="22">
        <f t="shared" si="9"/>
        <v>2.2107638948113646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158</v>
      </c>
      <c r="L23" s="12">
        <f>VLOOKUP(A23,'Données projet'!$A$35:$I$55,9,0)</f>
        <v>7.9</v>
      </c>
      <c r="M23" s="12">
        <f t="array" ref="M23">INDEX(L:L,MIN(IF(ISNUMBER(L23:L219),ROW(L23:L219),"")))</f>
        <v>7.9</v>
      </c>
      <c r="N23" s="13">
        <f>IF('Données projet'!$A$36&gt;35,N22+M23-V22,IF(A23&lt;'Données projet'!$A$36,$K$205^A23,IF(A23='Données projet'!$A$36,'Données projet'!$B$36,N22+M23-V22)))</f>
        <v>158</v>
      </c>
      <c r="O23" s="13">
        <f>N23*VLOOKUP('Données projet'!$B$9,Paramètres!$A$1:$I$89,3,0)*VLOOKUP('Données projet'!$B$9,Paramètres!$A$1:$I$89,5,0)</f>
        <v>73.944000000000003</v>
      </c>
      <c r="P23" s="13">
        <f t="shared" si="33"/>
        <v>20.649745460165708</v>
      </c>
      <c r="Q23" s="20">
        <f t="shared" si="2"/>
        <v>164.75077334312192</v>
      </c>
      <c r="R23" s="59">
        <f t="shared" si="0"/>
        <v>445.86188445423306</v>
      </c>
      <c r="S23" s="59">
        <f ca="1">AVERAGE(OFFSET($R$3,0,0,'Données projet'!$E$9+1,1))-AVERAGE(OFFSET($H$3,0,0,'Données projet'!$E$9+1,1))</f>
        <v>319.22903094674564</v>
      </c>
      <c r="T23" s="59">
        <f t="shared" si="34"/>
        <v>254.58690973142848</v>
      </c>
      <c r="U23" s="15">
        <f>IF(ISNA(VLOOKUP(A23,'Données projet'!$A$35:$I$55,3,0)),0,VLOOKUP(A23,'Données projet'!$A$35:$I$55,3,0))</f>
        <v>1</v>
      </c>
      <c r="V23" s="15">
        <f>IF(ISNA(VLOOKUP(A23,'Données projet'!$A$35:$I$55,4,0)),0,VLOOKUP(A23,'Données projet'!$A$35:$I$55,4,0))</f>
        <v>39.5</v>
      </c>
      <c r="W23" s="16">
        <f>IF(ISNA(VLOOKUP(A23,'Données projet'!$A$35:$I$55,5,0)),0%,VLOOKUP(A23,'Données projet'!$A$35:$I$55,5,0)*VLOOKUP('Données projet'!$B$9,Paramètres!$A$1:$I$89,7,0))</f>
        <v>0.11000000000000001</v>
      </c>
      <c r="X23" s="16">
        <f>IF(ISNA(VLOOKUP(A23,'Données projet'!$A$35:$I$55,6,0)),0%,VLOOKUP(A23,'Données projet'!$A$35:$I$55,6,0)*VLOOKUP('Données projet'!$B$9,Paramètres!$A$1:$I$89,7,0))</f>
        <v>0.11000000000000001</v>
      </c>
      <c r="Y23" s="16">
        <f>IF(ISNA(VLOOKUP(A23,'Données projet'!$A$35:$I$55,7,0)),0%,VLOOKUP(A23,'Données projet'!$A$35:$I$55,7,0))</f>
        <v>0.6</v>
      </c>
      <c r="Z23" s="21">
        <f>EXP(-LN(2)/35)*Z22+(1-EXP(-LN(2)/35))/(LN(2)/35)*V23*W23*VLOOKUP('Données projet'!$B$9,Paramètres!$A$1:$I$89,3,0)*0.475*44/12</f>
        <v>2.6975157575580879</v>
      </c>
      <c r="AA23" s="21">
        <f>EXP(-LN(2)/25)*AA22+(1-EXP(-LN(2)/25))/(LN(2)/25)*Calculateur!V23*Calculateur!X23*VLOOKUP('Données projet'!$B$9,Paramètres!$A$1:$I$89,3,0)*0.475*44/12</f>
        <v>2.686894610186497</v>
      </c>
      <c r="AB23" s="21">
        <f>EXP(-LN(2)/2)*AB22+(1-EXP(-LN(2)/2))/(LN(2)/2)*V23*Y23*VLOOKUP('Données projet'!$B$9,Paramètres!$A$1:$I$89,3,0)*0.475*44/12</f>
        <v>12.558267751244545</v>
      </c>
      <c r="AC23" s="22">
        <f t="shared" si="3"/>
        <v>17.942678118989129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145</v>
      </c>
      <c r="AG23" s="12">
        <f>VLOOKUP(A23,'Données projet'!$A$61:$I$81,9,0)</f>
        <v>9.8000000000000007</v>
      </c>
      <c r="AH23" s="12">
        <f t="array" ref="AH23">INDEX(AG:AG,MIN(IF(ISNUMBER(AG23:AG219),ROW(AG23:AG219),"")))</f>
        <v>9.8000000000000007</v>
      </c>
      <c r="AI23" s="13">
        <f>IF('Données projet'!$A$62&gt;35,AI22+AH23-AQ22,IF(A23&lt;'Données projet'!$A$62,$AF$205^A23,IF(A23='Données projet'!$A$62,'Données projet'!$B$62,AI22+AH23-AQ22)))</f>
        <v>145</v>
      </c>
      <c r="AJ23" s="13">
        <f>AI23*VLOOKUP('Données projet'!$B$10,Paramètres!$A$1:$I$89,3,0)*VLOOKUP('Données projet'!$B$10,Paramètres!$A$1:$I$89,5,0)</f>
        <v>131.196</v>
      </c>
      <c r="AK23" s="13">
        <f t="shared" si="35"/>
        <v>34.272572346624997</v>
      </c>
      <c r="AL23" s="20">
        <f t="shared" si="4"/>
        <v>288.19109683703851</v>
      </c>
      <c r="AM23" s="59">
        <f t="shared" si="5"/>
        <v>569.30220794814966</v>
      </c>
      <c r="AN23" s="59">
        <f ca="1">AVERAGE(OFFSET($AM$3,0,0,'Données projet'!$E$10+1,1))-AVERAGE(OFFSET($H$3,0,0,'Données projet'!$E$10+1,1))</f>
        <v>302.6112905010138</v>
      </c>
      <c r="AO23" s="59">
        <f t="shared" si="36"/>
        <v>423.44006663873375</v>
      </c>
      <c r="AP23" s="15">
        <f>IF(ISNA(VLOOKUP(A23,'Données projet'!$A$61:$I$81,3,0)),0,VLOOKUP(A23,'Données projet'!$A$61:$I$81,3,0))</f>
        <v>4</v>
      </c>
      <c r="AQ23" s="15">
        <f>IF(ISNA(VLOOKUP(A23,'Données projet'!$A$61:$I$81,4,0)),0,VLOOKUP(A23,'Données projet'!$A$61:$I$81,4,0))</f>
        <v>14</v>
      </c>
      <c r="AR23" s="16">
        <f>IF(ISNA(VLOOKUP(A23,'Données projet'!$A$61:$I$81,5,0)),0%,VLOOKUP(A23,'Données projet'!$A$61:$I$81,5,0)*VLOOKUP('Données projet'!$B$10,Paramètres!$A$1:$I$89,7,0))</f>
        <v>0.03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0.4</v>
      </c>
      <c r="AU23" s="21">
        <f>EXP(-LN(2)/35)*AU22+(1-EXP(-LN(2)/35))/(LN(2)/35)*AQ23*AR23*VLOOKUP('Données projet'!$B$10,Paramètres!$A$1:$I$89,3,0)*0.475*44/12</f>
        <v>0.42009643174859351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6.1755621791095177</v>
      </c>
      <c r="AX23" s="21">
        <f t="shared" si="6"/>
        <v>6.595658610858111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91</v>
      </c>
      <c r="BB23" s="12">
        <f>VLOOKUP(A23,'Données projet'!$A$87:$I$107,9,0)</f>
        <v>10</v>
      </c>
      <c r="BC23" s="12">
        <f t="array" ref="BC23">INDEX(BB:BB,MIN(IF(ISNUMBER(BB23:BB219),ROW(BB23:BB219),"")))</f>
        <v>10</v>
      </c>
      <c r="BD23" s="12">
        <f>IF('Données projet'!$A$88&gt;35,BD22+BC23-BL22,IF(A23&lt;'Données projet'!$A$88,$BA$205^A23,IF(A23='Données projet'!$A$88,'Données projet'!$B$88,BD22+BC23-BL22)))</f>
        <v>91</v>
      </c>
      <c r="BE23" s="13">
        <f>BD23*VLOOKUP('Données projet'!$B$11,Paramètres!$A$1:$I$89,3,0)*VLOOKUP('Données projet'!$B$11,Paramètres!$A$1:$I$89,5,0)</f>
        <v>54.417999999999999</v>
      </c>
      <c r="BF23" s="13">
        <f t="shared" si="37"/>
        <v>15.749044324804036</v>
      </c>
      <c r="BG23" s="20">
        <f t="shared" si="7"/>
        <v>122.20760219903367</v>
      </c>
      <c r="BH23" s="59">
        <f t="shared" si="8"/>
        <v>403.3187133101448</v>
      </c>
      <c r="BI23" s="59">
        <f ca="1">AVERAGE(OFFSET($BH$3,0,0,'Données projet'!$E$11+1,1))-AVERAGE(OFFSET($H$3,0,0,'Données projet'!$E$11+1,1))</f>
        <v>207.91763299672158</v>
      </c>
      <c r="BJ23" s="59">
        <f t="shared" si="38"/>
        <v>230.81096055024483</v>
      </c>
      <c r="BK23" s="15">
        <f>IF(ISNA(VLOOKUP(A23,'Données projet'!$A$87:$I$107,3,0)),0,VLOOKUP(A23,'Données projet'!$A$87:$I$107,3,0))</f>
        <v>3</v>
      </c>
      <c r="BL23" s="15">
        <f>IF(ISNA(VLOOKUP(A23,'Données projet'!$A$87:$I$107,4,0)),0,VLOOKUP(A23,'Données projet'!$A$87:$I$107,4,0))</f>
        <v>14</v>
      </c>
      <c r="BM23" s="16">
        <f>IF(ISNA(VLOOKUP(A23,'Données projet'!$A$87:$I$107,5,0)),0%,VLOOKUP(A23,'Données projet'!$A$87:$I$107,5,0)*VLOOKUP('Données projet'!$B$11,Paramètres!$A$1:$I$89,7,0))</f>
        <v>0.13500000000000001</v>
      </c>
      <c r="BN23" s="16">
        <f>IF(ISNA(VLOOKUP(A23,'Données projet'!$A$87:$I$107,6,0)),0%,VLOOKUP(A23,'Données projet'!$A$87:$I$107,6,0)*VLOOKUP('Données projet'!$B$11,Paramètres!$A$1:$I$89,7,0))</f>
        <v>0.18000000000000002</v>
      </c>
      <c r="BO23" s="16">
        <f>IF(ISNA(VLOOKUP(A23,'Données projet'!$A$87:$I$107,7,0)),0%,VLOOKUP(A23,'Données projet'!$A$87:$I$107,7,0))</f>
        <v>0.3</v>
      </c>
      <c r="BP23" s="21">
        <f>EXP(-LN(2)/35)*BP22+(1-EXP(-LN(2)/35))/(LN(2)/35)*BL23*BM23*VLOOKUP('Données projet'!$B$11,Paramètres!$A$1:$I$89,3,0)*0.475*44/12</f>
        <v>2.0269750680942726</v>
      </c>
      <c r="BQ23" s="21">
        <f>EXP(-LN(2)/25)*BQ22+(1-EXP(-LN(2)/25))/(LN(2)/25)*Calculateur!BL23*Calculateur!BN23*VLOOKUP('Données projet'!$B$11,Paramètres!$A$1:$I$89,3,0)*0.475*44/12</f>
        <v>2.5004031394094417</v>
      </c>
      <c r="BR23" s="21">
        <f>EXP(-LN(2)/2)*BR22+(1-EXP(-LN(2)/2))/(LN(2)/2)*BL23*BO23*VLOOKUP('Données projet'!$B$11,Paramètres!$A$1:$I$89,3,0)*0.475*44/12</f>
        <v>3.6562045351724635</v>
      </c>
      <c r="BS23" s="22">
        <f t="shared" si="9"/>
        <v>8.1835827426761778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9.1999999999999993</v>
      </c>
      <c r="N24" s="13">
        <f>IF('Données projet'!$A$36&gt;35,N23+M24-V23,IF(A24&lt;'Données projet'!$A$36,$K$205^A24,IF(A24='Données projet'!$A$36,'Données projet'!$B$36,N23+M24-V23)))</f>
        <v>127.69999999999999</v>
      </c>
      <c r="O24" s="13">
        <f>N24*VLOOKUP('Données projet'!$B$9,Paramètres!$A$1:$I$89,3,0)*VLOOKUP('Données projet'!$B$9,Paramètres!$A$1:$I$89,5,0)</f>
        <v>59.763599999999997</v>
      </c>
      <c r="P24" s="13">
        <f t="shared" si="33"/>
        <v>17.108485949725164</v>
      </c>
      <c r="Q24" s="20">
        <f t="shared" si="2"/>
        <v>133.88554969577129</v>
      </c>
      <c r="R24" s="59">
        <f t="shared" si="0"/>
        <v>416.21888302910463</v>
      </c>
      <c r="S24" s="59">
        <f ca="1">AVERAGE(OFFSET($R$3,0,0,'Données projet'!$E$9+1,1))-AVERAGE(OFFSET($H$3,0,0,'Données projet'!$E$9+1,1))</f>
        <v>319.22903094674564</v>
      </c>
      <c r="T24" s="59">
        <f t="shared" si="34"/>
        <v>254.58690973142848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2.6446191188745241</v>
      </c>
      <c r="AA24" s="21">
        <f>EXP(-LN(2)/25)*AA23+(1-EXP(-LN(2)/25))/(LN(2)/25)*Calculateur!V24*Calculateur!X24*VLOOKUP('Données projet'!$B$9,Paramètres!$A$1:$I$89,3,0)*0.475*44/12</f>
        <v>2.6134213357733005</v>
      </c>
      <c r="AB24" s="21">
        <f>EXP(-LN(2)/2)*AB23+(1-EXP(-LN(2)/2))/(LN(2)/2)*V24*Y24*VLOOKUP('Données projet'!$B$9,Paramètres!$A$1:$I$89,3,0)*0.475*44/12</f>
        <v>8.8800362868613529</v>
      </c>
      <c r="AC24" s="22">
        <f t="shared" si="3"/>
        <v>14.138076741509177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8.4</v>
      </c>
      <c r="AI24" s="13">
        <f>IF('Données projet'!$A$62&gt;35,AI23+AH24-AQ23,IF(A24&lt;'Données projet'!$A$62,$AF$205^A24,IF(A24='Données projet'!$A$62,'Données projet'!$B$62,AI23+AH24-AQ23)))</f>
        <v>139.4</v>
      </c>
      <c r="AJ24" s="13">
        <f>AI24*VLOOKUP('Données projet'!$B$10,Paramètres!$A$1:$I$89,3,0)*VLOOKUP('Données projet'!$B$10,Paramètres!$A$1:$I$89,5,0)</f>
        <v>126.12912000000001</v>
      </c>
      <c r="AK24" s="13">
        <f t="shared" si="35"/>
        <v>33.100345121748241</v>
      </c>
      <c r="AL24" s="20">
        <f t="shared" si="4"/>
        <v>277.32465175371152</v>
      </c>
      <c r="AM24" s="59">
        <f t="shared" si="5"/>
        <v>559.65798508704484</v>
      </c>
      <c r="AN24" s="59">
        <f ca="1">AVERAGE(OFFSET($AM$3,0,0,'Données projet'!$E$10+1,1))-AVERAGE(OFFSET($H$3,0,0,'Données projet'!$E$10+1,1))</f>
        <v>302.6112905010138</v>
      </c>
      <c r="AO24" s="59">
        <f t="shared" si="36"/>
        <v>423.44006663873375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0.41185859695552601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4.366781894487513</v>
      </c>
      <c r="AX24" s="21">
        <f t="shared" si="6"/>
        <v>4.7786404914430394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11</v>
      </c>
      <c r="BD24" s="12">
        <f>IF('Données projet'!$A$88&gt;35,BD23+BC24-BL23,IF(A24&lt;'Données projet'!$A$88,$BA$205^A24,IF(A24='Données projet'!$A$88,'Données projet'!$B$88,BD23+BC24-BL23)))</f>
        <v>88</v>
      </c>
      <c r="BE24" s="13">
        <f>BD24*VLOOKUP('Données projet'!$B$11,Paramètres!$A$1:$I$89,3,0)*VLOOKUP('Données projet'!$B$11,Paramètres!$A$1:$I$89,5,0)</f>
        <v>52.624000000000009</v>
      </c>
      <c r="BF24" s="13">
        <f t="shared" si="37"/>
        <v>15.289388641788772</v>
      </c>
      <c r="BG24" s="20">
        <f t="shared" si="7"/>
        <v>118.28248521778211</v>
      </c>
      <c r="BH24" s="59">
        <f t="shared" si="8"/>
        <v>400.61581855111541</v>
      </c>
      <c r="BI24" s="59">
        <f ca="1">AVERAGE(OFFSET($BH$3,0,0,'Données projet'!$E$11+1,1))-AVERAGE(OFFSET($H$3,0,0,'Données projet'!$E$11+1,1))</f>
        <v>207.91763299672158</v>
      </c>
      <c r="BJ24" s="59">
        <f t="shared" si="38"/>
        <v>230.81096055024483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1.9872273233416577</v>
      </c>
      <c r="BQ24" s="21">
        <f>EXP(-LN(2)/25)*BQ23+(1-EXP(-LN(2)/25))/(LN(2)/25)*Calculateur!BL24*Calculateur!BN24*VLOOKUP('Données projet'!$B$11,Paramètres!$A$1:$I$89,3,0)*0.475*44/12</f>
        <v>2.432029484071804</v>
      </c>
      <c r="BR24" s="21">
        <f>EXP(-LN(2)/2)*BR23+(1-EXP(-LN(2)/2))/(LN(2)/2)*BL24*BO24*VLOOKUP('Données projet'!$B$11,Paramètres!$A$1:$I$89,3,0)*0.475*44/12</f>
        <v>2.5853270202254581</v>
      </c>
      <c r="BS24" s="22">
        <f t="shared" si="9"/>
        <v>7.0045838276389194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9.1999999999999993</v>
      </c>
      <c r="N25" s="13">
        <f>IF('Données projet'!$A$36&gt;35,N24+M25-V24,IF(A25&lt;'Données projet'!$A$36,$K$205^A25,IF(A25='Données projet'!$A$36,'Données projet'!$B$36,N24+M25-V24)))</f>
        <v>136.89999999999998</v>
      </c>
      <c r="O25" s="13">
        <f>N25*VLOOKUP('Données projet'!$B$9,Paramètres!$A$1:$I$89,3,0)*VLOOKUP('Données projet'!$B$9,Paramètres!$A$1:$I$89,5,0)</f>
        <v>64.069199999999995</v>
      </c>
      <c r="P25" s="13">
        <f t="shared" si="33"/>
        <v>18.193128517714101</v>
      </c>
      <c r="Q25" s="20">
        <f t="shared" si="2"/>
        <v>143.27355550168537</v>
      </c>
      <c r="R25" s="59">
        <f t="shared" si="0"/>
        <v>426.82911105724088</v>
      </c>
      <c r="S25" s="59">
        <f ca="1">AVERAGE(OFFSET($R$3,0,0,'Données projet'!$E$9+1,1))-AVERAGE(OFFSET($H$3,0,0,'Données projet'!$E$9+1,1))</f>
        <v>319.22903094674564</v>
      </c>
      <c r="T25" s="59">
        <f t="shared" si="34"/>
        <v>254.58690973142848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2.5927597510117808</v>
      </c>
      <c r="AA25" s="21">
        <f>EXP(-LN(2)/25)*AA24+(1-EXP(-LN(2)/25))/(LN(2)/25)*Calculateur!V25*Calculateur!X25*VLOOKUP('Données projet'!$B$9,Paramètres!$A$1:$I$89,3,0)*0.475*44/12</f>
        <v>2.5419571919127244</v>
      </c>
      <c r="AB25" s="21">
        <f>EXP(-LN(2)/2)*AB24+(1-EXP(-LN(2)/2))/(LN(2)/2)*V25*Y25*VLOOKUP('Données projet'!$B$9,Paramètres!$A$1:$I$89,3,0)*0.475*44/12</f>
        <v>6.2791338756222732</v>
      </c>
      <c r="AC25" s="22">
        <f t="shared" si="3"/>
        <v>11.413850818546779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8.4</v>
      </c>
      <c r="AI25" s="13">
        <f>IF('Données projet'!$A$62&gt;35,AI24+AH25-AQ24,IF(A25&lt;'Données projet'!$A$62,$AF$205^A25,IF(A25='Données projet'!$A$62,'Données projet'!$B$62,AI24+AH25-AQ24)))</f>
        <v>147.80000000000001</v>
      </c>
      <c r="AJ25" s="13">
        <f>AI25*VLOOKUP('Données projet'!$B$10,Paramètres!$A$1:$I$89,3,0)*VLOOKUP('Données projet'!$B$10,Paramètres!$A$1:$I$89,5,0)</f>
        <v>133.72944000000001</v>
      </c>
      <c r="AK25" s="13">
        <f t="shared" si="35"/>
        <v>34.856699711744326</v>
      </c>
      <c r="AL25" s="20">
        <f t="shared" si="4"/>
        <v>293.62085999795471</v>
      </c>
      <c r="AM25" s="59">
        <f t="shared" si="5"/>
        <v>577.1764155535102</v>
      </c>
      <c r="AN25" s="59">
        <f ca="1">AVERAGE(OFFSET($AM$3,0,0,'Données projet'!$E$10+1,1))-AVERAGE(OFFSET($H$3,0,0,'Données projet'!$E$10+1,1))</f>
        <v>302.6112905010138</v>
      </c>
      <c r="AO25" s="59">
        <f t="shared" si="36"/>
        <v>423.44006663873375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0.40378230107816748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3.0877810895547597</v>
      </c>
      <c r="AX25" s="21">
        <f t="shared" si="6"/>
        <v>3.4915633906329271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11</v>
      </c>
      <c r="BD25" s="12">
        <f>IF('Données projet'!$A$88&gt;35,BD24+BC25-BL24,IF(A25&lt;'Données projet'!$A$88,$BA$205^A25,IF(A25='Données projet'!$A$88,'Données projet'!$B$88,BD24+BC25-BL24)))</f>
        <v>99</v>
      </c>
      <c r="BE25" s="13">
        <f>BD25*VLOOKUP('Données projet'!$B$11,Paramètres!$A$1:$I$89,3,0)*VLOOKUP('Données projet'!$B$11,Paramètres!$A$1:$I$89,5,0)</f>
        <v>59.201999999999998</v>
      </c>
      <c r="BF25" s="13">
        <f t="shared" si="37"/>
        <v>16.966352622896878</v>
      </c>
      <c r="BG25" s="20">
        <f t="shared" si="7"/>
        <v>132.65988081821206</v>
      </c>
      <c r="BH25" s="59">
        <f t="shared" si="8"/>
        <v>416.2154363737676</v>
      </c>
      <c r="BI25" s="59">
        <f ca="1">AVERAGE(OFFSET($BH$3,0,0,'Données projet'!$E$11+1,1))-AVERAGE(OFFSET($H$3,0,0,'Données projet'!$E$11+1,1))</f>
        <v>207.91763299672158</v>
      </c>
      <c r="BJ25" s="59">
        <f t="shared" si="38"/>
        <v>230.81096055024483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1.9482590076199113</v>
      </c>
      <c r="BQ25" s="21">
        <f>EXP(-LN(2)/25)*BQ24+(1-EXP(-LN(2)/25))/(LN(2)/25)*Calculateur!BL25*Calculateur!BN25*VLOOKUP('Données projet'!$B$11,Paramètres!$A$1:$I$89,3,0)*0.475*44/12</f>
        <v>2.3655255099349883</v>
      </c>
      <c r="BR25" s="21">
        <f>EXP(-LN(2)/2)*BR24+(1-EXP(-LN(2)/2))/(LN(2)/2)*BL25*BO25*VLOOKUP('Données projet'!$B$11,Paramètres!$A$1:$I$89,3,0)*0.475*44/12</f>
        <v>1.8281022675862322</v>
      </c>
      <c r="BS25" s="22">
        <f t="shared" si="9"/>
        <v>6.1418867851411321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9.1999999999999993</v>
      </c>
      <c r="N26" s="13">
        <f>IF('Données projet'!$A$36&gt;35,N25+M26-V25,IF(A26&lt;'Données projet'!$A$36,$K$205^A26,IF(A26='Données projet'!$A$36,'Données projet'!$B$36,N25+M26-V25)))</f>
        <v>146.09999999999997</v>
      </c>
      <c r="O26" s="13">
        <f>N26*VLOOKUP('Données projet'!$B$9,Paramètres!$A$1:$I$89,3,0)*VLOOKUP('Données projet'!$B$9,Paramètres!$A$1:$I$89,5,0)</f>
        <v>68.374799999999979</v>
      </c>
      <c r="P26" s="13">
        <f t="shared" si="33"/>
        <v>19.269313009600907</v>
      </c>
      <c r="Q26" s="20">
        <f t="shared" si="2"/>
        <v>152.64683015838821</v>
      </c>
      <c r="R26" s="59">
        <f t="shared" si="0"/>
        <v>437.42460793616601</v>
      </c>
      <c r="S26" s="59">
        <f ca="1">AVERAGE(OFFSET($R$3,0,0,'Données projet'!$E$9+1,1))-AVERAGE(OFFSET($H$3,0,0,'Données projet'!$E$9+1,1))</f>
        <v>319.22903094674564</v>
      </c>
      <c r="T26" s="59">
        <f t="shared" si="34"/>
        <v>254.58690973142848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2.541917313721735</v>
      </c>
      <c r="AA26" s="21">
        <f>EXP(-LN(2)/25)*AA25+(1-EXP(-LN(2)/25))/(LN(2)/25)*Calculateur!V26*Calculateur!X26*VLOOKUP('Données projet'!$B$9,Paramètres!$A$1:$I$89,3,0)*0.475*44/12</f>
        <v>2.4724472388241518</v>
      </c>
      <c r="AB26" s="21">
        <f>EXP(-LN(2)/2)*AB25+(1-EXP(-LN(2)/2))/(LN(2)/2)*V26*Y26*VLOOKUP('Données projet'!$B$9,Paramètres!$A$1:$I$89,3,0)*0.475*44/12</f>
        <v>4.4400181434306774</v>
      </c>
      <c r="AC26" s="22">
        <f t="shared" si="3"/>
        <v>9.4543826959765642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8.4</v>
      </c>
      <c r="AI26" s="13">
        <f>IF('Données projet'!$A$62&gt;35,AI25+AH26-AQ25,IF(A26&lt;'Données projet'!$A$62,$AF$205^A26,IF(A26='Données projet'!$A$62,'Données projet'!$B$62,AI25+AH26-AQ25)))</f>
        <v>156.20000000000002</v>
      </c>
      <c r="AJ26" s="13">
        <f>AI26*VLOOKUP('Données projet'!$B$10,Paramètres!$A$1:$I$89,3,0)*VLOOKUP('Données projet'!$B$10,Paramètres!$A$1:$I$89,5,0)</f>
        <v>141.32976000000002</v>
      </c>
      <c r="AK26" s="13">
        <f t="shared" si="35"/>
        <v>36.601467030988793</v>
      </c>
      <c r="AL26" s="20">
        <f t="shared" si="4"/>
        <v>309.89688707897216</v>
      </c>
      <c r="AM26" s="59">
        <f t="shared" si="5"/>
        <v>594.67466485674993</v>
      </c>
      <c r="AN26" s="59">
        <f ca="1">AVERAGE(OFFSET($AM$3,0,0,'Données projet'!$E$10+1,1))-AVERAGE(OFFSET($H$3,0,0,'Données projet'!$E$10+1,1))</f>
        <v>302.6112905010138</v>
      </c>
      <c r="AO26" s="59">
        <f t="shared" si="36"/>
        <v>423.44006663873375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0.39586437643690986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2.1833909472437569</v>
      </c>
      <c r="AX26" s="21">
        <f t="shared" si="6"/>
        <v>2.579255323680667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11</v>
      </c>
      <c r="BD26" s="12">
        <f>IF('Données projet'!$A$88&gt;35,BD25+BC26-BL25,IF(A26&lt;'Données projet'!$A$88,$BA$205^A26,IF(A26='Données projet'!$A$88,'Données projet'!$B$88,BD25+BC26-BL25)))</f>
        <v>110</v>
      </c>
      <c r="BE26" s="13">
        <f>BD26*VLOOKUP('Données projet'!$B$11,Paramètres!$A$1:$I$89,3,0)*VLOOKUP('Données projet'!$B$11,Paramètres!$A$1:$I$89,5,0)</f>
        <v>65.78</v>
      </c>
      <c r="BF26" s="13">
        <f t="shared" si="37"/>
        <v>18.621720661480644</v>
      </c>
      <c r="BG26" s="20">
        <f t="shared" si="7"/>
        <v>146.99966348541213</v>
      </c>
      <c r="BH26" s="59">
        <f t="shared" si="8"/>
        <v>431.77744126318987</v>
      </c>
      <c r="BI26" s="59">
        <f ca="1">AVERAGE(OFFSET($BH$3,0,0,'Données projet'!$E$11+1,1))-AVERAGE(OFFSET($H$3,0,0,'Données projet'!$E$11+1,1))</f>
        <v>207.91763299672158</v>
      </c>
      <c r="BJ26" s="59">
        <f t="shared" si="38"/>
        <v>230.81096055024483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1.9100548368011425</v>
      </c>
      <c r="BQ26" s="21">
        <f>EXP(-LN(2)/25)*BQ25+(1-EXP(-LN(2)/25))/(LN(2)/25)*Calculateur!BL26*Calculateur!BN26*VLOOKUP('Données projet'!$B$11,Paramètres!$A$1:$I$89,3,0)*0.475*44/12</f>
        <v>2.300840090468236</v>
      </c>
      <c r="BR26" s="21">
        <f>EXP(-LN(2)/2)*BR25+(1-EXP(-LN(2)/2))/(LN(2)/2)*BL26*BO26*VLOOKUP('Données projet'!$B$11,Paramètres!$A$1:$I$89,3,0)*0.475*44/12</f>
        <v>1.2926635101127293</v>
      </c>
      <c r="BS26" s="22">
        <f t="shared" si="9"/>
        <v>5.5035584373821074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9.1999999999999993</v>
      </c>
      <c r="N27" s="13">
        <f>IF('Données projet'!$A$36&gt;35,N26+M27-V26,IF(A27&lt;'Données projet'!$A$36,$K$205^A27,IF(A27='Données projet'!$A$36,'Données projet'!$B$36,N26+M27-V26)))</f>
        <v>155.29999999999995</v>
      </c>
      <c r="O27" s="13">
        <f>N27*VLOOKUP('Données projet'!$B$9,Paramètres!$A$1:$I$89,3,0)*VLOOKUP('Données projet'!$B$9,Paramètres!$A$1:$I$89,5,0)</f>
        <v>72.680399999999977</v>
      </c>
      <c r="P27" s="13">
        <f t="shared" si="33"/>
        <v>20.337632665681216</v>
      </c>
      <c r="Q27" s="20">
        <f t="shared" si="2"/>
        <v>162.00640689272805</v>
      </c>
      <c r="R27" s="59">
        <f t="shared" si="0"/>
        <v>448.00640689272802</v>
      </c>
      <c r="S27" s="59">
        <f ca="1">AVERAGE(OFFSET($R$3,0,0,'Données projet'!$E$9+1,1))-AVERAGE(OFFSET($H$3,0,0,'Données projet'!$E$9+1,1))</f>
        <v>319.22903094674564</v>
      </c>
      <c r="T27" s="59">
        <f t="shared" si="34"/>
        <v>254.58690973142848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2.492071865616122</v>
      </c>
      <c r="AA27" s="21">
        <f>EXP(-LN(2)/25)*AA26+(1-EXP(-LN(2)/25))/(LN(2)/25)*Calculateur!V27*Calculateur!X27*VLOOKUP('Données projet'!$B$9,Paramètres!$A$1:$I$89,3,0)*0.475*44/12</f>
        <v>2.4048380390581561</v>
      </c>
      <c r="AB27" s="21">
        <f>EXP(-LN(2)/2)*AB26+(1-EXP(-LN(2)/2))/(LN(2)/2)*V27*Y27*VLOOKUP('Données projet'!$B$9,Paramètres!$A$1:$I$89,3,0)*0.475*44/12</f>
        <v>3.139566937811137</v>
      </c>
      <c r="AC27" s="22">
        <f t="shared" si="3"/>
        <v>8.0364768424854152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8.4</v>
      </c>
      <c r="AI27" s="13">
        <f>IF('Données projet'!$A$62&gt;35,AI26+AH27-AQ26,IF(A27&lt;'Données projet'!$A$62,$AF$205^A27,IF(A27='Données projet'!$A$62,'Données projet'!$B$62,AI26+AH27-AQ26)))</f>
        <v>164.60000000000002</v>
      </c>
      <c r="AJ27" s="13">
        <f>AI27*VLOOKUP('Données projet'!$B$10,Paramètres!$A$1:$I$89,3,0)*VLOOKUP('Données projet'!$B$10,Paramètres!$A$1:$I$89,5,0)</f>
        <v>148.93008</v>
      </c>
      <c r="AK27" s="13">
        <f t="shared" si="35"/>
        <v>38.335341256889777</v>
      </c>
      <c r="AL27" s="20">
        <f t="shared" si="4"/>
        <v>326.1539420224164</v>
      </c>
      <c r="AM27" s="59">
        <f t="shared" si="5"/>
        <v>612.15394202241646</v>
      </c>
      <c r="AN27" s="59">
        <f ca="1">AVERAGE(OFFSET($AM$3,0,0,'Données projet'!$E$10+1,1))-AVERAGE(OFFSET($H$3,0,0,'Données projet'!$E$10+1,1))</f>
        <v>302.6112905010138</v>
      </c>
      <c r="AO27" s="59">
        <f t="shared" si="36"/>
        <v>423.44006663873375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0.38810171746841016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1.5438905447773801</v>
      </c>
      <c r="AX27" s="21">
        <f t="shared" si="6"/>
        <v>1.9319922622457901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>
        <f>VLOOKUP(A27,'Données projet'!$A$87:$I$107,2,0)</f>
        <v>121</v>
      </c>
      <c r="BB27" s="12">
        <f>VLOOKUP(A27,'Données projet'!$A$87:$I$107,9,0)</f>
        <v>11</v>
      </c>
      <c r="BC27" s="12">
        <f t="array" ref="BC27">INDEX(BB:BB,MIN(IF(ISNUMBER(BB27:BB223),ROW(BB27:BB223),"")))</f>
        <v>11</v>
      </c>
      <c r="BD27" s="12">
        <f>IF('Données projet'!$A$88&gt;35,BD26+BC27-BL26,IF(A27&lt;'Données projet'!$A$88,$BA$205^A27,IF(A27='Données projet'!$A$88,'Données projet'!$B$88,BD26+BC27-BL26)))</f>
        <v>121</v>
      </c>
      <c r="BE27" s="13">
        <f>BD27*VLOOKUP('Données projet'!$B$11,Paramètres!$A$1:$I$89,3,0)*VLOOKUP('Données projet'!$B$11,Paramètres!$A$1:$I$89,5,0)</f>
        <v>72.358000000000004</v>
      </c>
      <c r="BF27" s="13">
        <f t="shared" si="37"/>
        <v>20.257898193815318</v>
      </c>
      <c r="BG27" s="20">
        <f t="shared" si="7"/>
        <v>161.30602268756169</v>
      </c>
      <c r="BH27" s="59">
        <f t="shared" si="8"/>
        <v>447.30602268756172</v>
      </c>
      <c r="BI27" s="59">
        <f ca="1">AVERAGE(OFFSET($BH$3,0,0,'Données projet'!$E$11+1,1))-AVERAGE(OFFSET($H$3,0,0,'Données projet'!$E$11+1,1))</f>
        <v>207.91763299672158</v>
      </c>
      <c r="BJ27" s="59">
        <f t="shared" si="38"/>
        <v>230.81096055024483</v>
      </c>
      <c r="BK27" s="15">
        <f>IF(ISNA(VLOOKUP(A27,'Données projet'!$A$87:$I$107,3,0)),0,VLOOKUP(A27,'Données projet'!$A$87:$I$107,3,0))</f>
        <v>4</v>
      </c>
      <c r="BL27" s="15">
        <f>IF(ISNA(VLOOKUP(A27,'Données projet'!$A$87:$I$107,4,0)),0,VLOOKUP(A27,'Données projet'!$A$87:$I$107,4,0))</f>
        <v>20</v>
      </c>
      <c r="BM27" s="16">
        <f>IF(ISNA(VLOOKUP(A27,'Données projet'!$A$87:$I$107,5,0)),0%,VLOOKUP(A27,'Données projet'!$A$87:$I$107,5,0)*VLOOKUP('Données projet'!$B$11,Paramètres!$A$1:$I$89,7,0))</f>
        <v>0.18000000000000002</v>
      </c>
      <c r="BN27" s="16">
        <f>IF(ISNA(VLOOKUP(A27,'Données projet'!$A$87:$I$107,6,0)),0%,VLOOKUP(A27,'Données projet'!$A$87:$I$107,6,0)*VLOOKUP('Données projet'!$B$11,Paramètres!$A$1:$I$89,7,0))</f>
        <v>0.13500000000000001</v>
      </c>
      <c r="BO27" s="16">
        <f>IF(ISNA(VLOOKUP(A27,'Données projet'!$A$87:$I$107,7,0)),0%,VLOOKUP(A27,'Données projet'!$A$87:$I$107,7,0))</f>
        <v>0.3</v>
      </c>
      <c r="BP27" s="21">
        <f>EXP(-LN(2)/35)*BP26+(1-EXP(-LN(2)/35))/(LN(2)/35)*BL27*BM27*VLOOKUP('Données projet'!$B$11,Paramètres!$A$1:$I$89,3,0)*0.475*44/12</f>
        <v>4.7284277861401289</v>
      </c>
      <c r="BQ27" s="21">
        <f>EXP(-LN(2)/25)*BQ26+(1-EXP(-LN(2)/25))/(LN(2)/25)*Calculateur!BL27*Calculateur!BN27*VLOOKUP('Données projet'!$B$11,Paramètres!$A$1:$I$89,3,0)*0.475*44/12</f>
        <v>4.3713611048264038</v>
      </c>
      <c r="BR27" s="21">
        <f>EXP(-LN(2)/2)*BR26+(1-EXP(-LN(2)/2))/(LN(2)/2)*BL27*BO27*VLOOKUP('Données projet'!$B$11,Paramètres!$A$1:$I$89,3,0)*0.475*44/12</f>
        <v>4.9765006173180755</v>
      </c>
      <c r="BS27" s="22">
        <f t="shared" si="9"/>
        <v>14.076289508284608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9.1999999999999993</v>
      </c>
      <c r="N28" s="13">
        <f>IF('Données projet'!$A$36&gt;35,N27+M28-V27,IF(A28&lt;'Données projet'!$A$36,$K$205^A28,IF(A28='Données projet'!$A$36,'Données projet'!$B$36,N27+M28-V27)))</f>
        <v>164.49999999999994</v>
      </c>
      <c r="O28" s="13">
        <f>N28*VLOOKUP('Données projet'!$B$9,Paramètres!$A$1:$I$89,3,0)*VLOOKUP('Données projet'!$B$9,Paramètres!$A$1:$I$89,5,0)</f>
        <v>76.985999999999976</v>
      </c>
      <c r="P28" s="13">
        <f t="shared" si="33"/>
        <v>21.398606468170591</v>
      </c>
      <c r="Q28" s="20">
        <f t="shared" si="2"/>
        <v>171.35318959873041</v>
      </c>
      <c r="R28" s="59">
        <f t="shared" si="0"/>
        <v>458.57541182095264</v>
      </c>
      <c r="S28" s="59">
        <f ca="1">AVERAGE(OFFSET($R$3,0,0,'Données projet'!$E$9+1,1))-AVERAGE(OFFSET($H$3,0,0,'Données projet'!$E$9+1,1))</f>
        <v>319.22903094674564</v>
      </c>
      <c r="T28" s="59">
        <f t="shared" si="34"/>
        <v>254.58690973142848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2.4432038563451388</v>
      </c>
      <c r="AA28" s="21">
        <f>EXP(-LN(2)/25)*AA27+(1-EXP(-LN(2)/25))/(LN(2)/25)*Calculateur!V28*Calculateur!X28*VLOOKUP('Données projet'!$B$9,Paramètres!$A$1:$I$89,3,0)*0.475*44/12</f>
        <v>2.3390776164151745</v>
      </c>
      <c r="AB28" s="21">
        <f>EXP(-LN(2)/2)*AB27+(1-EXP(-LN(2)/2))/(LN(2)/2)*V28*Y28*VLOOKUP('Données projet'!$B$9,Paramètres!$A$1:$I$89,3,0)*0.475*44/12</f>
        <v>2.2200090717153387</v>
      </c>
      <c r="AC28" s="22">
        <f t="shared" si="3"/>
        <v>7.0022905444756525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projet'!$A$61:$I$81,2,0)</f>
        <v>173</v>
      </c>
      <c r="AG28" s="12">
        <f>VLOOKUP(A28,'Données projet'!$A$61:$I$81,9,0)</f>
        <v>8.4</v>
      </c>
      <c r="AH28" s="12">
        <f t="array" ref="AH28">INDEX(AG:AG,MIN(IF(ISNUMBER(AG28:AG224),ROW(AG28:AG224),"")))</f>
        <v>8.4</v>
      </c>
      <c r="AI28" s="13">
        <f>IF('Données projet'!$A$62&gt;35,AI27+AH28-AQ27,IF(A28&lt;'Données projet'!$A$62,$AF$205^A28,IF(A28='Données projet'!$A$62,'Données projet'!$B$62,AI27+AH28-AQ27)))</f>
        <v>173.00000000000003</v>
      </c>
      <c r="AJ28" s="13">
        <f>AI28*VLOOKUP('Données projet'!$B$10,Paramètres!$A$1:$I$89,3,0)*VLOOKUP('Données projet'!$B$10,Paramètres!$A$1:$I$89,5,0)</f>
        <v>156.53040000000001</v>
      </c>
      <c r="AK28" s="13">
        <f t="shared" si="35"/>
        <v>40.058941713182037</v>
      </c>
      <c r="AL28" s="20">
        <f t="shared" si="4"/>
        <v>342.39310348379212</v>
      </c>
      <c r="AM28" s="59">
        <f t="shared" si="5"/>
        <v>629.61532570601435</v>
      </c>
      <c r="AN28" s="59">
        <f ca="1">AVERAGE(OFFSET($AM$3,0,0,'Données projet'!$E$10+1,1))-AVERAGE(OFFSET($H$3,0,0,'Données projet'!$E$10+1,1))</f>
        <v>302.6112905010138</v>
      </c>
      <c r="AO28" s="59">
        <f t="shared" si="36"/>
        <v>423.44006663873375</v>
      </c>
      <c r="AP28" s="15">
        <f>IF(ISNA(VLOOKUP(A28,'Données projet'!$A$61:$I$81,3,0)),0,VLOOKUP(A28,'Données projet'!$A$61:$I$81,3,0))</f>
        <v>5</v>
      </c>
      <c r="AQ28" s="15">
        <f>IF(ISNA(VLOOKUP(A28,'Données projet'!$A$61:$I$81,4,0)),0,VLOOKUP(A28,'Données projet'!$A$61:$I$81,4,0))</f>
        <v>11</v>
      </c>
      <c r="AR28" s="16">
        <f>IF(ISNA(VLOOKUP(A28,'Données projet'!$A$61:$I$81,5,0)),0%,VLOOKUP(A28,'Données projet'!$A$61:$I$81,5,0)*VLOOKUP('Données projet'!$B$10,Paramètres!$A$1:$I$89,7,0))</f>
        <v>0.09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0.3</v>
      </c>
      <c r="AU28" s="21">
        <f>EXP(-LN(2)/35)*AU27+(1-EXP(-LN(2)/35))/(LN(2)/35)*AQ28*AR28*VLOOKUP('Données projet'!$B$10,Paramètres!$A$1:$I$89,3,0)*0.475*44/12</f>
        <v>1.3707185829149275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3.9089158763272307</v>
      </c>
      <c r="AX28" s="21">
        <f t="shared" si="6"/>
        <v>5.2796344592421587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11.25</v>
      </c>
      <c r="BD28" s="12">
        <f>IF('Données projet'!$A$88&gt;35,BD27+BC28-BL27,IF(A28&lt;'Données projet'!$A$88,$BA$205^A28,IF(A28='Données projet'!$A$88,'Données projet'!$B$88,BD27+BC28-BL27)))</f>
        <v>112.25</v>
      </c>
      <c r="BE28" s="13">
        <f>BD28*VLOOKUP('Données projet'!$B$11,Paramètres!$A$1:$I$89,3,0)*VLOOKUP('Données projet'!$B$11,Paramètres!$A$1:$I$89,5,0)</f>
        <v>67.125500000000002</v>
      </c>
      <c r="BF28" s="13">
        <f t="shared" si="37"/>
        <v>18.957885224346715</v>
      </c>
      <c r="BG28" s="20">
        <f t="shared" si="7"/>
        <v>149.92856259907052</v>
      </c>
      <c r="BH28" s="59">
        <f t="shared" si="8"/>
        <v>437.15078482129275</v>
      </c>
      <c r="BI28" s="59">
        <f ca="1">AVERAGE(OFFSET($BH$3,0,0,'Données projet'!$E$11+1,1))-AVERAGE(OFFSET($H$3,0,0,'Données projet'!$E$11+1,1))</f>
        <v>207.91763299672158</v>
      </c>
      <c r="BJ28" s="59">
        <f t="shared" si="38"/>
        <v>230.81096055024483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4.6357062013100938</v>
      </c>
      <c r="BQ28" s="21">
        <f>EXP(-LN(2)/25)*BQ27+(1-EXP(-LN(2)/25))/(LN(2)/25)*Calculateur!BL28*Calculateur!BN28*VLOOKUP('Données projet'!$B$11,Paramètres!$A$1:$I$89,3,0)*0.475*44/12</f>
        <v>4.2518260055350359</v>
      </c>
      <c r="BR28" s="21">
        <f>EXP(-LN(2)/2)*BR27+(1-EXP(-LN(2)/2))/(LN(2)/2)*BL28*BO28*VLOOKUP('Données projet'!$B$11,Paramètres!$A$1:$I$89,3,0)*0.475*44/12</f>
        <v>3.5189173330846515</v>
      </c>
      <c r="BS28" s="22">
        <f t="shared" si="9"/>
        <v>12.406449539929781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9.1999999999999993</v>
      </c>
      <c r="N29" s="13">
        <f>IF('Données projet'!$A$36&gt;35,N28+M29-V28,IF(A29&lt;'Données projet'!$A$36,$K$205^A29,IF(A29='Données projet'!$A$36,'Données projet'!$B$36,N28+M29-V28)))</f>
        <v>173.69999999999993</v>
      </c>
      <c r="O29" s="13">
        <f>N29*VLOOKUP('Données projet'!$B$9,Paramètres!$A$1:$I$89,3,0)*VLOOKUP('Données projet'!$B$9,Paramètres!$A$1:$I$89,5,0)</f>
        <v>81.291599999999974</v>
      </c>
      <c r="P29" s="13">
        <f t="shared" si="33"/>
        <v>22.452692070336486</v>
      </c>
      <c r="Q29" s="20">
        <f t="shared" si="2"/>
        <v>180.68797535583599</v>
      </c>
      <c r="R29" s="59">
        <f t="shared" si="0"/>
        <v>469.13241980028045</v>
      </c>
      <c r="S29" s="59">
        <f ca="1">AVERAGE(OFFSET($R$3,0,0,'Données projet'!$E$9+1,1))-AVERAGE(OFFSET($H$3,0,0,'Données projet'!$E$9+1,1))</f>
        <v>319.22903094674564</v>
      </c>
      <c r="T29" s="59">
        <f t="shared" si="34"/>
        <v>254.58690973142848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2.3952941189294172</v>
      </c>
      <c r="AA29" s="21">
        <f>EXP(-LN(2)/25)*AA28+(1-EXP(-LN(2)/25))/(LN(2)/25)*Calculateur!V29*Calculateur!X29*VLOOKUP('Données projet'!$B$9,Paramètres!$A$1:$I$89,3,0)*0.475*44/12</f>
        <v>2.275115415987556</v>
      </c>
      <c r="AB29" s="21">
        <f>EXP(-LN(2)/2)*AB28+(1-EXP(-LN(2)/2))/(LN(2)/2)*V29*Y29*VLOOKUP('Données projet'!$B$9,Paramètres!$A$1:$I$89,3,0)*0.475*44/12</f>
        <v>1.5697834689055685</v>
      </c>
      <c r="AC29" s="22">
        <f t="shared" si="3"/>
        <v>6.2401930038225419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6.8</v>
      </c>
      <c r="AI29" s="13">
        <f>IF('Données projet'!$A$62&gt;35,AI28+AH29-AQ28,IF(A29&lt;'Données projet'!$A$62,$AF$205^A29,IF(A29='Données projet'!$A$62,'Données projet'!$B$62,AI28+AH29-AQ28)))</f>
        <v>168.80000000000004</v>
      </c>
      <c r="AJ29" s="13">
        <f>AI29*VLOOKUP('Données projet'!$B$10,Paramètres!$A$1:$I$89,3,0)*VLOOKUP('Données projet'!$B$10,Paramètres!$A$1:$I$89,5,0)</f>
        <v>152.73024000000001</v>
      </c>
      <c r="AK29" s="13">
        <f t="shared" si="35"/>
        <v>39.198389597047516</v>
      </c>
      <c r="AL29" s="20">
        <f t="shared" si="4"/>
        <v>334.27569654819109</v>
      </c>
      <c r="AM29" s="59">
        <f t="shared" si="5"/>
        <v>622.72014099263561</v>
      </c>
      <c r="AN29" s="59">
        <f ca="1">AVERAGE(OFFSET($AM$3,0,0,'Données projet'!$E$10+1,1))-AVERAGE(OFFSET($H$3,0,0,'Données projet'!$E$10+1,1))</f>
        <v>302.6112905010138</v>
      </c>
      <c r="AO29" s="59">
        <f t="shared" si="36"/>
        <v>423.44006663873375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1.3438396275597477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2.7640209232387409</v>
      </c>
      <c r="AX29" s="21">
        <f t="shared" si="6"/>
        <v>4.1078605507984882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11.25</v>
      </c>
      <c r="BD29" s="12">
        <f>IF('Données projet'!$A$88&gt;35,BD28+BC29-BL28,IF(A29&lt;'Données projet'!$A$88,$BA$205^A29,IF(A29='Données projet'!$A$88,'Données projet'!$B$88,BD28+BC29-BL28)))</f>
        <v>123.5</v>
      </c>
      <c r="BE29" s="13">
        <f>BD29*VLOOKUP('Données projet'!$B$11,Paramètres!$A$1:$I$89,3,0)*VLOOKUP('Données projet'!$B$11,Paramètres!$A$1:$I$89,5,0)</f>
        <v>73.853000000000009</v>
      </c>
      <c r="BF29" s="13">
        <f t="shared" si="37"/>
        <v>20.627289068131414</v>
      </c>
      <c r="BG29" s="20">
        <f t="shared" si="7"/>
        <v>164.55317012699555</v>
      </c>
      <c r="BH29" s="59">
        <f t="shared" si="8"/>
        <v>452.99761457144001</v>
      </c>
      <c r="BI29" s="59">
        <f ca="1">AVERAGE(OFFSET($BH$3,0,0,'Données projet'!$E$11+1,1))-AVERAGE(OFFSET($H$3,0,0,'Données projet'!$E$11+1,1))</f>
        <v>207.91763299672158</v>
      </c>
      <c r="BJ29" s="59">
        <f t="shared" si="38"/>
        <v>230.81096055024483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4.5448028302039933</v>
      </c>
      <c r="BQ29" s="21">
        <f>EXP(-LN(2)/25)*BQ28+(1-EXP(-LN(2)/25))/(LN(2)/25)*Calculateur!BL29*Calculateur!BN29*VLOOKUP('Données projet'!$B$11,Paramètres!$A$1:$I$89,3,0)*0.475*44/12</f>
        <v>4.1355595998198682</v>
      </c>
      <c r="BR29" s="21">
        <f>EXP(-LN(2)/2)*BR28+(1-EXP(-LN(2)/2))/(LN(2)/2)*BL29*BO29*VLOOKUP('Données projet'!$B$11,Paramètres!$A$1:$I$89,3,0)*0.475*44/12</f>
        <v>2.4882503086590382</v>
      </c>
      <c r="BS29" s="22">
        <f t="shared" si="9"/>
        <v>11.168612738682901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9.1999999999999993</v>
      </c>
      <c r="N30" s="13">
        <f>IF('Données projet'!$A$36&gt;35,N29+M30-V29,IF(A30&lt;'Données projet'!$A$36,$K$205^A30,IF(A30='Données projet'!$A$36,'Données projet'!$B$36,N29+M30-V29)))</f>
        <v>182.89999999999992</v>
      </c>
      <c r="O30" s="13">
        <f>N30*VLOOKUP('Données projet'!$B$9,Paramètres!$A$1:$I$89,3,0)*VLOOKUP('Données projet'!$B$9,Paramètres!$A$1:$I$89,5,0)</f>
        <v>85.597199999999958</v>
      </c>
      <c r="P30" s="13">
        <f t="shared" si="33"/>
        <v>23.500295908287228</v>
      </c>
      <c r="Q30" s="20">
        <f t="shared" si="2"/>
        <v>190.01147204026685</v>
      </c>
      <c r="R30" s="59">
        <f t="shared" si="0"/>
        <v>479.67813870693351</v>
      </c>
      <c r="S30" s="59">
        <f ca="1">AVERAGE(OFFSET($R$3,0,0,'Données projet'!$E$9+1,1))-AVERAGE(OFFSET($H$3,0,0,'Données projet'!$E$9+1,1))</f>
        <v>319.22903094674564</v>
      </c>
      <c r="T30" s="59">
        <f t="shared" si="34"/>
        <v>254.58690973142848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2.3483238622423634</v>
      </c>
      <c r="AA30" s="21">
        <f>EXP(-LN(2)/25)*AA29+(1-EXP(-LN(2)/25))/(LN(2)/25)*Calculateur!V30*Calculateur!X30*VLOOKUP('Données projet'!$B$9,Paramètres!$A$1:$I$89,3,0)*0.475*44/12</f>
        <v>2.2129022652942565</v>
      </c>
      <c r="AB30" s="21">
        <f>EXP(-LN(2)/2)*AB29+(1-EXP(-LN(2)/2))/(LN(2)/2)*V30*Y30*VLOOKUP('Données projet'!$B$9,Paramètres!$A$1:$I$89,3,0)*0.475*44/12</f>
        <v>1.1100045358576693</v>
      </c>
      <c r="AC30" s="22">
        <f t="shared" si="3"/>
        <v>5.6712306633942893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6.8</v>
      </c>
      <c r="AI30" s="13">
        <f>IF('Données projet'!$A$62&gt;35,AI29+AH30-AQ29,IF(A30&lt;'Données projet'!$A$62,$AF$205^A30,IF(A30='Données projet'!$A$62,'Données projet'!$B$62,AI29+AH30-AQ29)))</f>
        <v>175.60000000000005</v>
      </c>
      <c r="AJ30" s="13">
        <f>AI30*VLOOKUP('Données projet'!$B$10,Paramètres!$A$1:$I$89,3,0)*VLOOKUP('Données projet'!$B$10,Paramètres!$A$1:$I$89,5,0)</f>
        <v>158.88288000000006</v>
      </c>
      <c r="AK30" s="13">
        <f t="shared" si="35"/>
        <v>40.590443217000178</v>
      </c>
      <c r="AL30" s="20">
        <f t="shared" si="4"/>
        <v>347.41603793627536</v>
      </c>
      <c r="AM30" s="59">
        <f t="shared" si="5"/>
        <v>637.08270460294204</v>
      </c>
      <c r="AN30" s="59">
        <f ca="1">AVERAGE(OFFSET($AM$3,0,0,'Données projet'!$E$10+1,1))-AVERAGE(OFFSET($H$3,0,0,'Données projet'!$E$10+1,1))</f>
        <v>302.6112905010138</v>
      </c>
      <c r="AO30" s="59">
        <f t="shared" si="36"/>
        <v>423.44006663873375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1.3174877521245392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1.9544579381636156</v>
      </c>
      <c r="AX30" s="21">
        <f t="shared" si="6"/>
        <v>3.2719456902881547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11.25</v>
      </c>
      <c r="BD30" s="12">
        <f>IF('Données projet'!$A$88&gt;35,BD29+BC30-BL29,IF(A30&lt;'Données projet'!$A$88,$BA$205^A30,IF(A30='Données projet'!$A$88,'Données projet'!$B$88,BD29+BC30-BL29)))</f>
        <v>134.75</v>
      </c>
      <c r="BE30" s="13">
        <f>BD30*VLOOKUP('Données projet'!$B$11,Paramètres!$A$1:$I$89,3,0)*VLOOKUP('Données projet'!$B$11,Paramètres!$A$1:$I$89,5,0)</f>
        <v>80.580500000000001</v>
      </c>
      <c r="BF30" s="13">
        <f t="shared" si="37"/>
        <v>22.279059616532283</v>
      </c>
      <c r="BG30" s="20">
        <f t="shared" si="7"/>
        <v>179.14706633212708</v>
      </c>
      <c r="BH30" s="59">
        <f t="shared" si="8"/>
        <v>468.81373299879374</v>
      </c>
      <c r="BI30" s="59">
        <f ca="1">AVERAGE(OFFSET($BH$3,0,0,'Données projet'!$E$11+1,1))-AVERAGE(OFFSET($H$3,0,0,'Données projet'!$E$11+1,1))</f>
        <v>207.91763299672158</v>
      </c>
      <c r="BJ30" s="59">
        <f t="shared" si="38"/>
        <v>230.81096055024483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4.4556820187597017</v>
      </c>
      <c r="BQ30" s="21">
        <f>EXP(-LN(2)/25)*BQ29+(1-EXP(-LN(2)/25))/(LN(2)/25)*Calculateur!BL30*Calculateur!BN30*VLOOKUP('Données projet'!$B$11,Paramètres!$A$1:$I$89,3,0)*0.475*44/12</f>
        <v>4.0224725050831669</v>
      </c>
      <c r="BR30" s="21">
        <f>EXP(-LN(2)/2)*BR29+(1-EXP(-LN(2)/2))/(LN(2)/2)*BL30*BO30*VLOOKUP('Données projet'!$B$11,Paramètres!$A$1:$I$89,3,0)*0.475*44/12</f>
        <v>1.759458666542326</v>
      </c>
      <c r="BS30" s="22">
        <f t="shared" si="9"/>
        <v>10.237613190385193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9.1999999999999993</v>
      </c>
      <c r="N31" s="13">
        <f>IF('Données projet'!$A$36&gt;35,N30+M31-V30,IF(A31&lt;'Données projet'!$A$36,$K$205^A31,IF(A31='Données projet'!$A$36,'Données projet'!$B$36,N30+M31-V30)))</f>
        <v>192.09999999999991</v>
      </c>
      <c r="O31" s="13">
        <f>N31*VLOOKUP('Données projet'!$B$9,Paramètres!$A$1:$I$89,3,0)*VLOOKUP('Données projet'!$B$9,Paramètres!$A$1:$I$89,5,0)</f>
        <v>89.902799999999957</v>
      </c>
      <c r="P31" s="13">
        <f t="shared" si="33"/>
        <v>24.541781220398729</v>
      </c>
      <c r="Q31" s="20">
        <f t="shared" si="2"/>
        <v>199.32431229219435</v>
      </c>
      <c r="R31" s="59">
        <f t="shared" si="0"/>
        <v>490.21320118108321</v>
      </c>
      <c r="S31" s="59">
        <f ca="1">AVERAGE(OFFSET($R$3,0,0,'Données projet'!$E$9+1,1))-AVERAGE(OFFSET($H$3,0,0,'Données projet'!$E$9+1,1))</f>
        <v>319.22903094674564</v>
      </c>
      <c r="T31" s="59">
        <f t="shared" si="34"/>
        <v>254.58690973142848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2.3022746636399152</v>
      </c>
      <c r="AA31" s="21">
        <f>EXP(-LN(2)/25)*AA30+(1-EXP(-LN(2)/25))/(LN(2)/25)*Calculateur!V31*Calculateur!X31*VLOOKUP('Données projet'!$B$9,Paramètres!$A$1:$I$89,3,0)*0.475*44/12</f>
        <v>2.1523903364783123</v>
      </c>
      <c r="AB31" s="21">
        <f>EXP(-LN(2)/2)*AB30+(1-EXP(-LN(2)/2))/(LN(2)/2)*V31*Y31*VLOOKUP('Données projet'!$B$9,Paramètres!$A$1:$I$89,3,0)*0.475*44/12</f>
        <v>0.78489173445278426</v>
      </c>
      <c r="AC31" s="22">
        <f t="shared" si="3"/>
        <v>5.2395567345710115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6.8</v>
      </c>
      <c r="AI31" s="13">
        <f>IF('Données projet'!$A$62&gt;35,AI30+AH31-AQ30,IF(A31&lt;'Données projet'!$A$62,$AF$205^A31,IF(A31='Données projet'!$A$62,'Données projet'!$B$62,AI30+AH31-AQ30)))</f>
        <v>182.40000000000006</v>
      </c>
      <c r="AJ31" s="13">
        <f>AI31*VLOOKUP('Données projet'!$B$10,Paramètres!$A$1:$I$89,3,0)*VLOOKUP('Données projet'!$B$10,Paramètres!$A$1:$I$89,5,0)</f>
        <v>165.03552000000005</v>
      </c>
      <c r="AK31" s="13">
        <f t="shared" si="35"/>
        <v>41.976234598846517</v>
      </c>
      <c r="AL31" s="20">
        <f t="shared" si="4"/>
        <v>360.54547259299108</v>
      </c>
      <c r="AM31" s="59">
        <f t="shared" si="5"/>
        <v>651.43436148187993</v>
      </c>
      <c r="AN31" s="59">
        <f ca="1">AVERAGE(OFFSET($AM$3,0,0,'Données projet'!$E$10+1,1))-AVERAGE(OFFSET($H$3,0,0,'Données projet'!$E$10+1,1))</f>
        <v>302.6112905010138</v>
      </c>
      <c r="AO31" s="59">
        <f t="shared" si="36"/>
        <v>423.44006663873375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1.2916526208935579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1.3820104616193707</v>
      </c>
      <c r="AX31" s="21">
        <f t="shared" si="6"/>
        <v>2.6736630825129284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>
        <f>VLOOKUP(A31,'Données projet'!$A$87:$I$107,2,0)</f>
        <v>146</v>
      </c>
      <c r="BB31" s="12">
        <f>VLOOKUP(A31,'Données projet'!$A$87:$I$107,9,0)</f>
        <v>11.25</v>
      </c>
      <c r="BC31" s="12">
        <f t="array" ref="BC31">INDEX(BB:BB,MIN(IF(ISNUMBER(BB31:BB227),ROW(BB31:BB227),"")))</f>
        <v>11.25</v>
      </c>
      <c r="BD31" s="12">
        <f>IF('Données projet'!$A$88&gt;35,BD30+BC31-BL30,IF(A31&lt;'Données projet'!$A$88,$BA$205^A31,IF(A31='Données projet'!$A$88,'Données projet'!$B$88,BD30+BC31-BL30)))</f>
        <v>146</v>
      </c>
      <c r="BE31" s="13">
        <f>BD31*VLOOKUP('Données projet'!$B$11,Paramètres!$A$1:$I$89,3,0)*VLOOKUP('Données projet'!$B$11,Paramètres!$A$1:$I$89,5,0)</f>
        <v>87.307999999999993</v>
      </c>
      <c r="BF31" s="13">
        <f t="shared" si="37"/>
        <v>23.914836409796052</v>
      </c>
      <c r="BG31" s="20">
        <f t="shared" si="7"/>
        <v>193.71310674706146</v>
      </c>
      <c r="BH31" s="59">
        <f t="shared" si="8"/>
        <v>484.60199563595029</v>
      </c>
      <c r="BI31" s="59">
        <f ca="1">AVERAGE(OFFSET($BH$3,0,0,'Données projet'!$E$11+1,1))-AVERAGE(OFFSET($H$3,0,0,'Données projet'!$E$11+1,1))</f>
        <v>207.91763299672158</v>
      </c>
      <c r="BJ31" s="59">
        <f t="shared" si="38"/>
        <v>230.81096055024483</v>
      </c>
      <c r="BK31" s="15">
        <f>IF(ISNA(VLOOKUP(A31,'Données projet'!$A$87:$I$107,3,0)),0,VLOOKUP(A31,'Données projet'!$A$87:$I$107,3,0))</f>
        <v>5</v>
      </c>
      <c r="BL31" s="15">
        <f>IF(ISNA(VLOOKUP(A31,'Données projet'!$A$87:$I$107,4,0)),0,VLOOKUP(A31,'Données projet'!$A$87:$I$107,4,0))</f>
        <v>23</v>
      </c>
      <c r="BM31" s="16">
        <f>IF(ISNA(VLOOKUP(A31,'Données projet'!$A$87:$I$107,5,0)),0%,VLOOKUP(A31,'Données projet'!$A$87:$I$107,5,0)*VLOOKUP('Données projet'!$B$11,Paramètres!$A$1:$I$89,7,0))</f>
        <v>0.18000000000000002</v>
      </c>
      <c r="BN31" s="16">
        <f>IF(ISNA(VLOOKUP(A31,'Données projet'!$A$87:$I$107,6,0)),0%,VLOOKUP(A31,'Données projet'!$A$87:$I$107,6,0)*VLOOKUP('Données projet'!$B$11,Paramètres!$A$1:$I$89,7,0))</f>
        <v>0.13500000000000001</v>
      </c>
      <c r="BO31" s="16">
        <f>IF(ISNA(VLOOKUP(A31,'Données projet'!$A$87:$I$107,7,0)),0%,VLOOKUP(A31,'Données projet'!$A$87:$I$107,7,0))</f>
        <v>0.3</v>
      </c>
      <c r="BP31" s="21">
        <f>EXP(-LN(2)/35)*BP30+(1-EXP(-LN(2)/35))/(LN(2)/35)*BL31*BM31*VLOOKUP('Données projet'!$B$11,Paramètres!$A$1:$I$89,3,0)*0.475*44/12</f>
        <v>7.6525109656902837</v>
      </c>
      <c r="BQ31" s="21">
        <f>EXP(-LN(2)/25)*BQ30+(1-EXP(-LN(2)/25))/(LN(2)/25)*Calculateur!BL31*Calculateur!BN31*VLOOKUP('Données projet'!$B$11,Paramètres!$A$1:$I$89,3,0)*0.475*44/12</f>
        <v>6.3659310316711668</v>
      </c>
      <c r="BR31" s="21">
        <f>EXP(-LN(2)/2)*BR30+(1-EXP(-LN(2)/2))/(LN(2)/2)*BL31*BO31*VLOOKUP('Données projet'!$B$11,Paramètres!$A$1:$I$89,3,0)*0.475*44/12</f>
        <v>5.9159420603832231</v>
      </c>
      <c r="BS31" s="22">
        <f t="shared" si="9"/>
        <v>19.934384057744673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9.1999999999999993</v>
      </c>
      <c r="N32" s="13">
        <f>IF('Données projet'!$A$36&gt;35,N31+M32-V31,IF(A32&lt;'Données projet'!$A$36,$K$205^A32,IF(A32='Données projet'!$A$36,'Données projet'!$B$36,N31+M32-V31)))</f>
        <v>201.2999999999999</v>
      </c>
      <c r="O32" s="13">
        <f>N32*VLOOKUP('Données projet'!$B$9,Paramètres!$A$1:$I$89,3,0)*VLOOKUP('Données projet'!$B$9,Paramètres!$A$1:$I$89,5,0)</f>
        <v>94.208399999999955</v>
      </c>
      <c r="P32" s="13">
        <f t="shared" si="33"/>
        <v>25.577474486943441</v>
      </c>
      <c r="Q32" s="20">
        <f t="shared" si="2"/>
        <v>208.62706473142643</v>
      </c>
      <c r="R32" s="59">
        <f t="shared" si="0"/>
        <v>500.73817584253754</v>
      </c>
      <c r="S32" s="59">
        <f ca="1">AVERAGE(OFFSET($R$3,0,0,'Données projet'!$E$9+1,1))-AVERAGE(OFFSET($H$3,0,0,'Données projet'!$E$9+1,1))</f>
        <v>319.22903094674564</v>
      </c>
      <c r="T32" s="59">
        <f t="shared" si="34"/>
        <v>254.58690973142848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2.2571284617348231</v>
      </c>
      <c r="AA32" s="21">
        <f>EXP(-LN(2)/25)*AA31+(1-EXP(-LN(2)/25))/(LN(2)/25)*Calculateur!V32*Calculateur!X32*VLOOKUP('Données projet'!$B$9,Paramètres!$A$1:$I$89,3,0)*0.475*44/12</f>
        <v>2.0935331095380243</v>
      </c>
      <c r="AB32" s="21">
        <f>EXP(-LN(2)/2)*AB31+(1-EXP(-LN(2)/2))/(LN(2)/2)*V32*Y32*VLOOKUP('Données projet'!$B$9,Paramètres!$A$1:$I$89,3,0)*0.475*44/12</f>
        <v>0.55500226792883467</v>
      </c>
      <c r="AC32" s="22">
        <f t="shared" si="3"/>
        <v>4.905663839201682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6.8</v>
      </c>
      <c r="AI32" s="13">
        <f>IF('Données projet'!$A$62&gt;35,AI31+AH32-AQ31,IF(A32&lt;'Données projet'!$A$62,$AF$205^A32,IF(A32='Données projet'!$A$62,'Données projet'!$B$62,AI31+AH32-AQ31)))</f>
        <v>189.20000000000007</v>
      </c>
      <c r="AJ32" s="13">
        <f>AI32*VLOOKUP('Données projet'!$B$10,Paramètres!$A$1:$I$89,3,0)*VLOOKUP('Données projet'!$B$10,Paramètres!$A$1:$I$89,5,0)</f>
        <v>171.18816000000007</v>
      </c>
      <c r="AK32" s="13">
        <f t="shared" si="35"/>
        <v>43.356023936000852</v>
      </c>
      <c r="AL32" s="20">
        <f t="shared" si="4"/>
        <v>373.66445368853493</v>
      </c>
      <c r="AM32" s="59">
        <f t="shared" si="5"/>
        <v>665.77556479964608</v>
      </c>
      <c r="AN32" s="59">
        <f ca="1">AVERAGE(OFFSET($AM$3,0,0,'Données projet'!$E$10+1,1))-AVERAGE(OFFSET($H$3,0,0,'Données projet'!$E$10+1,1))</f>
        <v>302.6112905010138</v>
      </c>
      <c r="AO32" s="59">
        <f t="shared" si="36"/>
        <v>423.44006663873375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1.2663241008281423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0.97722896908180801</v>
      </c>
      <c r="AX32" s="21">
        <f t="shared" si="6"/>
        <v>2.2435530699099502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11.666666666666666</v>
      </c>
      <c r="BD32" s="12">
        <f>IF('Données projet'!$A$88&gt;35,BD31+BC32-BL31,IF(A32&lt;'Données projet'!$A$88,$BA$205^A32,IF(A32='Données projet'!$A$88,'Données projet'!$B$88,BD31+BC32-BL31)))</f>
        <v>134.66666666666666</v>
      </c>
      <c r="BE32" s="13">
        <f>BD32*VLOOKUP('Données projet'!$B$11,Paramètres!$A$1:$I$89,3,0)*VLOOKUP('Données projet'!$B$11,Paramètres!$A$1:$I$89,5,0)</f>
        <v>80.530666666666662</v>
      </c>
      <c r="BF32" s="13">
        <f t="shared" si="37"/>
        <v>22.266884919078866</v>
      </c>
      <c r="BG32" s="20">
        <f t="shared" si="7"/>
        <v>179.0390690118401</v>
      </c>
      <c r="BH32" s="59">
        <f t="shared" si="8"/>
        <v>471.15018012295127</v>
      </c>
      <c r="BI32" s="59">
        <f ca="1">AVERAGE(OFFSET($BH$3,0,0,'Données projet'!$E$11+1,1))-AVERAGE(OFFSET($H$3,0,0,'Données projet'!$E$11+1,1))</f>
        <v>207.91763299672158</v>
      </c>
      <c r="BJ32" s="59">
        <f t="shared" si="38"/>
        <v>230.81096055024483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7.5024498932239023</v>
      </c>
      <c r="BQ32" s="21">
        <f>EXP(-LN(2)/25)*BQ31+(1-EXP(-LN(2)/25))/(LN(2)/25)*Calculateur!BL32*Calculateur!BN32*VLOOKUP('Données projet'!$B$11,Paramètres!$A$1:$I$89,3,0)*0.475*44/12</f>
        <v>6.1918543128403556</v>
      </c>
      <c r="BR32" s="21">
        <f>EXP(-LN(2)/2)*BR31+(1-EXP(-LN(2)/2))/(LN(2)/2)*BL32*BO32*VLOOKUP('Données projet'!$B$11,Paramètres!$A$1:$I$89,3,0)*0.475*44/12</f>
        <v>4.1832027480036933</v>
      </c>
      <c r="BS32" s="22">
        <f t="shared" si="9"/>
        <v>17.87750695406795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210.5</v>
      </c>
      <c r="L33" s="12">
        <f>VLOOKUP(A33,'Données projet'!$A$35:$I$55,9,0)</f>
        <v>9.1999999999999993</v>
      </c>
      <c r="M33" s="12">
        <f t="array" ref="M33">INDEX(L:L,MIN(IF(ISNUMBER(L33:L229),ROW(L33:L229),"")))</f>
        <v>9.1999999999999993</v>
      </c>
      <c r="N33" s="13">
        <f>IF('Données projet'!$A$36&gt;35,N32+M33-V32,IF(A33&lt;'Données projet'!$A$36,$K$205^A33,IF(A33='Données projet'!$A$36,'Données projet'!$B$36,N32+M33-V32)))</f>
        <v>210.49999999999989</v>
      </c>
      <c r="O33" s="13">
        <f>N33*VLOOKUP('Données projet'!$B$9,Paramètres!$A$1:$I$89,3,0)*VLOOKUP('Données projet'!$B$9,Paramètres!$A$1:$I$89,5,0)</f>
        <v>98.513999999999953</v>
      </c>
      <c r="P33" s="13">
        <f t="shared" si="33"/>
        <v>26.607670659193456</v>
      </c>
      <c r="Q33" s="20">
        <f t="shared" si="2"/>
        <v>217.92024306476185</v>
      </c>
      <c r="R33" s="59">
        <f t="shared" si="0"/>
        <v>511.25357639809516</v>
      </c>
      <c r="S33" s="59">
        <f ca="1">AVERAGE(OFFSET($R$3,0,0,'Données projet'!$E$9+1,1))-AVERAGE(OFFSET($H$3,0,0,'Données projet'!$E$9+1,1))</f>
        <v>319.22903094674564</v>
      </c>
      <c r="T33" s="59">
        <f t="shared" si="34"/>
        <v>254.58690973142848</v>
      </c>
      <c r="U33" s="15">
        <f>IF(ISNA(VLOOKUP(A33,'Données projet'!$A$35:$I$55,3,0)),0,VLOOKUP(A33,'Données projet'!$A$35:$I$55,3,0))</f>
        <v>2</v>
      </c>
      <c r="V33" s="15">
        <f>IF(ISNA(VLOOKUP(A33,'Données projet'!$A$35:$I$55,4,0)),0,VLOOKUP(A33,'Données projet'!$A$35:$I$55,4,0))</f>
        <v>67</v>
      </c>
      <c r="W33" s="16">
        <f>IF(ISNA(VLOOKUP(A33,'Données projet'!$A$35:$I$55,5,0)),0%,VLOOKUP(A33,'Données projet'!$A$35:$I$55,5,0)*VLOOKUP('Données projet'!$B$9,Paramètres!$A$1:$I$89,7,0))</f>
        <v>0.16500000000000001</v>
      </c>
      <c r="X33" s="16">
        <f>IF(ISNA(VLOOKUP(A33,'Données projet'!$A$35:$I$55,6,0)),0%,VLOOKUP(A33,'Données projet'!$A$35:$I$55,6,0)*VLOOKUP('Données projet'!$B$9,Paramètres!$A$1:$I$89,7,0))</f>
        <v>0.22000000000000003</v>
      </c>
      <c r="Y33" s="16">
        <f>IF(ISNA(VLOOKUP(A33,'Données projet'!$A$35:$I$55,7,0)),0%,VLOOKUP(A33,'Données projet'!$A$35:$I$55,7,0))</f>
        <v>0.3</v>
      </c>
      <c r="Z33" s="21">
        <f>EXP(-LN(2)/35)*Z32+(1-EXP(-LN(2)/35))/(LN(2)/35)*V33*W33*VLOOKUP('Données projet'!$B$9,Paramètres!$A$1:$I$89,3,0)*0.475*44/12</f>
        <v>9.0761671349983928</v>
      </c>
      <c r="AA33" s="21">
        <f>EXP(-LN(2)/25)*AA32+(1-EXP(-LN(2)/25))/(LN(2)/25)*Calculateur!V33*Calculateur!X33*VLOOKUP('Données projet'!$B$9,Paramètres!$A$1:$I$89,3,0)*0.475*44/12</f>
        <v>11.151320216689932</v>
      </c>
      <c r="AB33" s="21">
        <f>EXP(-LN(2)/2)*AB32+(1-EXP(-LN(2)/2))/(LN(2)/2)*V33*Y33*VLOOKUP('Données projet'!$B$9,Paramètres!$A$1:$I$89,3,0)*0.475*44/12</f>
        <v>11.043128643598349</v>
      </c>
      <c r="AC33" s="22">
        <f t="shared" si="3"/>
        <v>31.270615995286676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196</v>
      </c>
      <c r="AG33" s="12">
        <f>VLOOKUP(A33,'Données projet'!$A$61:$I$81,9,0)</f>
        <v>6.8</v>
      </c>
      <c r="AH33" s="12">
        <f t="array" ref="AH33">INDEX(AG:AG,MIN(IF(ISNUMBER(AG33:AG229),ROW(AG33:AG229),"")))</f>
        <v>6.8</v>
      </c>
      <c r="AI33" s="13">
        <f>IF('Données projet'!$A$62&gt;35,AI32+AH33-AQ32,IF(A33&lt;'Données projet'!$A$62,$AF$205^A33,IF(A33='Données projet'!$A$62,'Données projet'!$B$62,AI32+AH33-AQ32)))</f>
        <v>196.00000000000009</v>
      </c>
      <c r="AJ33" s="13">
        <f>AI33*VLOOKUP('Données projet'!$B$10,Paramètres!$A$1:$I$89,3,0)*VLOOKUP('Données projet'!$B$10,Paramètres!$A$1:$I$89,5,0)</f>
        <v>177.34080000000006</v>
      </c>
      <c r="AK33" s="13">
        <f t="shared" si="35"/>
        <v>44.730051658603102</v>
      </c>
      <c r="AL33" s="20">
        <f t="shared" si="4"/>
        <v>386.77339997206712</v>
      </c>
      <c r="AM33" s="59">
        <f t="shared" si="5"/>
        <v>680.10673330540044</v>
      </c>
      <c r="AN33" s="59">
        <f ca="1">AVERAGE(OFFSET($AM$3,0,0,'Données projet'!$E$10+1,1))-AVERAGE(OFFSET($H$3,0,0,'Données projet'!$E$10+1,1))</f>
        <v>302.6112905010138</v>
      </c>
      <c r="AO33" s="59">
        <f t="shared" si="36"/>
        <v>423.44006663873375</v>
      </c>
      <c r="AP33" s="15">
        <f>IF(ISNA(VLOOKUP(A33,'Données projet'!$A$61:$I$81,3,0)),0,VLOOKUP(A33,'Données projet'!$A$61:$I$81,3,0))</f>
        <v>6</v>
      </c>
      <c r="AQ33" s="15">
        <f>IF(ISNA(VLOOKUP(A33,'Données projet'!$A$61:$I$81,4,0)),0,VLOOKUP(A33,'Données projet'!$A$61:$I$81,4,0))</f>
        <v>9</v>
      </c>
      <c r="AR33" s="16">
        <f>IF(ISNA(VLOOKUP(A33,'Données projet'!$A$61:$I$81,5,0)),0%,VLOOKUP(A33,'Données projet'!$A$61:$I$81,5,0)*VLOOKUP('Données projet'!$B$10,Paramètres!$A$1:$I$89,7,0))</f>
        <v>0.09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0.3</v>
      </c>
      <c r="AU33" s="21">
        <f>EXP(-LN(2)/35)*AU32+(1-EXP(-LN(2)/35))/(LN(2)/35)*AQ33*AR33*VLOOKUP('Données projet'!$B$10,Paramètres!$A$1:$I$89,3,0)*0.475*44/12</f>
        <v>2.0516782331074821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2.9960037421140644</v>
      </c>
      <c r="AX33" s="21">
        <f t="shared" si="6"/>
        <v>5.0476819752215469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11.666666666666666</v>
      </c>
      <c r="BD33" s="12">
        <f>IF('Données projet'!$A$88&gt;35,BD32+BC33-BL32,IF(A33&lt;'Données projet'!$A$88,$BA$205^A33,IF(A33='Données projet'!$A$88,'Données projet'!$B$88,BD32+BC33-BL32)))</f>
        <v>146.33333333333331</v>
      </c>
      <c r="BE33" s="13">
        <f>BD33*VLOOKUP('Données projet'!$B$11,Paramètres!$A$1:$I$89,3,0)*VLOOKUP('Données projet'!$B$11,Paramètres!$A$1:$I$89,5,0)</f>
        <v>87.507333333333335</v>
      </c>
      <c r="BF33" s="13">
        <f t="shared" si="37"/>
        <v>23.963074638099123</v>
      </c>
      <c r="BG33" s="20">
        <f t="shared" si="7"/>
        <v>194.14429388357817</v>
      </c>
      <c r="BH33" s="59">
        <f t="shared" si="8"/>
        <v>487.47762721691151</v>
      </c>
      <c r="BI33" s="59">
        <f ca="1">AVERAGE(OFFSET($BH$3,0,0,'Données projet'!$E$11+1,1))-AVERAGE(OFFSET($H$3,0,0,'Données projet'!$E$11+1,1))</f>
        <v>207.91763299672158</v>
      </c>
      <c r="BJ33" s="59">
        <f t="shared" si="38"/>
        <v>230.81096055024483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7.3553314268603698</v>
      </c>
      <c r="BQ33" s="21">
        <f>EXP(-LN(2)/25)*BQ32+(1-EXP(-LN(2)/25))/(LN(2)/25)*Calculateur!BL33*Calculateur!BN33*VLOOKUP('Données projet'!$B$11,Paramètres!$A$1:$I$89,3,0)*0.475*44/12</f>
        <v>6.022537731040269</v>
      </c>
      <c r="BR33" s="21">
        <f>EXP(-LN(2)/2)*BR32+(1-EXP(-LN(2)/2))/(LN(2)/2)*BL33*BO33*VLOOKUP('Données projet'!$B$11,Paramètres!$A$1:$I$89,3,0)*0.475*44/12</f>
        <v>2.957971030191612</v>
      </c>
      <c r="BS33" s="22">
        <f t="shared" si="9"/>
        <v>16.335840188092252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10</v>
      </c>
      <c r="N34" s="13">
        <f>IF('Données projet'!$A$36&gt;35,N33+M34-V33,IF(A34&lt;'Données projet'!$A$36,$K$205^A34,IF(A34='Données projet'!$A$36,'Données projet'!$B$36,N33+M34-V33)))</f>
        <v>153.49999999999989</v>
      </c>
      <c r="O34" s="13">
        <f>N34*VLOOKUP('Données projet'!$B$9,Paramètres!$A$1:$I$89,3,0)*VLOOKUP('Données projet'!$B$9,Paramètres!$A$1:$I$89,5,0)</f>
        <v>71.837999999999951</v>
      </c>
      <c r="P34" s="13">
        <f t="shared" si="33"/>
        <v>20.129206956785634</v>
      </c>
      <c r="Q34" s="20">
        <f t="shared" si="2"/>
        <v>160.17621878306821</v>
      </c>
      <c r="R34" s="59">
        <f t="shared" si="0"/>
        <v>453.50955211640155</v>
      </c>
      <c r="S34" s="59">
        <f ca="1">AVERAGE(OFFSET($R$3,0,0,'Données projet'!$E$9+1,1))-AVERAGE(OFFSET($H$3,0,0,'Données projet'!$E$9+1,1))</f>
        <v>319.22903094674564</v>
      </c>
      <c r="T34" s="59">
        <f t="shared" si="34"/>
        <v>254.58690973142848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8.8981890333964007</v>
      </c>
      <c r="AA34" s="21">
        <f>EXP(-LN(2)/25)*AA33+(1-EXP(-LN(2)/25))/(LN(2)/25)*Calculateur!V34*Calculateur!X34*VLOOKUP('Données projet'!$B$9,Paramètres!$A$1:$I$89,3,0)*0.475*44/12</f>
        <v>10.846386778942103</v>
      </c>
      <c r="AB34" s="21">
        <f>EXP(-LN(2)/2)*AB33+(1-EXP(-LN(2)/2))/(LN(2)/2)*V34*Y34*VLOOKUP('Données projet'!$B$9,Paramètres!$A$1:$I$89,3,0)*0.475*44/12</f>
        <v>7.8086711494037937</v>
      </c>
      <c r="AC34" s="22">
        <f t="shared" si="3"/>
        <v>27.553246961742296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5.8</v>
      </c>
      <c r="AI34" s="13">
        <f>IF('Données projet'!$A$62&gt;35,AI33+AH34-AQ33,IF(A34&lt;'Données projet'!$A$62,$AF$205^A34,IF(A34='Données projet'!$A$62,'Données projet'!$B$62,AI33+AH34-AQ33)))</f>
        <v>192.8000000000001</v>
      </c>
      <c r="AJ34" s="13">
        <f>AI34*VLOOKUP('Données projet'!$B$10,Paramètres!$A$1:$I$89,3,0)*VLOOKUP('Données projet'!$B$10,Paramètres!$A$1:$I$89,5,0)</f>
        <v>174.4454400000001</v>
      </c>
      <c r="AK34" s="13">
        <f t="shared" si="35"/>
        <v>44.084153549607706</v>
      </c>
      <c r="AL34" s="20">
        <f t="shared" si="4"/>
        <v>380.60570876556693</v>
      </c>
      <c r="AM34" s="59">
        <f t="shared" si="5"/>
        <v>673.93904209890025</v>
      </c>
      <c r="AN34" s="59">
        <f ca="1">AVERAGE(OFFSET($AM$3,0,0,'Données projet'!$E$10+1,1))-AVERAGE(OFFSET($H$3,0,0,'Données projet'!$E$10+1,1))</f>
        <v>302.6112905010138</v>
      </c>
      <c r="AO34" s="59">
        <f t="shared" si="36"/>
        <v>423.44006663873375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2.0114460743564009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2.1184945625091274</v>
      </c>
      <c r="AX34" s="21">
        <f t="shared" si="6"/>
        <v>4.1299406368655287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11.666666666666666</v>
      </c>
      <c r="BD34" s="12">
        <f>IF('Données projet'!$A$88&gt;35,BD33+BC34-BL33,IF(A34&lt;'Données projet'!$A$88,$BA$205^A34,IF(A34='Données projet'!$A$88,'Données projet'!$B$88,BD33+BC34-BL33)))</f>
        <v>157.99999999999997</v>
      </c>
      <c r="BE34" s="13">
        <f>BD34*VLOOKUP('Données projet'!$B$11,Paramètres!$A$1:$I$89,3,0)*VLOOKUP('Données projet'!$B$11,Paramètres!$A$1:$I$89,5,0)</f>
        <v>94.483999999999995</v>
      </c>
      <c r="BF34" s="13">
        <f t="shared" si="37"/>
        <v>25.643578691511802</v>
      </c>
      <c r="BG34" s="20">
        <f t="shared" si="7"/>
        <v>209.22219955438302</v>
      </c>
      <c r="BH34" s="59">
        <f t="shared" si="8"/>
        <v>502.55553288771637</v>
      </c>
      <c r="BI34" s="59">
        <f ca="1">AVERAGE(OFFSET($BH$3,0,0,'Données projet'!$E$11+1,1))-AVERAGE(OFFSET($H$3,0,0,'Données projet'!$E$11+1,1))</f>
        <v>207.91763299672158</v>
      </c>
      <c r="BJ34" s="59">
        <f t="shared" si="38"/>
        <v>230.81096055024483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7.2110978638888223</v>
      </c>
      <c r="BQ34" s="21">
        <f>EXP(-LN(2)/25)*BQ33+(1-EXP(-LN(2)/25))/(LN(2)/25)*Calculateur!BL34*Calculateur!BN34*VLOOKUP('Données projet'!$B$11,Paramètres!$A$1:$I$89,3,0)*0.475*44/12</f>
        <v>5.8578511200734784</v>
      </c>
      <c r="BR34" s="21">
        <f>EXP(-LN(2)/2)*BR33+(1-EXP(-LN(2)/2))/(LN(2)/2)*BL34*BO34*VLOOKUP('Données projet'!$B$11,Paramètres!$A$1:$I$89,3,0)*0.475*44/12</f>
        <v>2.0916013740018471</v>
      </c>
      <c r="BS34" s="22">
        <f t="shared" si="9"/>
        <v>15.160550357964148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10</v>
      </c>
      <c r="N35" s="13">
        <f>IF('Données projet'!$A$36&gt;35,N34+M35-V34,IF(A35&lt;'Données projet'!$A$36,$K$205^A35,IF(A35='Données projet'!$A$36,'Données projet'!$B$36,N34+M35-V34)))</f>
        <v>163.49999999999989</v>
      </c>
      <c r="O35" s="13">
        <f>N35*VLOOKUP('Données projet'!$B$9,Paramètres!$A$1:$I$89,3,0)*VLOOKUP('Données projet'!$B$9,Paramètres!$A$1:$I$89,5,0)</f>
        <v>76.517999999999944</v>
      </c>
      <c r="P35" s="13">
        <f t="shared" si="33"/>
        <v>21.283624623620089</v>
      </c>
      <c r="Q35" s="20">
        <f t="shared" ref="Q35:Q66" si="53">(O35+P35)*0.475*44/12</f>
        <v>170.33782955280489</v>
      </c>
      <c r="R35" s="59">
        <f t="shared" si="0"/>
        <v>463.67116288613818</v>
      </c>
      <c r="S35" s="59">
        <f ca="1">AVERAGE(OFFSET($R$3,0,0,'Données projet'!$E$9+1,1))-AVERAGE(OFFSET($H$3,0,0,'Données projet'!$E$9+1,1))</f>
        <v>319.22903094674564</v>
      </c>
      <c r="T35" s="59">
        <f t="shared" si="34"/>
        <v>254.58690973142848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8.7237009738109013</v>
      </c>
      <c r="AA35" s="21">
        <f>EXP(-LN(2)/25)*AA34+(1-EXP(-LN(2)/25))/(LN(2)/25)*Calculateur!V35*Calculateur!X35*VLOOKUP('Données projet'!$B$9,Paramètres!$A$1:$I$89,3,0)*0.475*44/12</f>
        <v>10.54979176208524</v>
      </c>
      <c r="AB35" s="21">
        <f>EXP(-LN(2)/2)*AB34+(1-EXP(-LN(2)/2))/(LN(2)/2)*V35*Y35*VLOOKUP('Données projet'!$B$9,Paramètres!$A$1:$I$89,3,0)*0.475*44/12</f>
        <v>5.5215643217991754</v>
      </c>
      <c r="AC35" s="22">
        <f t="shared" si="3"/>
        <v>24.795057057695317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5.8</v>
      </c>
      <c r="AI35" s="13">
        <f>IF('Données projet'!$A$62&gt;35,AI34+AH35-AQ34,IF(A35&lt;'Données projet'!$A$62,$AF$205^A35,IF(A35='Données projet'!$A$62,'Données projet'!$B$62,AI34+AH35-AQ34)))</f>
        <v>198.60000000000011</v>
      </c>
      <c r="AJ35" s="13">
        <f>AI35*VLOOKUP('Données projet'!$B$10,Paramètres!$A$1:$I$89,3,0)*VLOOKUP('Données projet'!$B$10,Paramètres!$A$1:$I$89,5,0)</f>
        <v>179.6932800000001</v>
      </c>
      <c r="AK35" s="13">
        <f t="shared" si="35"/>
        <v>45.253939845742352</v>
      </c>
      <c r="AL35" s="20">
        <f t="shared" si="4"/>
        <v>391.78307456466808</v>
      </c>
      <c r="AM35" s="59">
        <f t="shared" si="5"/>
        <v>685.1164078980014</v>
      </c>
      <c r="AN35" s="59">
        <f ca="1">AVERAGE(OFFSET($AM$3,0,0,'Données projet'!$E$10+1,1))-AVERAGE(OFFSET($H$3,0,0,'Données projet'!$E$10+1,1))</f>
        <v>302.6112905010138</v>
      </c>
      <c r="AO35" s="59">
        <f t="shared" si="36"/>
        <v>423.44006663873375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1.9720028436992347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1.4980018710570324</v>
      </c>
      <c r="AX35" s="21">
        <f t="shared" si="6"/>
        <v>3.4700047147562669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11.666666666666666</v>
      </c>
      <c r="BD35" s="12">
        <f>IF('Données projet'!$A$88&gt;35,BD34+BC35-BL34,IF(A35&lt;'Données projet'!$A$88,$BA$205^A35,IF(A35='Données projet'!$A$88,'Données projet'!$B$88,BD34+BC35-BL34)))</f>
        <v>169.66666666666663</v>
      </c>
      <c r="BE35" s="13">
        <f>BD35*VLOOKUP('Données projet'!$B$11,Paramètres!$A$1:$I$89,3,0)*VLOOKUP('Données projet'!$B$11,Paramètres!$A$1:$I$89,5,0)</f>
        <v>101.46066666666665</v>
      </c>
      <c r="BF35" s="13">
        <f t="shared" si="37"/>
        <v>27.309687011536219</v>
      </c>
      <c r="BG35" s="20">
        <f t="shared" si="7"/>
        <v>224.27503265620331</v>
      </c>
      <c r="BH35" s="59">
        <f t="shared" si="8"/>
        <v>517.60836598953665</v>
      </c>
      <c r="BI35" s="59">
        <f ca="1">AVERAGE(OFFSET($BH$3,0,0,'Données projet'!$E$11+1,1))-AVERAGE(OFFSET($H$3,0,0,'Données projet'!$E$11+1,1))</f>
        <v>207.91763299672158</v>
      </c>
      <c r="BJ35" s="59">
        <f t="shared" si="38"/>
        <v>230.81096055024483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7.0696926331133598</v>
      </c>
      <c r="BQ35" s="21">
        <f>EXP(-LN(2)/25)*BQ34+(1-EXP(-LN(2)/25))/(LN(2)/25)*Calculateur!BL35*Calculateur!BN35*VLOOKUP('Données projet'!$B$11,Paramètres!$A$1:$I$89,3,0)*0.475*44/12</f>
        <v>5.6976678731440673</v>
      </c>
      <c r="BR35" s="21">
        <f>EXP(-LN(2)/2)*BR34+(1-EXP(-LN(2)/2))/(LN(2)/2)*BL35*BO35*VLOOKUP('Données projet'!$B$11,Paramètres!$A$1:$I$89,3,0)*0.475*44/12</f>
        <v>1.4789855150958064</v>
      </c>
      <c r="BS35" s="22">
        <f t="shared" si="9"/>
        <v>14.246346021353233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10</v>
      </c>
      <c r="N36" s="13">
        <f>IF('Données projet'!$A$36&gt;35,N35+M36-V35,IF(A36&lt;'Données projet'!$A$36,$K$205^A36,IF(A36='Données projet'!$A$36,'Données projet'!$B$36,N35+M36-V35)))</f>
        <v>173.49999999999989</v>
      </c>
      <c r="O36" s="13">
        <f>N36*VLOOKUP('Données projet'!$B$9,Paramètres!$A$1:$I$89,3,0)*VLOOKUP('Données projet'!$B$9,Paramètres!$A$1:$I$89,5,0)</f>
        <v>81.197999999999951</v>
      </c>
      <c r="P36" s="13">
        <f t="shared" si="33"/>
        <v>22.429847477648512</v>
      </c>
      <c r="Q36" s="20">
        <f t="shared" si="53"/>
        <v>180.48516769023772</v>
      </c>
      <c r="R36" s="59">
        <f t="shared" si="0"/>
        <v>473.818501023571</v>
      </c>
      <c r="S36" s="59">
        <f ca="1">AVERAGE(OFFSET($R$3,0,0,'Données projet'!$E$9+1,1))-AVERAGE(OFFSET($H$3,0,0,'Données projet'!$E$9+1,1))</f>
        <v>319.22903094674564</v>
      </c>
      <c r="T36" s="59">
        <f t="shared" si="34"/>
        <v>254.58690973142848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8.5526345186466646</v>
      </c>
      <c r="AA36" s="21">
        <f>EXP(-LN(2)/25)*AA35+(1-EXP(-LN(2)/25))/(LN(2)/25)*Calculateur!V36*Calculateur!X36*VLOOKUP('Données projet'!$B$9,Paramètres!$A$1:$I$89,3,0)*0.475*44/12</f>
        <v>10.261307151561583</v>
      </c>
      <c r="AB36" s="21">
        <f>EXP(-LN(2)/2)*AB35+(1-EXP(-LN(2)/2))/(LN(2)/2)*V36*Y36*VLOOKUP('Données projet'!$B$9,Paramètres!$A$1:$I$89,3,0)*0.475*44/12</f>
        <v>3.9043355747018973</v>
      </c>
      <c r="AC36" s="22">
        <f t="shared" si="3"/>
        <v>22.718277244910144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5.8</v>
      </c>
      <c r="AI36" s="13">
        <f>IF('Données projet'!$A$62&gt;35,AI35+AH36-AQ35,IF(A36&lt;'Données projet'!$A$62,$AF$205^A36,IF(A36='Données projet'!$A$62,'Données projet'!$B$62,AI35+AH36-AQ35)))</f>
        <v>204.40000000000012</v>
      </c>
      <c r="AJ36" s="13">
        <f>AI36*VLOOKUP('Données projet'!$B$10,Paramètres!$A$1:$I$89,3,0)*VLOOKUP('Données projet'!$B$10,Paramètres!$A$1:$I$89,5,0)</f>
        <v>184.9411200000001</v>
      </c>
      <c r="AK36" s="13">
        <f t="shared" si="35"/>
        <v>46.419755730249477</v>
      </c>
      <c r="AL36" s="20">
        <f t="shared" si="4"/>
        <v>402.95352523018465</v>
      </c>
      <c r="AM36" s="59">
        <f t="shared" si="5"/>
        <v>696.28685856351797</v>
      </c>
      <c r="AN36" s="59">
        <f ca="1">AVERAGE(OFFSET($AM$3,0,0,'Données projet'!$E$10+1,1))-AVERAGE(OFFSET($H$3,0,0,'Données projet'!$E$10+1,1))</f>
        <v>302.6112905010138</v>
      </c>
      <c r="AO36" s="59">
        <f t="shared" si="36"/>
        <v>423.44006663873375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1.9333330707372605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1.0592472812545639</v>
      </c>
      <c r="AX36" s="21">
        <f t="shared" si="6"/>
        <v>2.9925803519918244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11.666666666666666</v>
      </c>
      <c r="BD36" s="12">
        <f>IF('Données projet'!$A$88&gt;35,BD35+BC36-BL35,IF(A36&lt;'Données projet'!$A$88,$BA$205^A36,IF(A36='Données projet'!$A$88,'Données projet'!$B$88,BD35+BC36-BL35)))</f>
        <v>181.33333333333329</v>
      </c>
      <c r="BE36" s="13">
        <f>BD36*VLOOKUP('Données projet'!$B$11,Paramètres!$A$1:$I$89,3,0)*VLOOKUP('Données projet'!$B$11,Paramètres!$A$1:$I$89,5,0)</f>
        <v>108.43733333333331</v>
      </c>
      <c r="BF36" s="13">
        <f t="shared" si="37"/>
        <v>28.962502090468035</v>
      </c>
      <c r="BG36" s="20">
        <f t="shared" si="7"/>
        <v>239.30471336312061</v>
      </c>
      <c r="BH36" s="59">
        <f t="shared" si="8"/>
        <v>532.6380466964539</v>
      </c>
      <c r="BI36" s="59">
        <f ca="1">AVERAGE(OFFSET($BH$3,0,0,'Données projet'!$E$11+1,1))-AVERAGE(OFFSET($H$3,0,0,'Données projet'!$E$11+1,1))</f>
        <v>207.91763299672158</v>
      </c>
      <c r="BJ36" s="59">
        <f t="shared" si="38"/>
        <v>230.81096055024483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6.9310602726647295</v>
      </c>
      <c r="BQ36" s="21">
        <f>EXP(-LN(2)/25)*BQ35+(1-EXP(-LN(2)/25))/(LN(2)/25)*Calculateur!BL36*Calculateur!BN36*VLOOKUP('Données projet'!$B$11,Paramètres!$A$1:$I$89,3,0)*0.475*44/12</f>
        <v>5.5418648455256116</v>
      </c>
      <c r="BR36" s="21">
        <f>EXP(-LN(2)/2)*BR35+(1-EXP(-LN(2)/2))/(LN(2)/2)*BL36*BO36*VLOOKUP('Données projet'!$B$11,Paramètres!$A$1:$I$89,3,0)*0.475*44/12</f>
        <v>1.0458006870009238</v>
      </c>
      <c r="BS36" s="22">
        <f t="shared" si="9"/>
        <v>13.518725805191265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10</v>
      </c>
      <c r="N37" s="13">
        <f>IF('Données projet'!$A$36&gt;35,N36+M37-V36,IF(A37&lt;'Données projet'!$A$36,$K$205^A37,IF(A37='Données projet'!$A$36,'Données projet'!$B$36,N36+M37-V36)))</f>
        <v>183.49999999999989</v>
      </c>
      <c r="O37" s="13">
        <f>N37*VLOOKUP('Données projet'!$B$9,Paramètres!$A$1:$I$89,3,0)*VLOOKUP('Données projet'!$B$9,Paramètres!$A$1:$I$89,5,0)</f>
        <v>85.877999999999957</v>
      </c>
      <c r="P37" s="13">
        <f t="shared" si="33"/>
        <v>23.56840165498652</v>
      </c>
      <c r="Q37" s="20">
        <f t="shared" si="53"/>
        <v>190.61914954910142</v>
      </c>
      <c r="R37" s="59">
        <f t="shared" si="0"/>
        <v>483.95248288243477</v>
      </c>
      <c r="S37" s="59">
        <f ca="1">AVERAGE(OFFSET($R$3,0,0,'Données projet'!$E$9+1,1))-AVERAGE(OFFSET($H$3,0,0,'Données projet'!$E$9+1,1))</f>
        <v>319.22903094674564</v>
      </c>
      <c r="T37" s="59">
        <f t="shared" si="34"/>
        <v>254.58690973142848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8.3849225723279641</v>
      </c>
      <c r="AA37" s="21">
        <f>EXP(-LN(2)/25)*AA36+(1-EXP(-LN(2)/25))/(LN(2)/25)*Calculateur!V37*Calculateur!X37*VLOOKUP('Données projet'!$B$9,Paramètres!$A$1:$I$89,3,0)*0.475*44/12</f>
        <v>9.9807111678834417</v>
      </c>
      <c r="AB37" s="21">
        <f>EXP(-LN(2)/2)*AB36+(1-EXP(-LN(2)/2))/(LN(2)/2)*V37*Y37*VLOOKUP('Données projet'!$B$9,Paramètres!$A$1:$I$89,3,0)*0.475*44/12</f>
        <v>2.7607821608995882</v>
      </c>
      <c r="AC37" s="22">
        <f t="shared" si="3"/>
        <v>21.126415901110995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5.8</v>
      </c>
      <c r="AI37" s="13">
        <f>IF('Données projet'!$A$62&gt;35,AI36+AH37-AQ36,IF(A37&lt;'Données projet'!$A$62,$AF$205^A37,IF(A37='Données projet'!$A$62,'Données projet'!$B$62,AI36+AH37-AQ36)))</f>
        <v>210.20000000000013</v>
      </c>
      <c r="AJ37" s="13">
        <f>AI37*VLOOKUP('Données projet'!$B$10,Paramètres!$A$1:$I$89,3,0)*VLOOKUP('Données projet'!$B$10,Paramètres!$A$1:$I$89,5,0)</f>
        <v>190.18896000000012</v>
      </c>
      <c r="AK37" s="13">
        <f t="shared" si="35"/>
        <v>47.581726807151739</v>
      </c>
      <c r="AL37" s="20">
        <f t="shared" si="4"/>
        <v>414.1172795224561</v>
      </c>
      <c r="AM37" s="59">
        <f t="shared" si="5"/>
        <v>707.45061285578936</v>
      </c>
      <c r="AN37" s="59">
        <f ca="1">AVERAGE(OFFSET($AM$3,0,0,'Données projet'!$E$10+1,1))-AVERAGE(OFFSET($H$3,0,0,'Données projet'!$E$10+1,1))</f>
        <v>302.6112905010138</v>
      </c>
      <c r="AO37" s="59">
        <f t="shared" si="36"/>
        <v>423.44006663873375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1.8954215884368379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0.74900093552851632</v>
      </c>
      <c r="AX37" s="21">
        <f t="shared" si="6"/>
        <v>2.6444225239653543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>
        <f>VLOOKUP(A37,'Données projet'!$A$87:$I$107,2,0)</f>
        <v>193</v>
      </c>
      <c r="BB37" s="12">
        <f>VLOOKUP(A37,'Données projet'!$A$87:$I$107,9,0)</f>
        <v>11.666666666666666</v>
      </c>
      <c r="BC37" s="12">
        <f t="array" ref="BC37">INDEX(BB:BB,MIN(IF(ISNUMBER(BB37:BB233),ROW(BB37:BB233),"")))</f>
        <v>11.666666666666666</v>
      </c>
      <c r="BD37" s="12">
        <f>IF('Données projet'!$A$88&gt;35,BD36+BC37-BL36,IF(A37&lt;'Données projet'!$A$88,$BA$205^A37,IF(A37='Données projet'!$A$88,'Données projet'!$B$88,BD36+BC37-BL36)))</f>
        <v>192.99999999999994</v>
      </c>
      <c r="BE37" s="13">
        <f>BD37*VLOOKUP('Données projet'!$B$11,Paramètres!$A$1:$I$89,3,0)*VLOOKUP('Données projet'!$B$11,Paramètres!$A$1:$I$89,5,0)</f>
        <v>115.41399999999997</v>
      </c>
      <c r="BF37" s="13">
        <f t="shared" si="37"/>
        <v>30.602976534547519</v>
      </c>
      <c r="BG37" s="20">
        <f t="shared" si="7"/>
        <v>254.31290079767018</v>
      </c>
      <c r="BH37" s="59">
        <f t="shared" si="8"/>
        <v>547.64623413100344</v>
      </c>
      <c r="BI37" s="59">
        <f ca="1">AVERAGE(OFFSET($BH$3,0,0,'Données projet'!$E$11+1,1))-AVERAGE(OFFSET($H$3,0,0,'Données projet'!$E$11+1,1))</f>
        <v>207.91763299672158</v>
      </c>
      <c r="BJ37" s="59">
        <f t="shared" si="38"/>
        <v>230.81096055024483</v>
      </c>
      <c r="BK37" s="15">
        <f>IF(ISNA(VLOOKUP(A37,'Données projet'!$A$87:$I$107,3,0)),0,VLOOKUP(A37,'Données projet'!$A$87:$I$107,3,0))</f>
        <v>6</v>
      </c>
      <c r="BL37" s="15">
        <f>IF(ISNA(VLOOKUP(A37,'Données projet'!$A$87:$I$107,4,0)),0,VLOOKUP(A37,'Données projet'!$A$87:$I$107,4,0))</f>
        <v>38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6.7951464082471063</v>
      </c>
      <c r="BQ37" s="21">
        <f>EXP(-LN(2)/25)*BQ36+(1-EXP(-LN(2)/25))/(LN(2)/25)*Calculateur!BL37*Calculateur!BN37*VLOOKUP('Données projet'!$B$11,Paramètres!$A$1:$I$89,3,0)*0.475*44/12</f>
        <v>5.3903222598907075</v>
      </c>
      <c r="BR37" s="21">
        <f>EXP(-LN(2)/2)*BR36+(1-EXP(-LN(2)/2))/(LN(2)/2)*BL37*BO37*VLOOKUP('Données projet'!$B$11,Paramètres!$A$1:$I$89,3,0)*0.475*44/12</f>
        <v>0.73949275754790333</v>
      </c>
      <c r="BS37" s="22">
        <f t="shared" si="9"/>
        <v>12.924961425685717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10</v>
      </c>
      <c r="N38" s="13">
        <f>IF('Données projet'!$A$36&gt;35,N37+M38-V37,IF(A38&lt;'Données projet'!$A$36,$K$205^A38,IF(A38='Données projet'!$A$36,'Données projet'!$B$36,N37+M38-V37)))</f>
        <v>193.49999999999989</v>
      </c>
      <c r="O38" s="13">
        <f>N38*VLOOKUP('Données projet'!$B$9,Paramètres!$A$1:$I$89,3,0)*VLOOKUP('Données projet'!$B$9,Paramètres!$A$1:$I$89,5,0)</f>
        <v>90.55799999999995</v>
      </c>
      <c r="P38" s="13">
        <f t="shared" si="33"/>
        <v>24.699752708509138</v>
      </c>
      <c r="Q38" s="20">
        <f t="shared" si="53"/>
        <v>200.74058596732002</v>
      </c>
      <c r="R38" s="59">
        <f t="shared" si="0"/>
        <v>494.0739193006533</v>
      </c>
      <c r="S38" s="59">
        <f ca="1">AVERAGE(OFFSET($R$3,0,0,'Données projet'!$E$9+1,1))-AVERAGE(OFFSET($H$3,0,0,'Données projet'!$E$9+1,1))</f>
        <v>319.22903094674564</v>
      </c>
      <c r="T38" s="59">
        <f t="shared" si="34"/>
        <v>254.58690973142848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8.2204993549823868</v>
      </c>
      <c r="AA38" s="21">
        <f>EXP(-LN(2)/25)*AA37+(1-EXP(-LN(2)/25))/(LN(2)/25)*Calculateur!V38*Calculateur!X38*VLOOKUP('Données projet'!$B$9,Paramètres!$A$1:$I$89,3,0)*0.475*44/12</f>
        <v>9.7077880961348804</v>
      </c>
      <c r="AB38" s="21">
        <f>EXP(-LN(2)/2)*AB37+(1-EXP(-LN(2)/2))/(LN(2)/2)*V38*Y38*VLOOKUP('Données projet'!$B$9,Paramètres!$A$1:$I$89,3,0)*0.475*44/12</f>
        <v>1.9521677873509491</v>
      </c>
      <c r="AC38" s="22">
        <f t="shared" si="3"/>
        <v>19.880455238468215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216</v>
      </c>
      <c r="AG38" s="12">
        <f>VLOOKUP(A38,'Données projet'!$A$61:$I$81,9,0)</f>
        <v>5.8</v>
      </c>
      <c r="AH38" s="12">
        <f t="array" ref="AH38">INDEX(AG:AG,MIN(IF(ISNUMBER(AG38:AG234),ROW(AG38:AG234),"")))</f>
        <v>5.8</v>
      </c>
      <c r="AI38" s="13">
        <f>IF('Données projet'!$A$62&gt;35,AI37+AH38-AQ37,IF(A38&lt;'Données projet'!$A$62,$AF$205^A38,IF(A38='Données projet'!$A$62,'Données projet'!$B$62,AI37+AH38-AQ37)))</f>
        <v>216.00000000000014</v>
      </c>
      <c r="AJ38" s="13">
        <f>AI38*VLOOKUP('Données projet'!$B$10,Paramètres!$A$1:$I$89,3,0)*VLOOKUP('Données projet'!$B$10,Paramètres!$A$1:$I$89,5,0)</f>
        <v>195.43680000000012</v>
      </c>
      <c r="AK38" s="13">
        <f t="shared" si="35"/>
        <v>48.739971354487892</v>
      </c>
      <c r="AL38" s="20">
        <f t="shared" si="4"/>
        <v>425.27454344239999</v>
      </c>
      <c r="AM38" s="59">
        <f t="shared" si="5"/>
        <v>718.6078767757333</v>
      </c>
      <c r="AN38" s="59">
        <f ca="1">AVERAGE(OFFSET($AM$3,0,0,'Données projet'!$E$10+1,1))-AVERAGE(OFFSET($H$3,0,0,'Données projet'!$E$10+1,1))</f>
        <v>302.6112905010138</v>
      </c>
      <c r="AO38" s="59">
        <f t="shared" si="36"/>
        <v>423.44006663873375</v>
      </c>
      <c r="AP38" s="15">
        <f>IF(ISNA(VLOOKUP(A38,'Données projet'!$A$61:$I$81,3,0)),0,VLOOKUP(A38,'Données projet'!$A$61:$I$81,3,0))</f>
        <v>7</v>
      </c>
      <c r="AQ38" s="15">
        <f>IF(ISNA(VLOOKUP(A38,'Données projet'!$A$61:$I$81,4,0)),0,VLOOKUP(A38,'Données projet'!$A$61:$I$81,4,0))</f>
        <v>7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1.8582535271806058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0.52962364062728207</v>
      </c>
      <c r="AX38" s="21">
        <f t="shared" si="6"/>
        <v>2.3878771678078881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10</v>
      </c>
      <c r="BD38" s="12">
        <f>IF('Données projet'!$A$88&gt;35,BD37+BC38-BL37,IF(A38&lt;'Données projet'!$A$88,$BA$205^A38,IF(A38='Données projet'!$A$88,'Données projet'!$B$88,BD37+BC38-BL37)))</f>
        <v>164.99999999999994</v>
      </c>
      <c r="BE38" s="13">
        <f>BD38*VLOOKUP('Données projet'!$B$11,Paramètres!$A$1:$I$89,3,0)*VLOOKUP('Données projet'!$B$11,Paramètres!$A$1:$I$89,5,0)</f>
        <v>98.669999999999973</v>
      </c>
      <c r="BF38" s="13">
        <f t="shared" si="37"/>
        <v>26.644896901954066</v>
      </c>
      <c r="BG38" s="20">
        <f t="shared" si="7"/>
        <v>218.25677877090325</v>
      </c>
      <c r="BH38" s="59">
        <f t="shared" si="8"/>
        <v>511.5901121042366</v>
      </c>
      <c r="BI38" s="59">
        <f ca="1">AVERAGE(OFFSET($BH$3,0,0,'Données projet'!$E$11+1,1))-AVERAGE(OFFSET($H$3,0,0,'Données projet'!$E$11+1,1))</f>
        <v>207.91763299672158</v>
      </c>
      <c r="BJ38" s="59">
        <f t="shared" si="38"/>
        <v>230.81096055024483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6.6618977318114414</v>
      </c>
      <c r="BQ38" s="21">
        <f>EXP(-LN(2)/25)*BQ37+(1-EXP(-LN(2)/25))/(LN(2)/25)*Calculateur!BL38*Calculateur!BN38*VLOOKUP('Données projet'!$B$11,Paramètres!$A$1:$I$89,3,0)*0.475*44/12</f>
        <v>5.2429236142292686</v>
      </c>
      <c r="BR38" s="21">
        <f>EXP(-LN(2)/2)*BR37+(1-EXP(-LN(2)/2))/(LN(2)/2)*BL38*BO38*VLOOKUP('Données projet'!$B$11,Paramètres!$A$1:$I$89,3,0)*0.475*44/12</f>
        <v>0.52290034350046199</v>
      </c>
      <c r="BS38" s="22">
        <f t="shared" si="9"/>
        <v>12.427721689541171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10</v>
      </c>
      <c r="N39" s="13">
        <f>IF('Données projet'!$A$36&gt;35,N38+M39-V38,IF(A39&lt;'Données projet'!$A$36,$K$205^A39,IF(A39='Données projet'!$A$36,'Données projet'!$B$36,N38+M39-V38)))</f>
        <v>203.49999999999989</v>
      </c>
      <c r="O39" s="13">
        <f>N39*VLOOKUP('Données projet'!$B$9,Paramètres!$A$1:$I$89,3,0)*VLOOKUP('Données projet'!$B$9,Paramètres!$A$1:$I$89,5,0)</f>
        <v>95.237999999999957</v>
      </c>
      <c r="P39" s="13">
        <f t="shared" si="33"/>
        <v>25.824315354051119</v>
      </c>
      <c r="Q39" s="20">
        <f t="shared" si="53"/>
        <v>210.85019924163896</v>
      </c>
      <c r="R39" s="59">
        <f t="shared" si="0"/>
        <v>504.18353257497228</v>
      </c>
      <c r="S39" s="59">
        <f ca="1">AVERAGE(OFFSET($R$3,0,0,'Données projet'!$E$9+1,1))-AVERAGE(OFFSET($H$3,0,0,'Données projet'!$E$9+1,1))</f>
        <v>319.22903094674564</v>
      </c>
      <c r="T39" s="59">
        <f t="shared" si="34"/>
        <v>254.58690973142848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8.0593003766406959</v>
      </c>
      <c r="AA39" s="21">
        <f>EXP(-LN(2)/25)*AA38+(1-EXP(-LN(2)/25))/(LN(2)/25)*Calculateur!V39*Calculateur!X39*VLOOKUP('Données projet'!$B$9,Paramètres!$A$1:$I$89,3,0)*0.475*44/12</f>
        <v>9.4423281201356843</v>
      </c>
      <c r="AB39" s="21">
        <f>EXP(-LN(2)/2)*AB38+(1-EXP(-LN(2)/2))/(LN(2)/2)*V39*Y39*VLOOKUP('Données projet'!$B$9,Paramètres!$A$1:$I$89,3,0)*0.475*44/12</f>
        <v>1.3803910804497943</v>
      </c>
      <c r="AC39" s="22">
        <f t="shared" si="3"/>
        <v>18.882019577226174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4.8</v>
      </c>
      <c r="AI39" s="13">
        <f>IF('Données projet'!$A$62&gt;35,AI38+AH39-AQ38,IF(A39&lt;'Données projet'!$A$62,$AF$205^A39,IF(A39='Données projet'!$A$62,'Données projet'!$B$62,AI38+AH39-AQ38)))</f>
        <v>213.80000000000015</v>
      </c>
      <c r="AJ39" s="13">
        <f>AI39*VLOOKUP('Données projet'!$B$10,Paramètres!$A$1:$I$89,3,0)*VLOOKUP('Données projet'!$B$10,Paramètres!$A$1:$I$89,5,0)</f>
        <v>193.44624000000013</v>
      </c>
      <c r="AK39" s="13">
        <f t="shared" si="35"/>
        <v>48.301068656218547</v>
      </c>
      <c r="AL39" s="20">
        <f t="shared" si="4"/>
        <v>421.04322924291415</v>
      </c>
      <c r="AM39" s="59">
        <f t="shared" si="5"/>
        <v>714.37656257624747</v>
      </c>
      <c r="AN39" s="59">
        <f ca="1">AVERAGE(OFFSET($AM$3,0,0,'Données projet'!$E$10+1,1))-AVERAGE(OFFSET($H$3,0,0,'Données projet'!$E$10+1,1))</f>
        <v>302.6112905010138</v>
      </c>
      <c r="AO39" s="59">
        <f t="shared" si="36"/>
        <v>423.44006663873375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1.8218143089353294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0.37450046776425827</v>
      </c>
      <c r="AX39" s="21">
        <f t="shared" si="6"/>
        <v>2.1963147766995874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10</v>
      </c>
      <c r="BD39" s="12">
        <f>IF('Données projet'!$A$88&gt;35,BD38+BC39-BL38,IF(A39&lt;'Données projet'!$A$88,$BA$205^A39,IF(A39='Données projet'!$A$88,'Données projet'!$B$88,BD38+BC39-BL38)))</f>
        <v>174.99999999999994</v>
      </c>
      <c r="BE39" s="13">
        <f>BD39*VLOOKUP('Données projet'!$B$11,Paramètres!$A$1:$I$89,3,0)*VLOOKUP('Données projet'!$B$11,Paramètres!$A$1:$I$89,5,0)</f>
        <v>104.64999999999996</v>
      </c>
      <c r="BF39" s="13">
        <f t="shared" si="37"/>
        <v>28.066848529735861</v>
      </c>
      <c r="BG39" s="20">
        <f t="shared" si="7"/>
        <v>231.14851118928985</v>
      </c>
      <c r="BH39" s="59">
        <f t="shared" si="8"/>
        <v>524.48184452262319</v>
      </c>
      <c r="BI39" s="59">
        <f ca="1">AVERAGE(OFFSET($BH$3,0,0,'Données projet'!$E$11+1,1))-AVERAGE(OFFSET($H$3,0,0,'Données projet'!$E$11+1,1))</f>
        <v>207.91763299672158</v>
      </c>
      <c r="BJ39" s="59">
        <f t="shared" si="38"/>
        <v>230.81096055024483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6.5312619806470122</v>
      </c>
      <c r="BQ39" s="21">
        <f>EXP(-LN(2)/25)*BQ38+(1-EXP(-LN(2)/25))/(LN(2)/25)*Calculateur!BL39*Calculateur!BN39*VLOOKUP('Données projet'!$B$11,Paramètres!$A$1:$I$89,3,0)*0.475*44/12</f>
        <v>5.0995555922847995</v>
      </c>
      <c r="BR39" s="21">
        <f>EXP(-LN(2)/2)*BR38+(1-EXP(-LN(2)/2))/(LN(2)/2)*BL39*BO39*VLOOKUP('Données projet'!$B$11,Paramètres!$A$1:$I$89,3,0)*0.475*44/12</f>
        <v>0.36974637877395172</v>
      </c>
      <c r="BS39" s="22">
        <f t="shared" si="9"/>
        <v>12.000563951705763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10</v>
      </c>
      <c r="N40" s="13">
        <f>IF('Données projet'!$A$36&gt;35,N39+M40-V39,IF(A40&lt;'Données projet'!$A$36,$K$205^A40,IF(A40='Données projet'!$A$36,'Données projet'!$B$36,N39+M40-V39)))</f>
        <v>213.49999999999989</v>
      </c>
      <c r="O40" s="13">
        <f>N40*VLOOKUP('Données projet'!$B$9,Paramètres!$A$1:$I$89,3,0)*VLOOKUP('Données projet'!$B$9,Paramètres!$A$1:$I$89,5,0)</f>
        <v>99.91799999999995</v>
      </c>
      <c r="P40" s="13">
        <f t="shared" si="33"/>
        <v>26.942461246512746</v>
      </c>
      <c r="Q40" s="20">
        <f t="shared" si="53"/>
        <v>220.94863667100961</v>
      </c>
      <c r="R40" s="59">
        <f t="shared" si="0"/>
        <v>514.28197000434295</v>
      </c>
      <c r="S40" s="59">
        <f ca="1">AVERAGE(OFFSET($R$3,0,0,'Données projet'!$E$9+1,1))-AVERAGE(OFFSET($H$3,0,0,'Données projet'!$E$9+1,1))</f>
        <v>319.22903094674564</v>
      </c>
      <c r="T40" s="59">
        <f t="shared" si="34"/>
        <v>254.58690973142848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7.9012624119426178</v>
      </c>
      <c r="AA40" s="21">
        <f>EXP(-LN(2)/25)*AA39+(1-EXP(-LN(2)/25))/(LN(2)/25)*Calculateur!V40*Calculateur!X40*VLOOKUP('Données projet'!$B$9,Paramètres!$A$1:$I$89,3,0)*0.475*44/12</f>
        <v>9.1841271611401183</v>
      </c>
      <c r="AB40" s="21">
        <f>EXP(-LN(2)/2)*AB39+(1-EXP(-LN(2)/2))/(LN(2)/2)*V40*Y40*VLOOKUP('Données projet'!$B$9,Paramètres!$A$1:$I$89,3,0)*0.475*44/12</f>
        <v>0.97608389367547466</v>
      </c>
      <c r="AC40" s="22">
        <f t="shared" si="3"/>
        <v>18.061473466758212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4.8</v>
      </c>
      <c r="AI40" s="13">
        <f>IF('Données projet'!$A$62&gt;35,AI39+AH40-AQ39,IF(A40&lt;'Données projet'!$A$62,$AF$205^A40,IF(A40='Données projet'!$A$62,'Données projet'!$B$62,AI39+AH40-AQ39)))</f>
        <v>218.60000000000016</v>
      </c>
      <c r="AJ40" s="13">
        <f>AI40*VLOOKUP('Données projet'!$B$10,Paramètres!$A$1:$I$89,3,0)*VLOOKUP('Données projet'!$B$10,Paramètres!$A$1:$I$89,5,0)</f>
        <v>197.78928000000013</v>
      </c>
      <c r="AK40" s="13">
        <f t="shared" si="35"/>
        <v>49.258004531609984</v>
      </c>
      <c r="AL40" s="20">
        <f t="shared" si="4"/>
        <v>430.2740205592209</v>
      </c>
      <c r="AM40" s="59">
        <f t="shared" si="5"/>
        <v>723.60735389255422</v>
      </c>
      <c r="AN40" s="59">
        <f ca="1">AVERAGE(OFFSET($AM$3,0,0,'Données projet'!$E$10+1,1))-AVERAGE(OFFSET($H$3,0,0,'Données projet'!$E$10+1,1))</f>
        <v>302.6112905010138</v>
      </c>
      <c r="AO40" s="59">
        <f t="shared" si="36"/>
        <v>423.44006663873375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1.7860896415341143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0.26481182031364109</v>
      </c>
      <c r="AX40" s="21">
        <f t="shared" si="6"/>
        <v>2.0509014618477552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10</v>
      </c>
      <c r="BD40" s="12">
        <f>IF('Données projet'!$A$88&gt;35,BD39+BC40-BL39,IF(A40&lt;'Données projet'!$A$88,$BA$205^A40,IF(A40='Données projet'!$A$88,'Données projet'!$B$88,BD39+BC40-BL39)))</f>
        <v>184.99999999999994</v>
      </c>
      <c r="BE40" s="13">
        <f>BD40*VLOOKUP('Données projet'!$B$11,Paramètres!$A$1:$I$89,3,0)*VLOOKUP('Données projet'!$B$11,Paramètres!$A$1:$I$89,5,0)</f>
        <v>110.62999999999998</v>
      </c>
      <c r="BF40" s="13">
        <f t="shared" si="37"/>
        <v>29.479368114771006</v>
      </c>
      <c r="BG40" s="20">
        <f t="shared" si="7"/>
        <v>244.02381613322609</v>
      </c>
      <c r="BH40" s="59">
        <f t="shared" si="8"/>
        <v>537.35714946655935</v>
      </c>
      <c r="BI40" s="59">
        <f ca="1">AVERAGE(OFFSET($BH$3,0,0,'Données projet'!$E$11+1,1))-AVERAGE(OFFSET($H$3,0,0,'Données projet'!$E$11+1,1))</f>
        <v>207.91763299672158</v>
      </c>
      <c r="BJ40" s="59">
        <f t="shared" si="38"/>
        <v>230.81096055024483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6.4031879168829775</v>
      </c>
      <c r="BQ40" s="21">
        <f>EXP(-LN(2)/25)*BQ39+(1-EXP(-LN(2)/25))/(LN(2)/25)*Calculateur!BL40*Calculateur!BN40*VLOOKUP('Données projet'!$B$11,Paramètres!$A$1:$I$89,3,0)*0.475*44/12</f>
        <v>4.9601079764397982</v>
      </c>
      <c r="BR40" s="21">
        <f>EXP(-LN(2)/2)*BR39+(1-EXP(-LN(2)/2))/(LN(2)/2)*BL40*BO40*VLOOKUP('Données projet'!$B$11,Paramètres!$A$1:$I$89,3,0)*0.475*44/12</f>
        <v>0.261450171750231</v>
      </c>
      <c r="BS40" s="22">
        <f t="shared" si="9"/>
        <v>11.624746065073007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10</v>
      </c>
      <c r="N41" s="13">
        <f>IF('Données projet'!$A$36&gt;35,N40+M41-V40,IF(A41&lt;'Données projet'!$A$36,$K$205^A41,IF(A41='Données projet'!$A$36,'Données projet'!$B$36,N40+M41-V40)))</f>
        <v>223.49999999999989</v>
      </c>
      <c r="O41" s="13">
        <f>N41*VLOOKUP('Données projet'!$B$9,Paramètres!$A$1:$I$89,3,0)*VLOOKUP('Données projet'!$B$9,Paramètres!$A$1:$I$89,5,0)</f>
        <v>104.59799999999994</v>
      </c>
      <c r="P41" s="13">
        <f t="shared" si="33"/>
        <v>28.054525257841597</v>
      </c>
      <c r="Q41" s="20">
        <f t="shared" si="53"/>
        <v>231.03648149074067</v>
      </c>
      <c r="R41" s="59">
        <f t="shared" si="0"/>
        <v>524.36981482407396</v>
      </c>
      <c r="S41" s="59">
        <f ca="1">AVERAGE(OFFSET($R$3,0,0,'Données projet'!$E$9+1,1))-AVERAGE(OFFSET($H$3,0,0,'Données projet'!$E$9+1,1))</f>
        <v>319.22903094674564</v>
      </c>
      <c r="T41" s="59">
        <f t="shared" si="34"/>
        <v>254.58690973142848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7.7463234753386283</v>
      </c>
      <c r="AA41" s="21">
        <f>EXP(-LN(2)/25)*AA40+(1-EXP(-LN(2)/25))/(LN(2)/25)*Calculateur!V41*Calculateur!X41*VLOOKUP('Données projet'!$B$9,Paramètres!$A$1:$I$89,3,0)*0.475*44/12</f>
        <v>8.9329867209464844</v>
      </c>
      <c r="AB41" s="21">
        <f>EXP(-LN(2)/2)*AB40+(1-EXP(-LN(2)/2))/(LN(2)/2)*V41*Y41*VLOOKUP('Données projet'!$B$9,Paramètres!$A$1:$I$89,3,0)*0.475*44/12</f>
        <v>0.69019554022489726</v>
      </c>
      <c r="AC41" s="22">
        <f t="shared" si="3"/>
        <v>17.369505736510011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4.8</v>
      </c>
      <c r="AI41" s="13">
        <f>IF('Données projet'!$A$62&gt;35,AI40+AH41-AQ40,IF(A41&lt;'Données projet'!$A$62,$AF$205^A41,IF(A41='Données projet'!$A$62,'Données projet'!$B$62,AI40+AH41-AQ40)))</f>
        <v>223.40000000000018</v>
      </c>
      <c r="AJ41" s="13">
        <f>AI41*VLOOKUP('Données projet'!$B$10,Paramètres!$A$1:$I$89,3,0)*VLOOKUP('Données projet'!$B$10,Paramètres!$A$1:$I$89,5,0)</f>
        <v>202.13232000000013</v>
      </c>
      <c r="AK41" s="13">
        <f t="shared" si="35"/>
        <v>50.21249748895967</v>
      </c>
      <c r="AL41" s="20">
        <f t="shared" si="4"/>
        <v>439.50055712660497</v>
      </c>
      <c r="AM41" s="59">
        <f t="shared" si="5"/>
        <v>732.83389045993829</v>
      </c>
      <c r="AN41" s="59">
        <f ca="1">AVERAGE(OFFSET($AM$3,0,0,'Données projet'!$E$10+1,1))-AVERAGE(OFFSET($H$3,0,0,'Données projet'!$E$10+1,1))</f>
        <v>302.6112905010138</v>
      </c>
      <c r="AO41" s="59">
        <f t="shared" si="36"/>
        <v>423.44006663873375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1.7510655130707415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0.18725023388212916</v>
      </c>
      <c r="AX41" s="21">
        <f t="shared" si="6"/>
        <v>1.9383157469528707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10</v>
      </c>
      <c r="BD41" s="12">
        <f>IF('Données projet'!$A$88&gt;35,BD40+BC41-BL40,IF(A41&lt;'Données projet'!$A$88,$BA$205^A41,IF(A41='Données projet'!$A$88,'Données projet'!$B$88,BD40+BC41-BL40)))</f>
        <v>194.99999999999994</v>
      </c>
      <c r="BE41" s="13">
        <f>BD41*VLOOKUP('Données projet'!$B$11,Paramètres!$A$1:$I$89,3,0)*VLOOKUP('Données projet'!$B$11,Paramètres!$A$1:$I$89,5,0)</f>
        <v>116.60999999999997</v>
      </c>
      <c r="BF41" s="13">
        <f t="shared" si="37"/>
        <v>30.883023623410974</v>
      </c>
      <c r="BG41" s="20">
        <f t="shared" si="7"/>
        <v>256.88368281077408</v>
      </c>
      <c r="BH41" s="59">
        <f t="shared" si="8"/>
        <v>550.21701614410745</v>
      </c>
      <c r="BI41" s="59">
        <f ca="1">AVERAGE(OFFSET($BH$3,0,0,'Données projet'!$E$11+1,1))-AVERAGE(OFFSET($H$3,0,0,'Données projet'!$E$11+1,1))</f>
        <v>207.91763299672158</v>
      </c>
      <c r="BJ41" s="59">
        <f t="shared" si="38"/>
        <v>230.81096055024483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6.2776253073918893</v>
      </c>
      <c r="BQ41" s="21">
        <f>EXP(-LN(2)/25)*BQ40+(1-EXP(-LN(2)/25))/(LN(2)/25)*Calculateur!BL41*Calculateur!BN41*VLOOKUP('Données projet'!$B$11,Paramètres!$A$1:$I$89,3,0)*0.475*44/12</f>
        <v>4.82447356298331</v>
      </c>
      <c r="BR41" s="21">
        <f>EXP(-LN(2)/2)*BR40+(1-EXP(-LN(2)/2))/(LN(2)/2)*BL41*BO41*VLOOKUP('Données projet'!$B$11,Paramètres!$A$1:$I$89,3,0)*0.475*44/12</f>
        <v>0.18487318938697586</v>
      </c>
      <c r="BS41" s="22">
        <f t="shared" si="9"/>
        <v>11.286972059762174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10</v>
      </c>
      <c r="N42" s="13">
        <f>IF('Données projet'!$A$36&gt;35,N41+M42-V41,IF(A42&lt;'Données projet'!$A$36,$K$205^A42,IF(A42='Données projet'!$A$36,'Données projet'!$B$36,N41+M42-V41)))</f>
        <v>233.49999999999989</v>
      </c>
      <c r="O42" s="13">
        <f>N42*VLOOKUP('Données projet'!$B$9,Paramètres!$A$1:$I$89,3,0)*VLOOKUP('Données projet'!$B$9,Paramètres!$A$1:$I$89,5,0)</f>
        <v>109.27799999999995</v>
      </c>
      <c r="P42" s="13">
        <f t="shared" si="33"/>
        <v>29.160810599699261</v>
      </c>
      <c r="Q42" s="20">
        <f t="shared" si="53"/>
        <v>241.11426179447608</v>
      </c>
      <c r="R42" s="59">
        <f t="shared" si="0"/>
        <v>534.44759512780934</v>
      </c>
      <c r="S42" s="59">
        <f ca="1">AVERAGE(OFFSET($R$3,0,0,'Données projet'!$E$9+1,1))-AVERAGE(OFFSET($H$3,0,0,'Données projet'!$E$9+1,1))</f>
        <v>319.22903094674564</v>
      </c>
      <c r="T42" s="59">
        <f t="shared" si="34"/>
        <v>254.58690973142848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7.5944227967780238</v>
      </c>
      <c r="AA42" s="21">
        <f>EXP(-LN(2)/25)*AA41+(1-EXP(-LN(2)/25))/(LN(2)/25)*Calculateur!V42*Calculateur!X42*VLOOKUP('Données projet'!$B$9,Paramètres!$A$1:$I$89,3,0)*0.475*44/12</f>
        <v>8.6887137292968486</v>
      </c>
      <c r="AB42" s="21">
        <f>EXP(-LN(2)/2)*AB41+(1-EXP(-LN(2)/2))/(LN(2)/2)*V42*Y42*VLOOKUP('Données projet'!$B$9,Paramètres!$A$1:$I$89,3,0)*0.475*44/12</f>
        <v>0.48804194683773744</v>
      </c>
      <c r="AC42" s="22">
        <f t="shared" si="3"/>
        <v>16.771178472912609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4.8</v>
      </c>
      <c r="AI42" s="13">
        <f>IF('Données projet'!$A$62&gt;35,AI41+AH42-AQ41,IF(A42&lt;'Données projet'!$A$62,$AF$205^A42,IF(A42='Données projet'!$A$62,'Données projet'!$B$62,AI41+AH42-AQ41)))</f>
        <v>228.20000000000019</v>
      </c>
      <c r="AJ42" s="13">
        <f>AI42*VLOOKUP('Données projet'!$B$10,Paramètres!$A$1:$I$89,3,0)*VLOOKUP('Données projet'!$B$10,Paramètres!$A$1:$I$89,5,0)</f>
        <v>206.47536000000017</v>
      </c>
      <c r="AK42" s="13">
        <f t="shared" si="35"/>
        <v>51.164606062687312</v>
      </c>
      <c r="AL42" s="20">
        <f t="shared" si="4"/>
        <v>448.72294089251392</v>
      </c>
      <c r="AM42" s="59">
        <f t="shared" si="5"/>
        <v>742.05627422584723</v>
      </c>
      <c r="AN42" s="59">
        <f ca="1">AVERAGE(OFFSET($AM$3,0,0,'Données projet'!$E$10+1,1))-AVERAGE(OFFSET($H$3,0,0,'Données projet'!$E$10+1,1))</f>
        <v>302.6112905010138</v>
      </c>
      <c r="AO42" s="59">
        <f t="shared" si="36"/>
        <v>423.44006663873375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1.7167281864039265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0.13240591015682057</v>
      </c>
      <c r="AX42" s="21">
        <f t="shared" si="6"/>
        <v>1.8491340965607472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10</v>
      </c>
      <c r="BD42" s="12">
        <f>IF('Données projet'!$A$88&gt;35,BD41+BC42-BL41,IF(A42&lt;'Données projet'!$A$88,$BA$205^A42,IF(A42='Données projet'!$A$88,'Données projet'!$B$88,BD41+BC42-BL41)))</f>
        <v>204.99999999999994</v>
      </c>
      <c r="BE42" s="13">
        <f>BD42*VLOOKUP('Données projet'!$B$11,Paramètres!$A$1:$I$89,3,0)*VLOOKUP('Données projet'!$B$11,Paramètres!$A$1:$I$89,5,0)</f>
        <v>122.58999999999997</v>
      </c>
      <c r="BF42" s="13">
        <f t="shared" si="37"/>
        <v>32.278321478706822</v>
      </c>
      <c r="BG42" s="20">
        <f t="shared" si="7"/>
        <v>269.728993242081</v>
      </c>
      <c r="BH42" s="59">
        <f t="shared" si="8"/>
        <v>563.06232657541432</v>
      </c>
      <c r="BI42" s="59">
        <f ca="1">AVERAGE(OFFSET($BH$3,0,0,'Données projet'!$E$11+1,1))-AVERAGE(OFFSET($H$3,0,0,'Données projet'!$E$11+1,1))</f>
        <v>207.91763299672158</v>
      </c>
      <c r="BJ42" s="59">
        <f t="shared" si="38"/>
        <v>230.81096055024483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6.1545249040872925</v>
      </c>
      <c r="BQ42" s="21">
        <f>EXP(-LN(2)/25)*BQ41+(1-EXP(-LN(2)/25))/(LN(2)/25)*Calculateur!BL42*Calculateur!BN42*VLOOKUP('Données projet'!$B$11,Paramètres!$A$1:$I$89,3,0)*0.475*44/12</f>
        <v>4.6925480796954933</v>
      </c>
      <c r="BR42" s="21">
        <f>EXP(-LN(2)/2)*BR41+(1-EXP(-LN(2)/2))/(LN(2)/2)*BL42*BO42*VLOOKUP('Données projet'!$B$11,Paramètres!$A$1:$I$89,3,0)*0.475*44/12</f>
        <v>0.1307250858751155</v>
      </c>
      <c r="BS42" s="22">
        <f t="shared" si="9"/>
        <v>10.977798069657901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243.5</v>
      </c>
      <c r="L43" s="12">
        <f>VLOOKUP(A43,'Données projet'!$A$35:$I$55,9,0)</f>
        <v>10</v>
      </c>
      <c r="M43" s="12">
        <f t="array" ref="M43">INDEX(L:L,MIN(IF(ISNUMBER(L43:L239),ROW(L43:L239),"")))</f>
        <v>10</v>
      </c>
      <c r="N43" s="13">
        <f>IF('Données projet'!$A$36&gt;35,N42+M43-V42,IF(A43&lt;'Données projet'!$A$36,$K$205^A43,IF(A43='Données projet'!$A$36,'Données projet'!$B$36,N42+M43-V42)))</f>
        <v>243.49999999999989</v>
      </c>
      <c r="O43" s="13">
        <f>N43*VLOOKUP('Données projet'!$B$9,Paramètres!$A$1:$I$89,3,0)*VLOOKUP('Données projet'!$B$9,Paramètres!$A$1:$I$89,5,0)</f>
        <v>113.95799999999994</v>
      </c>
      <c r="P43" s="13">
        <f t="shared" si="33"/>
        <v>30.261593043834445</v>
      </c>
      <c r="Q43" s="20">
        <f t="shared" si="53"/>
        <v>251.1824578846782</v>
      </c>
      <c r="R43" s="59">
        <f t="shared" si="0"/>
        <v>544.51579121801149</v>
      </c>
      <c r="S43" s="59">
        <f ca="1">AVERAGE(OFFSET($R$3,0,0,'Données projet'!$E$9+1,1))-AVERAGE(OFFSET($H$3,0,0,'Données projet'!$E$9+1,1))</f>
        <v>319.22903094674564</v>
      </c>
      <c r="T43" s="59">
        <f t="shared" si="34"/>
        <v>254.58690973142848</v>
      </c>
      <c r="U43" s="15">
        <f>IF(ISNA(VLOOKUP(A43,'Données projet'!$A$35:$I$55,3,0)),0,VLOOKUP(A43,'Données projet'!$A$35:$I$55,3,0))</f>
        <v>3</v>
      </c>
      <c r="V43" s="15">
        <f>IF(ISNA(VLOOKUP(A43,'Données projet'!$A$35:$I$55,4,0)),0,VLOOKUP(A43,'Données projet'!$A$35:$I$55,4,0))</f>
        <v>70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7.4455007978737271</v>
      </c>
      <c r="AA43" s="21">
        <f>EXP(-LN(2)/25)*AA42+(1-EXP(-LN(2)/25))/(LN(2)/25)*Calculateur!V43*Calculateur!X43*VLOOKUP('Données projet'!$B$9,Paramètres!$A$1:$I$89,3,0)*0.475*44/12</f>
        <v>8.4511203954496299</v>
      </c>
      <c r="AB43" s="21">
        <f>EXP(-LN(2)/2)*AB42+(1-EXP(-LN(2)/2))/(LN(2)/2)*V43*Y43*VLOOKUP('Données projet'!$B$9,Paramètres!$A$1:$I$89,3,0)*0.475*44/12</f>
        <v>0.34509777011244869</v>
      </c>
      <c r="AC43" s="22">
        <f t="shared" si="3"/>
        <v>16.241718963435805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233</v>
      </c>
      <c r="AG43" s="12">
        <f>VLOOKUP(A43,'Données projet'!$A$61:$I$81,9,0)</f>
        <v>4.8</v>
      </c>
      <c r="AH43" s="12">
        <f t="array" ref="AH43">INDEX(AG:AG,MIN(IF(ISNUMBER(AG43:AG239),ROW(AG43:AG239),"")))</f>
        <v>4.8</v>
      </c>
      <c r="AI43" s="13">
        <f>IF('Données projet'!$A$62&gt;35,AI42+AH43-AQ42,IF(A43&lt;'Données projet'!$A$62,$AF$205^A43,IF(A43='Données projet'!$A$62,'Données projet'!$B$62,AI42+AH43-AQ42)))</f>
        <v>233.0000000000002</v>
      </c>
      <c r="AJ43" s="13">
        <f>AI43*VLOOKUP('Données projet'!$B$10,Paramètres!$A$1:$I$89,3,0)*VLOOKUP('Données projet'!$B$10,Paramètres!$A$1:$I$89,5,0)</f>
        <v>210.81840000000017</v>
      </c>
      <c r="AK43" s="13">
        <f t="shared" si="35"/>
        <v>52.114386184062248</v>
      </c>
      <c r="AL43" s="20">
        <f t="shared" si="4"/>
        <v>457.94126927057533</v>
      </c>
      <c r="AM43" s="59">
        <f t="shared" si="5"/>
        <v>751.27460260390865</v>
      </c>
      <c r="AN43" s="59">
        <f ca="1">AVERAGE(OFFSET($AM$3,0,0,'Données projet'!$E$10+1,1))-AVERAGE(OFFSET($H$3,0,0,'Données projet'!$E$10+1,1))</f>
        <v>302.6112905010138</v>
      </c>
      <c r="AO43" s="59">
        <f t="shared" si="36"/>
        <v>423.44006663873375</v>
      </c>
      <c r="AP43" s="15">
        <f>IF(ISNA(VLOOKUP(A43,'Données projet'!$A$61:$I$81,3,0)),0,VLOOKUP(A43,'Données projet'!$A$61:$I$81,3,0))</f>
        <v>8</v>
      </c>
      <c r="AQ43" s="15">
        <f>IF(ISNA(VLOOKUP(A43,'Données projet'!$A$61:$I$81,4,0)),0,VLOOKUP(A43,'Données projet'!$A$61:$I$81,4,0))</f>
        <v>6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1.6830641937693467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9.3625116941064596E-2</v>
      </c>
      <c r="AX43" s="21">
        <f t="shared" si="6"/>
        <v>1.7766893107104114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215</v>
      </c>
      <c r="BB43" s="12">
        <f>VLOOKUP(A43,'Données projet'!$A$87:$I$107,9,0)</f>
        <v>10</v>
      </c>
      <c r="BC43" s="12">
        <f t="array" ref="BC43">INDEX(BB:BB,MIN(IF(ISNUMBER(BB43:BB239),ROW(BB43:BB239),"")))</f>
        <v>10</v>
      </c>
      <c r="BD43" s="12">
        <f>IF('Données projet'!$A$88&gt;35,BD42+BC43-BL42,IF(A43&lt;'Données projet'!$A$88,$BA$205^A43,IF(A43='Données projet'!$A$88,'Données projet'!$B$88,BD42+BC43-BL42)))</f>
        <v>214.99999999999994</v>
      </c>
      <c r="BE43" s="13">
        <f>BD43*VLOOKUP('Données projet'!$B$11,Paramètres!$A$1:$I$89,3,0)*VLOOKUP('Données projet'!$B$11,Paramètres!$A$1:$I$89,5,0)</f>
        <v>128.56999999999996</v>
      </c>
      <c r="BF43" s="13">
        <f t="shared" si="37"/>
        <v>33.665715905233249</v>
      </c>
      <c r="BG43" s="20">
        <f t="shared" si="7"/>
        <v>282.5605385349478</v>
      </c>
      <c r="BH43" s="59">
        <f t="shared" si="8"/>
        <v>575.89387186828117</v>
      </c>
      <c r="BI43" s="59">
        <f ca="1">AVERAGE(OFFSET($BH$3,0,0,'Données projet'!$E$11+1,1))-AVERAGE(OFFSET($H$3,0,0,'Données projet'!$E$11+1,1))</f>
        <v>207.91763299672158</v>
      </c>
      <c r="BJ43" s="59">
        <f t="shared" si="38"/>
        <v>230.81096055024483</v>
      </c>
      <c r="BK43" s="15">
        <f>IF(ISNA(VLOOKUP(A43,'Données projet'!$A$87:$I$107,3,0)),0,VLOOKUP(A43,'Données projet'!$A$87:$I$107,3,0))</f>
        <v>7</v>
      </c>
      <c r="BL43" s="15">
        <f>IF(ISNA(VLOOKUP(A43,'Données projet'!$A$87:$I$107,4,0)),0,VLOOKUP(A43,'Données projet'!$A$87:$I$107,4,0))</f>
        <v>31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6.0338384246076666</v>
      </c>
      <c r="BQ43" s="21">
        <f>EXP(-LN(2)/25)*BQ42+(1-EXP(-LN(2)/25))/(LN(2)/25)*Calculateur!BL43*Calculateur!BN43*VLOOKUP('Données projet'!$B$11,Paramètres!$A$1:$I$89,3,0)*0.475*44/12</f>
        <v>4.5642301056858416</v>
      </c>
      <c r="BR43" s="21">
        <f>EXP(-LN(2)/2)*BR42+(1-EXP(-LN(2)/2))/(LN(2)/2)*BL43*BO43*VLOOKUP('Données projet'!$B$11,Paramètres!$A$1:$I$89,3,0)*0.475*44/12</f>
        <v>9.2436594693487931E-2</v>
      </c>
      <c r="BS43" s="22">
        <f t="shared" si="9"/>
        <v>10.690505124986997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11.5</v>
      </c>
      <c r="N44" s="13">
        <f>IF('Données projet'!$A$36&gt;35,N43+M44-V43,IF(A44&lt;'Données projet'!$A$36,$K$205^A44,IF(A44='Données projet'!$A$36,'Données projet'!$B$36,N43+M44-V43)))</f>
        <v>184.99999999999989</v>
      </c>
      <c r="O44" s="13">
        <f>N44*VLOOKUP('Données projet'!$B$9,Paramètres!$A$1:$I$89,3,0)*VLOOKUP('Données projet'!$B$9,Paramètres!$A$1:$I$89,5,0)</f>
        <v>86.579999999999941</v>
      </c>
      <c r="P44" s="13">
        <f t="shared" si="33"/>
        <v>23.738552844733956</v>
      </c>
      <c r="Q44" s="20">
        <f t="shared" si="53"/>
        <v>192.13814620457819</v>
      </c>
      <c r="R44" s="59">
        <f t="shared" si="0"/>
        <v>485.47147953791148</v>
      </c>
      <c r="S44" s="59">
        <f ca="1">AVERAGE(OFFSET($R$3,0,0,'Données projet'!$E$9+1,1))-AVERAGE(OFFSET($H$3,0,0,'Données projet'!$E$9+1,1))</f>
        <v>319.22903094674564</v>
      </c>
      <c r="T44" s="59">
        <f t="shared" si="34"/>
        <v>254.58690973142848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7.2994990685344936</v>
      </c>
      <c r="AA44" s="21">
        <f>EXP(-LN(2)/25)*AA43+(1-EXP(-LN(2)/25))/(LN(2)/25)*Calculateur!V44*Calculateur!X44*VLOOKUP('Données projet'!$B$9,Paramètres!$A$1:$I$89,3,0)*0.475*44/12</f>
        <v>8.2200240638109534</v>
      </c>
      <c r="AB44" s="21">
        <f>EXP(-LN(2)/2)*AB43+(1-EXP(-LN(2)/2))/(LN(2)/2)*V44*Y44*VLOOKUP('Données projet'!$B$9,Paramètres!$A$1:$I$89,3,0)*0.475*44/12</f>
        <v>0.24402097341886875</v>
      </c>
      <c r="AC44" s="22">
        <f t="shared" si="3"/>
        <v>15.763544105764316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5</v>
      </c>
      <c r="AI44" s="13">
        <f>IF('Données projet'!$A$62&gt;35,AI43+AH44-AQ43,IF(A44&lt;'Données projet'!$A$62,$AF$205^A44,IF(A44='Données projet'!$A$62,'Données projet'!$B$62,AI43+AH44-AQ43)))</f>
        <v>232.0000000000002</v>
      </c>
      <c r="AJ44" s="13">
        <f>AI44*VLOOKUP('Données projet'!$B$10,Paramètres!$A$1:$I$89,3,0)*VLOOKUP('Données projet'!$B$10,Paramètres!$A$1:$I$89,5,0)</f>
        <v>209.9136000000002</v>
      </c>
      <c r="AK44" s="13">
        <f t="shared" si="35"/>
        <v>51.916704672341361</v>
      </c>
      <c r="AL44" s="20">
        <f t="shared" si="4"/>
        <v>456.02111397099492</v>
      </c>
      <c r="AM44" s="59">
        <f t="shared" si="5"/>
        <v>749.35444730432823</v>
      </c>
      <c r="AN44" s="59">
        <f ca="1">AVERAGE(OFFSET($AM$3,0,0,'Données projet'!$E$10+1,1))-AVERAGE(OFFSET($H$3,0,0,'Données projet'!$E$10+1,1))</f>
        <v>302.6112905010138</v>
      </c>
      <c r="AO44" s="59">
        <f t="shared" si="36"/>
        <v>423.44006663873375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1.6500603314973228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6.6202955078410286E-2</v>
      </c>
      <c r="AX44" s="21">
        <f t="shared" si="6"/>
        <v>1.716263286575733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7.333333333333333</v>
      </c>
      <c r="BD44" s="12">
        <f>IF('Données projet'!$A$88&gt;35,BD43+BC44-BL43,IF(A44&lt;'Données projet'!$A$88,$BA$205^A44,IF(A44='Données projet'!$A$88,'Données projet'!$B$88,BD43+BC44-BL43)))</f>
        <v>191.33333333333329</v>
      </c>
      <c r="BE44" s="13">
        <f>BD44*VLOOKUP('Données projet'!$B$11,Paramètres!$A$1:$I$89,3,0)*VLOOKUP('Données projet'!$B$11,Paramètres!$A$1:$I$89,5,0)</f>
        <v>114.41733333333332</v>
      </c>
      <c r="BF44" s="13">
        <f t="shared" si="37"/>
        <v>30.36934592669316</v>
      </c>
      <c r="BG44" s="20">
        <f t="shared" si="7"/>
        <v>252.17013304454611</v>
      </c>
      <c r="BH44" s="59">
        <f t="shared" si="8"/>
        <v>545.50346637787948</v>
      </c>
      <c r="BI44" s="59">
        <f ca="1">AVERAGE(OFFSET($BH$3,0,0,'Données projet'!$E$11+1,1))-AVERAGE(OFFSET($H$3,0,0,'Données projet'!$E$11+1,1))</f>
        <v>207.91763299672158</v>
      </c>
      <c r="BJ44" s="59">
        <f t="shared" si="38"/>
        <v>230.81096055024483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5.915518533379152</v>
      </c>
      <c r="BQ44" s="21">
        <f>EXP(-LN(2)/25)*BQ43+(1-EXP(-LN(2)/25))/(LN(2)/25)*Calculateur!BL44*Calculateur!BN44*VLOOKUP('Données projet'!$B$11,Paramètres!$A$1:$I$89,3,0)*0.475*44/12</f>
        <v>4.4394209934234325</v>
      </c>
      <c r="BR44" s="21">
        <f>EXP(-LN(2)/2)*BR43+(1-EXP(-LN(2)/2))/(LN(2)/2)*BL44*BO44*VLOOKUP('Données projet'!$B$11,Paramètres!$A$1:$I$89,3,0)*0.475*44/12</f>
        <v>6.5362542937557749E-2</v>
      </c>
      <c r="BS44" s="22">
        <f t="shared" si="9"/>
        <v>10.420302069740144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11.5</v>
      </c>
      <c r="N45" s="13">
        <f>IF('Données projet'!$A$36&gt;35,N44+M45-V44,IF(A45&lt;'Données projet'!$A$36,$K$205^A45,IF(A45='Données projet'!$A$36,'Données projet'!$B$36,N44+M45-V44)))</f>
        <v>196.49999999999989</v>
      </c>
      <c r="O45" s="13">
        <f>N45*VLOOKUP('Données projet'!$B$9,Paramètres!$A$1:$I$89,3,0)*VLOOKUP('Données projet'!$B$9,Paramètres!$A$1:$I$89,5,0)</f>
        <v>91.961999999999946</v>
      </c>
      <c r="P45" s="13">
        <f t="shared" si="33"/>
        <v>25.037816603121904</v>
      </c>
      <c r="Q45" s="20">
        <f t="shared" si="53"/>
        <v>203.77468058377053</v>
      </c>
      <c r="R45" s="59">
        <f t="shared" si="0"/>
        <v>497.10801391710385</v>
      </c>
      <c r="S45" s="59">
        <f ca="1">AVERAGE(OFFSET($R$3,0,0,'Données projet'!$E$9+1,1))-AVERAGE(OFFSET($H$3,0,0,'Données projet'!$E$9+1,1))</f>
        <v>319.22903094674564</v>
      </c>
      <c r="T45" s="59">
        <f t="shared" si="34"/>
        <v>254.58690973142848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7.1563603440553401</v>
      </c>
      <c r="AA45" s="21">
        <f>EXP(-LN(2)/25)*AA44+(1-EXP(-LN(2)/25))/(LN(2)/25)*Calculateur!V45*Calculateur!X45*VLOOKUP('Données projet'!$B$9,Paramètres!$A$1:$I$89,3,0)*0.475*44/12</f>
        <v>7.9952470735137648</v>
      </c>
      <c r="AB45" s="21">
        <f>EXP(-LN(2)/2)*AB44+(1-EXP(-LN(2)/2))/(LN(2)/2)*V45*Y45*VLOOKUP('Données projet'!$B$9,Paramètres!$A$1:$I$89,3,0)*0.475*44/12</f>
        <v>0.17254888505622437</v>
      </c>
      <c r="AC45" s="22">
        <f t="shared" si="3"/>
        <v>15.32415630262533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5</v>
      </c>
      <c r="AI45" s="13">
        <f>IF('Données projet'!$A$62&gt;35,AI44+AH45-AQ44,IF(A45&lt;'Données projet'!$A$62,$AF$205^A45,IF(A45='Données projet'!$A$62,'Données projet'!$B$62,AI44+AH45-AQ44)))</f>
        <v>237.0000000000002</v>
      </c>
      <c r="AJ45" s="13">
        <f>AI45*VLOOKUP('Données projet'!$B$10,Paramètres!$A$1:$I$89,3,0)*VLOOKUP('Données projet'!$B$10,Paramètres!$A$1:$I$89,5,0)</f>
        <v>214.43760000000015</v>
      </c>
      <c r="AK45" s="13">
        <f t="shared" si="35"/>
        <v>52.904129603372425</v>
      </c>
      <c r="AL45" s="20">
        <f t="shared" si="4"/>
        <v>465.6201790592072</v>
      </c>
      <c r="AM45" s="59">
        <f t="shared" si="5"/>
        <v>758.95351239254046</v>
      </c>
      <c r="AN45" s="59">
        <f ca="1">AVERAGE(OFFSET($AM$3,0,0,'Données projet'!$E$10+1,1))-AVERAGE(OFFSET($H$3,0,0,'Données projet'!$E$10+1,1))</f>
        <v>302.6112905010138</v>
      </c>
      <c r="AO45" s="59">
        <f t="shared" si="36"/>
        <v>423.44006663873375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1.6177036548340851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4.6812558470532298E-2</v>
      </c>
      <c r="AX45" s="21">
        <f t="shared" si="6"/>
        <v>1.6645162133046174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7.333333333333333</v>
      </c>
      <c r="BD45" s="12">
        <f>IF('Données projet'!$A$88&gt;35,BD44+BC45-BL44,IF(A45&lt;'Données projet'!$A$88,$BA$205^A45,IF(A45='Données projet'!$A$88,'Données projet'!$B$88,BD44+BC45-BL44)))</f>
        <v>198.66666666666663</v>
      </c>
      <c r="BE45" s="13">
        <f>BD45*VLOOKUP('Données projet'!$B$11,Paramètres!$A$1:$I$89,3,0)*VLOOKUP('Données projet'!$B$11,Paramètres!$A$1:$I$89,5,0)</f>
        <v>118.80266666666665</v>
      </c>
      <c r="BF45" s="13">
        <f t="shared" si="37"/>
        <v>31.395578184054404</v>
      </c>
      <c r="BG45" s="20">
        <f t="shared" si="7"/>
        <v>261.59527644833923</v>
      </c>
      <c r="BH45" s="59">
        <f t="shared" si="8"/>
        <v>554.92860978167255</v>
      </c>
      <c r="BI45" s="59">
        <f ca="1">AVERAGE(OFFSET($BH$3,0,0,'Données projet'!$E$11+1,1))-AVERAGE(OFFSET($H$3,0,0,'Données projet'!$E$11+1,1))</f>
        <v>207.91763299672158</v>
      </c>
      <c r="BJ45" s="59">
        <f t="shared" si="38"/>
        <v>230.81096055024483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5.7995188230496213</v>
      </c>
      <c r="BQ45" s="21">
        <f>EXP(-LN(2)/25)*BQ44+(1-EXP(-LN(2)/25))/(LN(2)/25)*Calculateur!BL45*Calculateur!BN45*VLOOKUP('Données projet'!$B$11,Paramètres!$A$1:$I$89,3,0)*0.475*44/12</f>
        <v>4.3180247928992648</v>
      </c>
      <c r="BR45" s="21">
        <f>EXP(-LN(2)/2)*BR44+(1-EXP(-LN(2)/2))/(LN(2)/2)*BL45*BO45*VLOOKUP('Données projet'!$B$11,Paramètres!$A$1:$I$89,3,0)*0.475*44/12</f>
        <v>4.6218297346743965E-2</v>
      </c>
      <c r="BS45" s="22">
        <f t="shared" si="9"/>
        <v>10.16376191329563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11.5</v>
      </c>
      <c r="N46" s="13">
        <f>IF('Données projet'!$A$36&gt;35,N45+M46-V45,IF(A46&lt;'Données projet'!$A$36,$K$205^A46,IF(A46='Données projet'!$A$36,'Données projet'!$B$36,N45+M46-V45)))</f>
        <v>207.99999999999989</v>
      </c>
      <c r="O46" s="13">
        <f>N46*VLOOKUP('Données projet'!$B$9,Paramètres!$A$1:$I$89,3,0)*VLOOKUP('Données projet'!$B$9,Paramètres!$A$1:$I$89,5,0)</f>
        <v>97.343999999999937</v>
      </c>
      <c r="P46" s="13">
        <f t="shared" si="33"/>
        <v>26.328254259866451</v>
      </c>
      <c r="Q46" s="20">
        <f t="shared" si="53"/>
        <v>215.39584283593396</v>
      </c>
      <c r="R46" s="59">
        <f t="shared" si="0"/>
        <v>508.72917616926725</v>
      </c>
      <c r="S46" s="59">
        <f ca="1">AVERAGE(OFFSET($R$3,0,0,'Données projet'!$E$9+1,1))-AVERAGE(OFFSET($H$3,0,0,'Données projet'!$E$9+1,1))</f>
        <v>319.22903094674564</v>
      </c>
      <c r="T46" s="59">
        <f t="shared" si="34"/>
        <v>254.58690973142848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7.0160284826572221</v>
      </c>
      <c r="AA46" s="21">
        <f>EXP(-LN(2)/25)*AA45+(1-EXP(-LN(2)/25))/(LN(2)/25)*Calculateur!V46*Calculateur!X46*VLOOKUP('Données projet'!$B$9,Paramètres!$A$1:$I$89,3,0)*0.475*44/12</f>
        <v>7.7766166218367605</v>
      </c>
      <c r="AB46" s="21">
        <f>EXP(-LN(2)/2)*AB45+(1-EXP(-LN(2)/2))/(LN(2)/2)*V46*Y46*VLOOKUP('Données projet'!$B$9,Paramètres!$A$1:$I$89,3,0)*0.475*44/12</f>
        <v>0.1220104867094344</v>
      </c>
      <c r="AC46" s="22">
        <f t="shared" si="3"/>
        <v>14.914655591203417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5</v>
      </c>
      <c r="AI46" s="13">
        <f>IF('Données projet'!$A$62&gt;35,AI45+AH46-AQ45,IF(A46&lt;'Données projet'!$A$62,$AF$205^A46,IF(A46='Données projet'!$A$62,'Données projet'!$B$62,AI45+AH46-AQ45)))</f>
        <v>242.0000000000002</v>
      </c>
      <c r="AJ46" s="13">
        <f>AI46*VLOOKUP('Données projet'!$B$10,Paramètres!$A$1:$I$89,3,0)*VLOOKUP('Données projet'!$B$10,Paramètres!$A$1:$I$89,5,0)</f>
        <v>218.96160000000017</v>
      </c>
      <c r="AK46" s="13">
        <f t="shared" si="35"/>
        <v>53.889132503707479</v>
      </c>
      <c r="AL46" s="20">
        <f t="shared" si="4"/>
        <v>475.2150257772908</v>
      </c>
      <c r="AM46" s="59">
        <f t="shared" si="5"/>
        <v>768.54835911062412</v>
      </c>
      <c r="AN46" s="59">
        <f ca="1">AVERAGE(OFFSET($AM$3,0,0,'Données projet'!$E$10+1,1))-AVERAGE(OFFSET($H$3,0,0,'Données projet'!$E$10+1,1))</f>
        <v>302.6112905010138</v>
      </c>
      <c r="AO46" s="59">
        <f t="shared" si="36"/>
        <v>423.44006663873375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1.5859814728645893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3.3101477539205143E-2</v>
      </c>
      <c r="AX46" s="21">
        <f t="shared" si="6"/>
        <v>1.6190829504037945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7.333333333333333</v>
      </c>
      <c r="BD46" s="12">
        <f>IF('Données projet'!$A$88&gt;35,BD45+BC46-BL45,IF(A46&lt;'Données projet'!$A$88,$BA$205^A46,IF(A46='Données projet'!$A$88,'Données projet'!$B$88,BD45+BC46-BL45)))</f>
        <v>205.99999999999997</v>
      </c>
      <c r="BE46" s="13">
        <f>BD46*VLOOKUP('Données projet'!$B$11,Paramètres!$A$1:$I$89,3,0)*VLOOKUP('Données projet'!$B$11,Paramètres!$A$1:$I$89,5,0)</f>
        <v>123.18799999999999</v>
      </c>
      <c r="BF46" s="13">
        <f t="shared" si="37"/>
        <v>32.417409489939047</v>
      </c>
      <c r="BG46" s="20">
        <f t="shared" si="7"/>
        <v>271.01275486164383</v>
      </c>
      <c r="BH46" s="59">
        <f t="shared" si="8"/>
        <v>564.34608819497714</v>
      </c>
      <c r="BI46" s="59">
        <f ca="1">AVERAGE(OFFSET($BH$3,0,0,'Données projet'!$E$11+1,1))-AVERAGE(OFFSET($H$3,0,0,'Données projet'!$E$11+1,1))</f>
        <v>207.91763299672158</v>
      </c>
      <c r="BJ46" s="59">
        <f t="shared" si="38"/>
        <v>230.81096055024483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5.6857937962868155</v>
      </c>
      <c r="BQ46" s="21">
        <f>EXP(-LN(2)/25)*BQ45+(1-EXP(-LN(2)/25))/(LN(2)/25)*Calculateur!BL46*Calculateur!BN46*VLOOKUP('Données projet'!$B$11,Paramètres!$A$1:$I$89,3,0)*0.475*44/12</f>
        <v>4.1999481778623791</v>
      </c>
      <c r="BR46" s="21">
        <f>EXP(-LN(2)/2)*BR45+(1-EXP(-LN(2)/2))/(LN(2)/2)*BL46*BO46*VLOOKUP('Données projet'!$B$11,Paramètres!$A$1:$I$89,3,0)*0.475*44/12</f>
        <v>3.2681271468778875E-2</v>
      </c>
      <c r="BS46" s="22">
        <f t="shared" si="9"/>
        <v>9.9184232456179728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11.5</v>
      </c>
      <c r="N47" s="13">
        <f>IF('Données projet'!$A$36&gt;35,N46+M47-V46,IF(A47&lt;'Données projet'!$A$36,$K$205^A47,IF(A47='Données projet'!$A$36,'Données projet'!$B$36,N46+M47-V46)))</f>
        <v>219.49999999999989</v>
      </c>
      <c r="O47" s="13">
        <f>N47*VLOOKUP('Données projet'!$B$9,Paramètres!$A$1:$I$89,3,0)*VLOOKUP('Données projet'!$B$9,Paramètres!$A$1:$I$89,5,0)</f>
        <v>102.72599999999994</v>
      </c>
      <c r="P47" s="13">
        <f t="shared" si="33"/>
        <v>27.610409417164195</v>
      </c>
      <c r="Q47" s="20">
        <f t="shared" si="53"/>
        <v>227.0025797348942</v>
      </c>
      <c r="R47" s="59">
        <f t="shared" si="0"/>
        <v>520.33591306822746</v>
      </c>
      <c r="S47" s="59">
        <f ca="1">AVERAGE(OFFSET($R$3,0,0,'Données projet'!$E$9+1,1))-AVERAGE(OFFSET($H$3,0,0,'Données projet'!$E$9+1,1))</f>
        <v>319.22903094674564</v>
      </c>
      <c r="T47" s="59">
        <f t="shared" si="34"/>
        <v>254.58690973142848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6.8784484434671374</v>
      </c>
      <c r="AA47" s="21">
        <f>EXP(-LN(2)/25)*AA46+(1-EXP(-LN(2)/25))/(LN(2)/25)*Calculateur!V47*Calculateur!X47*VLOOKUP('Données projet'!$B$9,Paramètres!$A$1:$I$89,3,0)*0.475*44/12</f>
        <v>7.5639646313581395</v>
      </c>
      <c r="AB47" s="21">
        <f>EXP(-LN(2)/2)*AB46+(1-EXP(-LN(2)/2))/(LN(2)/2)*V47*Y47*VLOOKUP('Données projet'!$B$9,Paramètres!$A$1:$I$89,3,0)*0.475*44/12</f>
        <v>8.62744425281122E-2</v>
      </c>
      <c r="AC47" s="22">
        <f t="shared" si="3"/>
        <v>14.528687517353388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5</v>
      </c>
      <c r="AI47" s="13">
        <f>IF('Données projet'!$A$62&gt;35,AI46+AH47-AQ46,IF(A47&lt;'Données projet'!$A$62,$AF$205^A47,IF(A47='Données projet'!$A$62,'Données projet'!$B$62,AI46+AH47-AQ46)))</f>
        <v>247.0000000000002</v>
      </c>
      <c r="AJ47" s="13">
        <f>AI47*VLOOKUP('Données projet'!$B$10,Paramètres!$A$1:$I$89,3,0)*VLOOKUP('Données projet'!$B$10,Paramètres!$A$1:$I$89,5,0)</f>
        <v>223.48560000000018</v>
      </c>
      <c r="AK47" s="13">
        <f t="shared" si="35"/>
        <v>54.87176918107798</v>
      </c>
      <c r="AL47" s="20">
        <f t="shared" si="4"/>
        <v>484.80575132371115</v>
      </c>
      <c r="AM47" s="59">
        <f t="shared" si="5"/>
        <v>778.13908465704446</v>
      </c>
      <c r="AN47" s="59">
        <f ca="1">AVERAGE(OFFSET($AM$3,0,0,'Données projet'!$E$10+1,1))-AVERAGE(OFFSET($H$3,0,0,'Données projet'!$E$10+1,1))</f>
        <v>302.6112905010138</v>
      </c>
      <c r="AO47" s="59">
        <f t="shared" si="36"/>
        <v>423.44006663873375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1.5548813435348949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2.3406279235266149E-2</v>
      </c>
      <c r="AX47" s="21">
        <f t="shared" si="6"/>
        <v>1.578287622770161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7.333333333333333</v>
      </c>
      <c r="BD47" s="12">
        <f>IF('Données projet'!$A$88&gt;35,BD46+BC47-BL46,IF(A47&lt;'Données projet'!$A$88,$BA$205^A47,IF(A47='Données projet'!$A$88,'Données projet'!$B$88,BD46+BC47-BL46)))</f>
        <v>213.33333333333331</v>
      </c>
      <c r="BE47" s="13">
        <f>BD47*VLOOKUP('Données projet'!$B$11,Paramètres!$A$1:$I$89,3,0)*VLOOKUP('Données projet'!$B$11,Paramètres!$A$1:$I$89,5,0)</f>
        <v>127.57333333333332</v>
      </c>
      <c r="BF47" s="13">
        <f t="shared" si="37"/>
        <v>33.435014461818334</v>
      </c>
      <c r="BG47" s="20">
        <f t="shared" si="7"/>
        <v>280.42287240988907</v>
      </c>
      <c r="BH47" s="59">
        <f t="shared" si="8"/>
        <v>573.75620574322238</v>
      </c>
      <c r="BI47" s="59">
        <f ca="1">AVERAGE(OFFSET($BH$3,0,0,'Données projet'!$E$11+1,1))-AVERAGE(OFFSET($H$3,0,0,'Données projet'!$E$11+1,1))</f>
        <v>207.91763299672158</v>
      </c>
      <c r="BJ47" s="59">
        <f t="shared" si="38"/>
        <v>230.81096055024483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5.5742988479334112</v>
      </c>
      <c r="BQ47" s="21">
        <f>EXP(-LN(2)/25)*BQ46+(1-EXP(-LN(2)/25))/(LN(2)/25)*Calculateur!BL47*Calculateur!BN47*VLOOKUP('Données projet'!$B$11,Paramètres!$A$1:$I$89,3,0)*0.475*44/12</f>
        <v>4.0851003740730567</v>
      </c>
      <c r="BR47" s="21">
        <f>EXP(-LN(2)/2)*BR46+(1-EXP(-LN(2)/2))/(LN(2)/2)*BL47*BO47*VLOOKUP('Données projet'!$B$11,Paramètres!$A$1:$I$89,3,0)*0.475*44/12</f>
        <v>2.3109148673371983E-2</v>
      </c>
      <c r="BS47" s="22">
        <f t="shared" si="9"/>
        <v>9.6825083706798392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11.5</v>
      </c>
      <c r="N48" s="13">
        <f>IF('Données projet'!$A$36&gt;35,N47+M48-V47,IF(A48&lt;'Données projet'!$A$36,$K$205^A48,IF(A48='Données projet'!$A$36,'Données projet'!$B$36,N47+M48-V47)))</f>
        <v>230.99999999999989</v>
      </c>
      <c r="O48" s="13">
        <f>N48*VLOOKUP('Données projet'!$B$9,Paramètres!$A$1:$I$89,3,0)*VLOOKUP('Données projet'!$B$9,Paramètres!$A$1:$I$89,5,0)</f>
        <v>108.10799999999995</v>
      </c>
      <c r="P48" s="13">
        <f t="shared" si="33"/>
        <v>28.884765499467136</v>
      </c>
      <c r="Q48" s="20">
        <f t="shared" si="53"/>
        <v>238.59573324490518</v>
      </c>
      <c r="R48" s="59">
        <f t="shared" si="0"/>
        <v>531.92906657823846</v>
      </c>
      <c r="S48" s="59">
        <f ca="1">AVERAGE(OFFSET($R$3,0,0,'Données projet'!$E$9+1,1))-AVERAGE(OFFSET($H$3,0,0,'Données projet'!$E$9+1,1))</f>
        <v>319.22903094674564</v>
      </c>
      <c r="T48" s="59">
        <f t="shared" si="34"/>
        <v>254.58690973142848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6.7435662649300321</v>
      </c>
      <c r="AA48" s="21">
        <f>EXP(-LN(2)/25)*AA47+(1-EXP(-LN(2)/25))/(LN(2)/25)*Calculateur!V48*Calculateur!X48*VLOOKUP('Données projet'!$B$9,Paramètres!$A$1:$I$89,3,0)*0.475*44/12</f>
        <v>7.3571276207420384</v>
      </c>
      <c r="AB48" s="21">
        <f>EXP(-LN(2)/2)*AB47+(1-EXP(-LN(2)/2))/(LN(2)/2)*V48*Y48*VLOOKUP('Données projet'!$B$9,Paramètres!$A$1:$I$89,3,0)*0.475*44/12</f>
        <v>6.1005243354717208E-2</v>
      </c>
      <c r="AC48" s="22">
        <f t="shared" si="3"/>
        <v>14.161699129026788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252</v>
      </c>
      <c r="AG48" s="12">
        <f>VLOOKUP(A48,'Données projet'!$A$61:$I$81,9,0)</f>
        <v>5</v>
      </c>
      <c r="AH48" s="12">
        <f t="array" ref="AH48">INDEX(AG:AG,MIN(IF(ISNUMBER(AG48:AG244),ROW(AG48:AG244),"")))</f>
        <v>5</v>
      </c>
      <c r="AI48" s="13">
        <f>IF('Données projet'!$A$62&gt;35,AI47+AH48-AQ47,IF(A48&lt;'Données projet'!$A$62,$AF$205^A48,IF(A48='Données projet'!$A$62,'Données projet'!$B$62,AI47+AH48-AQ47)))</f>
        <v>252.0000000000002</v>
      </c>
      <c r="AJ48" s="13">
        <f>AI48*VLOOKUP('Données projet'!$B$10,Paramètres!$A$1:$I$89,3,0)*VLOOKUP('Données projet'!$B$10,Paramètres!$A$1:$I$89,5,0)</f>
        <v>228.00960000000018</v>
      </c>
      <c r="AK48" s="13">
        <f t="shared" si="35"/>
        <v>55.852093054619878</v>
      </c>
      <c r="AL48" s="20">
        <f t="shared" si="4"/>
        <v>494.39244873679655</v>
      </c>
      <c r="AM48" s="59">
        <f t="shared" si="5"/>
        <v>787.72578207012987</v>
      </c>
      <c r="AN48" s="59">
        <f ca="1">AVERAGE(OFFSET($AM$3,0,0,'Données projet'!$E$10+1,1))-AVERAGE(OFFSET($H$3,0,0,'Données projet'!$E$10+1,1))</f>
        <v>302.6112905010138</v>
      </c>
      <c r="AO48" s="59">
        <f t="shared" si="36"/>
        <v>423.44006663873375</v>
      </c>
      <c r="AP48" s="15">
        <f>IF(ISNA(VLOOKUP(A48,'Données projet'!$A$61:$I$81,3,0)),0,VLOOKUP(A48,'Données projet'!$A$61:$I$81,3,0))</f>
        <v>9</v>
      </c>
      <c r="AQ48" s="15">
        <f>IF(ISNA(VLOOKUP(A48,'Données projet'!$A$61:$I$81,4,0)),0,VLOOKUP(A48,'Données projet'!$A$61:$I$81,4,0))</f>
        <v>252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1.52439106877215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1.6550738769602572E-2</v>
      </c>
      <c r="AX48" s="21">
        <f t="shared" si="6"/>
        <v>1.5409418075417527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7.333333333333333</v>
      </c>
      <c r="BD48" s="12">
        <f>IF('Données projet'!$A$88&gt;35,BD47+BC48-BL47,IF(A48&lt;'Données projet'!$A$88,$BA$205^A48,IF(A48='Données projet'!$A$88,'Données projet'!$B$88,BD47+BC48-BL47)))</f>
        <v>220.66666666666666</v>
      </c>
      <c r="BE48" s="13">
        <f>BD48*VLOOKUP('Données projet'!$B$11,Paramètres!$A$1:$I$89,3,0)*VLOOKUP('Données projet'!$B$11,Paramètres!$A$1:$I$89,5,0)</f>
        <v>131.95866666666666</v>
      </c>
      <c r="BF48" s="13">
        <f t="shared" si="37"/>
        <v>34.448555031300216</v>
      </c>
      <c r="BG48" s="20">
        <f t="shared" si="7"/>
        <v>289.82591112395897</v>
      </c>
      <c r="BH48" s="59">
        <f t="shared" si="8"/>
        <v>583.15924445729229</v>
      </c>
      <c r="BI48" s="59">
        <f ca="1">AVERAGE(OFFSET($BH$3,0,0,'Données projet'!$E$11+1,1))-AVERAGE(OFFSET($H$3,0,0,'Données projet'!$E$11+1,1))</f>
        <v>207.91763299672158</v>
      </c>
      <c r="BJ48" s="59">
        <f t="shared" si="38"/>
        <v>230.81096055024483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5.4649902475120138</v>
      </c>
      <c r="BQ48" s="21">
        <f>EXP(-LN(2)/25)*BQ47+(1-EXP(-LN(2)/25))/(LN(2)/25)*Calculateur!BL48*Calculateur!BN48*VLOOKUP('Données projet'!$B$11,Paramètres!$A$1:$I$89,3,0)*0.475*44/12</f>
        <v>3.9733930895179368</v>
      </c>
      <c r="BR48" s="21">
        <f>EXP(-LN(2)/2)*BR47+(1-EXP(-LN(2)/2))/(LN(2)/2)*BL48*BO48*VLOOKUP('Données projet'!$B$11,Paramètres!$A$1:$I$89,3,0)*0.475*44/12</f>
        <v>1.6340635734389437E-2</v>
      </c>
      <c r="BS48" s="22">
        <f t="shared" si="9"/>
        <v>9.4547239727643397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11.5</v>
      </c>
      <c r="N49" s="13">
        <f>IF('Données projet'!$A$36&gt;35,N48+M49-V48,IF(A49&lt;'Données projet'!$A$36,$K$205^A49,IF(A49='Données projet'!$A$36,'Données projet'!$B$36,N48+M49-V48)))</f>
        <v>242.49999999999989</v>
      </c>
      <c r="O49" s="13">
        <f>N49*VLOOKUP('Données projet'!$B$9,Paramètres!$A$1:$I$89,3,0)*VLOOKUP('Données projet'!$B$9,Paramètres!$A$1:$I$89,5,0)</f>
        <v>113.48999999999994</v>
      </c>
      <c r="P49" s="13">
        <f t="shared" si="33"/>
        <v>30.151755078981495</v>
      </c>
      <c r="Q49" s="20">
        <f t="shared" si="53"/>
        <v>250.17605676255928</v>
      </c>
      <c r="R49" s="59">
        <f t="shared" si="0"/>
        <v>543.50939009589263</v>
      </c>
      <c r="S49" s="59">
        <f ca="1">AVERAGE(OFFSET($R$3,0,0,'Données projet'!$E$9+1,1))-AVERAGE(OFFSET($H$3,0,0,'Données projet'!$E$9+1,1))</f>
        <v>319.22903094674564</v>
      </c>
      <c r="T49" s="59">
        <f t="shared" si="34"/>
        <v>254.58690973142848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6.6113290436440337</v>
      </c>
      <c r="AA49" s="21">
        <f>EXP(-LN(2)/25)*AA48+(1-EXP(-LN(2)/25))/(LN(2)/25)*Calculateur!V49*Calculateur!X49*VLOOKUP('Données projet'!$B$9,Paramètres!$A$1:$I$89,3,0)*0.475*44/12</f>
        <v>7.1559465790583205</v>
      </c>
      <c r="AB49" s="21">
        <f>EXP(-LN(2)/2)*AB48+(1-EXP(-LN(2)/2))/(LN(2)/2)*V49*Y49*VLOOKUP('Données projet'!$B$9,Paramètres!$A$1:$I$89,3,0)*0.475*44/12</f>
        <v>4.3137221264056107E-2</v>
      </c>
      <c r="AC49" s="22">
        <f t="shared" si="3"/>
        <v>13.810412843966409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1.9895196601282805E-13</v>
      </c>
      <c r="AJ49" s="13">
        <f>AI49*VLOOKUP('Données projet'!$B$10,Paramètres!$A$1:$I$89,3,0)*VLOOKUP('Données projet'!$B$10,Paramètres!$A$1:$I$89,5,0)</f>
        <v>1.8001173884840681E-13</v>
      </c>
      <c r="AK49" s="13">
        <f t="shared" si="35"/>
        <v>2.5254331426407198E-12</v>
      </c>
      <c r="AL49" s="20">
        <f t="shared" si="4"/>
        <v>4.7119831685935622E-12</v>
      </c>
      <c r="AM49" s="59">
        <f t="shared" si="5"/>
        <v>293.33333333333803</v>
      </c>
      <c r="AN49" s="59">
        <f ca="1">AVERAGE(OFFSET($AM$3,0,0,'Données projet'!$E$10+1,1))-AVERAGE(OFFSET($H$3,0,0,'Données projet'!$E$10+1,1))</f>
        <v>302.6112905010138</v>
      </c>
      <c r="AO49" s="59">
        <f t="shared" si="36"/>
        <v>423.44006663873375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1.4944986897002712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1.1703139617633074E-2</v>
      </c>
      <c r="AX49" s="21">
        <f t="shared" si="6"/>
        <v>1.5062018293179043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>
        <f>VLOOKUP(A49,'Données projet'!$A$87:$I$107,2,0)</f>
        <v>228</v>
      </c>
      <c r="BB49" s="12">
        <f>VLOOKUP(A49,'Données projet'!$A$87:$I$107,9,0)</f>
        <v>7.333333333333333</v>
      </c>
      <c r="BC49" s="12">
        <f t="array" ref="BC49">INDEX(BB:BB,MIN(IF(ISNUMBER(BB49:BB245),ROW(BB49:BB245),"")))</f>
        <v>7.333333333333333</v>
      </c>
      <c r="BD49" s="12">
        <f>IF('Données projet'!$A$88&gt;35,BD48+BC49-BL48,IF(A49&lt;'Données projet'!$A$88,$BA$205^A49,IF(A49='Données projet'!$A$88,'Données projet'!$B$88,BD48+BC49-BL48)))</f>
        <v>228</v>
      </c>
      <c r="BE49" s="13">
        <f>BD49*VLOOKUP('Données projet'!$B$11,Paramètres!$A$1:$I$89,3,0)*VLOOKUP('Données projet'!$B$11,Paramètres!$A$1:$I$89,5,0)</f>
        <v>136.34400000000002</v>
      </c>
      <c r="BF49" s="13">
        <f t="shared" si="37"/>
        <v>35.458181756405082</v>
      </c>
      <c r="BG49" s="20">
        <f t="shared" si="7"/>
        <v>299.2221332257389</v>
      </c>
      <c r="BH49" s="59">
        <f t="shared" si="8"/>
        <v>592.55546655907222</v>
      </c>
      <c r="BI49" s="59">
        <f ca="1">AVERAGE(OFFSET($BH$3,0,0,'Données projet'!$E$11+1,1))-AVERAGE(OFFSET($H$3,0,0,'Données projet'!$E$11+1,1))</f>
        <v>207.91763299672158</v>
      </c>
      <c r="BJ49" s="59">
        <f t="shared" si="38"/>
        <v>230.81096055024483</v>
      </c>
      <c r="BK49" s="15">
        <f>IF(ISNA(VLOOKUP(A49,'Données projet'!$A$87:$I$107,3,0)),0,VLOOKUP(A49,'Données projet'!$A$87:$I$107,3,0))</f>
        <v>8</v>
      </c>
      <c r="BL49" s="15">
        <f>IF(ISNA(VLOOKUP(A49,'Données projet'!$A$87:$I$107,4,0)),0,VLOOKUP(A49,'Données projet'!$A$87:$I$107,4,0))</f>
        <v>23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5.3578251220732165</v>
      </c>
      <c r="BQ49" s="21">
        <f>EXP(-LN(2)/25)*BQ48+(1-EXP(-LN(2)/25))/(LN(2)/25)*Calculateur!BL49*Calculateur!BN49*VLOOKUP('Données projet'!$B$11,Paramètres!$A$1:$I$89,3,0)*0.475*44/12</f>
        <v>3.8647404465334074</v>
      </c>
      <c r="BR49" s="21">
        <f>EXP(-LN(2)/2)*BR48+(1-EXP(-LN(2)/2))/(LN(2)/2)*BL49*BO49*VLOOKUP('Données projet'!$B$11,Paramètres!$A$1:$I$89,3,0)*0.475*44/12</f>
        <v>1.1554574336685991E-2</v>
      </c>
      <c r="BS49" s="22">
        <f t="shared" si="9"/>
        <v>9.2341201429433095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11.5</v>
      </c>
      <c r="N50" s="13">
        <f>IF('Données projet'!$A$36&gt;35,N49+M50-V49,IF(A50&lt;'Données projet'!$A$36,$K$205^A50,IF(A50='Données projet'!$A$36,'Données projet'!$B$36,N49+M50-V49)))</f>
        <v>253.99999999999989</v>
      </c>
      <c r="O50" s="13">
        <f>N50*VLOOKUP('Données projet'!$B$9,Paramètres!$A$1:$I$89,3,0)*VLOOKUP('Données projet'!$B$9,Paramètres!$A$1:$I$89,5,0)</f>
        <v>118.87199999999994</v>
      </c>
      <c r="P50" s="13">
        <f t="shared" si="33"/>
        <v>31.411767382096219</v>
      </c>
      <c r="Q50" s="20">
        <f t="shared" si="53"/>
        <v>261.74422819048414</v>
      </c>
      <c r="R50" s="59">
        <f t="shared" si="0"/>
        <v>555.07756152381739</v>
      </c>
      <c r="S50" s="59">
        <f ca="1">AVERAGE(OFFSET($R$3,0,0,'Données projet'!$E$9+1,1))-AVERAGE(OFFSET($H$3,0,0,'Données projet'!$E$9+1,1))</f>
        <v>319.22903094674564</v>
      </c>
      <c r="T50" s="59">
        <f t="shared" si="34"/>
        <v>254.58690973142848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6.4816849136107137</v>
      </c>
      <c r="AA50" s="21">
        <f>EXP(-LN(2)/25)*AA49+(1-EXP(-LN(2)/25))/(LN(2)/25)*Calculateur!V50*Calculateur!X50*VLOOKUP('Données projet'!$B$9,Paramètres!$A$1:$I$89,3,0)*0.475*44/12</f>
        <v>6.9602668435390953</v>
      </c>
      <c r="AB50" s="21">
        <f>EXP(-LN(2)/2)*AB49+(1-EXP(-LN(2)/2))/(LN(2)/2)*V50*Y50*VLOOKUP('Données projet'!$B$9,Paramètres!$A$1:$I$89,3,0)*0.475*44/12</f>
        <v>3.0502621677358607E-2</v>
      </c>
      <c r="AC50" s="22">
        <f t="shared" si="3"/>
        <v>13.472454378827168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1.9895196601282805E-13</v>
      </c>
      <c r="AJ50" s="13">
        <f>AI50*VLOOKUP('Données projet'!$B$10,Paramètres!$A$1:$I$89,3,0)*VLOOKUP('Données projet'!$B$10,Paramètres!$A$1:$I$89,5,0)</f>
        <v>1.8001173884840681E-13</v>
      </c>
      <c r="AK50" s="13">
        <f t="shared" si="35"/>
        <v>2.5254331426407198E-12</v>
      </c>
      <c r="AL50" s="20">
        <f t="shared" si="4"/>
        <v>4.7119831685935622E-12</v>
      </c>
      <c r="AM50" s="59">
        <f t="shared" si="5"/>
        <v>293.33333333333803</v>
      </c>
      <c r="AN50" s="59">
        <f ca="1">AVERAGE(OFFSET($AM$3,0,0,'Données projet'!$E$10+1,1))-AVERAGE(OFFSET($H$3,0,0,'Données projet'!$E$10+1,1))</f>
        <v>302.6112905010138</v>
      </c>
      <c r="AO50" s="59">
        <f t="shared" si="36"/>
        <v>423.44006663873375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1.4651924819494411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8.2753693848012858E-3</v>
      </c>
      <c r="AX50" s="21">
        <f t="shared" si="6"/>
        <v>1.4734678513342423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5.125</v>
      </c>
      <c r="BD50" s="12">
        <f>IF('Données projet'!$A$88&gt;35,BD49+BC50-BL49,IF(A50&lt;'Données projet'!$A$88,$BA$205^A50,IF(A50='Données projet'!$A$88,'Données projet'!$B$88,BD49+BC50-BL49)))</f>
        <v>210.125</v>
      </c>
      <c r="BE50" s="13">
        <f>BD50*VLOOKUP('Données projet'!$B$11,Paramètres!$A$1:$I$89,3,0)*VLOOKUP('Données projet'!$B$11,Paramètres!$A$1:$I$89,5,0)</f>
        <v>125.65475000000001</v>
      </c>
      <c r="BF50" s="13">
        <f t="shared" si="37"/>
        <v>32.990321670339604</v>
      </c>
      <c r="BG50" s="20">
        <f t="shared" si="7"/>
        <v>276.3068331591748</v>
      </c>
      <c r="BH50" s="59">
        <f t="shared" si="8"/>
        <v>569.64016649250811</v>
      </c>
      <c r="BI50" s="59">
        <f ca="1">AVERAGE(OFFSET($BH$3,0,0,'Données projet'!$E$11+1,1))-AVERAGE(OFFSET($H$3,0,0,'Données projet'!$E$11+1,1))</f>
        <v>207.91763299672158</v>
      </c>
      <c r="BJ50" s="59">
        <f t="shared" si="38"/>
        <v>230.81096055024483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5.2527614393800022</v>
      </c>
      <c r="BQ50" s="21">
        <f>EXP(-LN(2)/25)*BQ49+(1-EXP(-LN(2)/25))/(LN(2)/25)*Calculateur!BL50*Calculateur!BN50*VLOOKUP('Données projet'!$B$11,Paramètres!$A$1:$I$89,3,0)*0.475*44/12</f>
        <v>3.7590589157850842</v>
      </c>
      <c r="BR50" s="21">
        <f>EXP(-LN(2)/2)*BR49+(1-EXP(-LN(2)/2))/(LN(2)/2)*BL50*BO50*VLOOKUP('Données projet'!$B$11,Paramètres!$A$1:$I$89,3,0)*0.475*44/12</f>
        <v>8.1703178671947187E-3</v>
      </c>
      <c r="BS50" s="22">
        <f t="shared" si="9"/>
        <v>9.0199906730322823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11.5</v>
      </c>
      <c r="N51" s="13">
        <f>IF('Données projet'!$A$36&gt;35,N50+M51-V50,IF(A51&lt;'Données projet'!$A$36,$K$205^A51,IF(A51='Données projet'!$A$36,'Données projet'!$B$36,N50+M51-V50)))</f>
        <v>265.49999999999989</v>
      </c>
      <c r="O51" s="13">
        <f>N51*VLOOKUP('Données projet'!$B$9,Paramètres!$A$1:$I$89,3,0)*VLOOKUP('Données projet'!$B$9,Paramètres!$A$1:$I$89,5,0)</f>
        <v>124.25399999999995</v>
      </c>
      <c r="P51" s="13">
        <f t="shared" si="33"/>
        <v>32.665154397958723</v>
      </c>
      <c r="Q51" s="20">
        <f t="shared" si="53"/>
        <v>273.30086057644468</v>
      </c>
      <c r="R51" s="59">
        <f t="shared" si="0"/>
        <v>566.63419390977799</v>
      </c>
      <c r="S51" s="59">
        <f ca="1">AVERAGE(OFFSET($R$3,0,0,'Données projet'!$E$9+1,1))-AVERAGE(OFFSET($H$3,0,0,'Données projet'!$E$9+1,1))</f>
        <v>319.22903094674564</v>
      </c>
      <c r="T51" s="59">
        <f t="shared" si="34"/>
        <v>254.58690973142848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6.3545830258922358</v>
      </c>
      <c r="AA51" s="21">
        <f>EXP(-LN(2)/25)*AA50+(1-EXP(-LN(2)/25))/(LN(2)/25)*Calculateur!V51*Calculateur!X51*VLOOKUP('Données projet'!$B$9,Paramètres!$A$1:$I$89,3,0)*0.475*44/12</f>
        <v>6.7699379806779936</v>
      </c>
      <c r="AB51" s="21">
        <f>EXP(-LN(2)/2)*AB50+(1-EXP(-LN(2)/2))/(LN(2)/2)*V51*Y51*VLOOKUP('Données projet'!$B$9,Paramètres!$A$1:$I$89,3,0)*0.475*44/12</f>
        <v>2.1568610632028057E-2</v>
      </c>
      <c r="AC51" s="22">
        <f t="shared" si="3"/>
        <v>13.146089617202259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1.9895196601282805E-13</v>
      </c>
      <c r="AJ51" s="13">
        <f>AI51*VLOOKUP('Données projet'!$B$10,Paramètres!$A$1:$I$89,3,0)*VLOOKUP('Données projet'!$B$10,Paramètres!$A$1:$I$89,5,0)</f>
        <v>1.8001173884840681E-13</v>
      </c>
      <c r="AK51" s="13">
        <f t="shared" si="35"/>
        <v>2.5254331426407198E-12</v>
      </c>
      <c r="AL51" s="20">
        <f t="shared" si="4"/>
        <v>4.7119831685935622E-12</v>
      </c>
      <c r="AM51" s="59">
        <f t="shared" si="5"/>
        <v>293.33333333333803</v>
      </c>
      <c r="AN51" s="59">
        <f ca="1">AVERAGE(OFFSET($AM$3,0,0,'Données projet'!$E$10+1,1))-AVERAGE(OFFSET($H$3,0,0,'Données projet'!$E$10+1,1))</f>
        <v>302.6112905010138</v>
      </c>
      <c r="AO51" s="59">
        <f t="shared" si="36"/>
        <v>423.44006663873375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1.436460951057583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5.8515698088165372E-3</v>
      </c>
      <c r="AX51" s="21">
        <f t="shared" si="6"/>
        <v>1.4423125208663996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5.125</v>
      </c>
      <c r="BD51" s="12">
        <f>IF('Données projet'!$A$88&gt;35,BD50+BC51-BL50,IF(A51&lt;'Données projet'!$A$88,$BA$205^A51,IF(A51='Données projet'!$A$88,'Données projet'!$B$88,BD50+BC51-BL50)))</f>
        <v>215.25</v>
      </c>
      <c r="BE51" s="13">
        <f>BD51*VLOOKUP('Données projet'!$B$11,Paramètres!$A$1:$I$89,3,0)*VLOOKUP('Données projet'!$B$11,Paramètres!$A$1:$I$89,5,0)</f>
        <v>128.71950000000001</v>
      </c>
      <c r="BF51" s="13">
        <f t="shared" si="37"/>
        <v>33.700303131200371</v>
      </c>
      <c r="BG51" s="20">
        <f t="shared" si="7"/>
        <v>282.88115712017401</v>
      </c>
      <c r="BH51" s="59">
        <f t="shared" si="8"/>
        <v>576.21449045350732</v>
      </c>
      <c r="BI51" s="59">
        <f ca="1">AVERAGE(OFFSET($BH$3,0,0,'Données projet'!$E$11+1,1))-AVERAGE(OFFSET($H$3,0,0,'Données projet'!$E$11+1,1))</f>
        <v>207.91763299672158</v>
      </c>
      <c r="BJ51" s="59">
        <f t="shared" si="38"/>
        <v>230.81096055024483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5.1497579914218825</v>
      </c>
      <c r="BQ51" s="21">
        <f>EXP(-LN(2)/25)*BQ50+(1-EXP(-LN(2)/25))/(LN(2)/25)*Calculateur!BL51*Calculateur!BN51*VLOOKUP('Données projet'!$B$11,Paramètres!$A$1:$I$89,3,0)*0.475*44/12</f>
        <v>3.6562672520526243</v>
      </c>
      <c r="BR51" s="21">
        <f>EXP(-LN(2)/2)*BR50+(1-EXP(-LN(2)/2))/(LN(2)/2)*BL51*BO51*VLOOKUP('Données projet'!$B$11,Paramètres!$A$1:$I$89,3,0)*0.475*44/12</f>
        <v>5.7772871683429957E-3</v>
      </c>
      <c r="BS51" s="22">
        <f t="shared" si="9"/>
        <v>8.8118025306428489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11.5</v>
      </c>
      <c r="N52" s="13">
        <f>IF('Données projet'!$A$36&gt;35,N51+M52-V51,IF(A52&lt;'Données projet'!$A$36,$K$205^A52,IF(A52='Données projet'!$A$36,'Données projet'!$B$36,N51+M52-V51)))</f>
        <v>276.99999999999989</v>
      </c>
      <c r="O52" s="13">
        <f>N52*VLOOKUP('Données projet'!$B$9,Paramètres!$A$1:$I$89,3,0)*VLOOKUP('Données projet'!$B$9,Paramètres!$A$1:$I$89,5,0)</f>
        <v>129.63599999999994</v>
      </c>
      <c r="P52" s="13">
        <f t="shared" si="33"/>
        <v>33.912235898830978</v>
      </c>
      <c r="Q52" s="20">
        <f t="shared" si="53"/>
        <v>284.84651085713051</v>
      </c>
      <c r="R52" s="59">
        <f t="shared" si="0"/>
        <v>578.17984419046388</v>
      </c>
      <c r="S52" s="59">
        <f ca="1">AVERAGE(OFFSET($R$3,0,0,'Données projet'!$E$9+1,1))-AVERAGE(OFFSET($H$3,0,0,'Données projet'!$E$9+1,1))</f>
        <v>319.22903094674564</v>
      </c>
      <c r="T52" s="59">
        <f t="shared" si="34"/>
        <v>254.58690973142848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6.2299735286674203</v>
      </c>
      <c r="AA52" s="21">
        <f>EXP(-LN(2)/25)*AA51+(1-EXP(-LN(2)/25))/(LN(2)/25)*Calculateur!V52*Calculateur!X52*VLOOKUP('Données projet'!$B$9,Paramètres!$A$1:$I$89,3,0)*0.475*44/12</f>
        <v>6.5848136705807887</v>
      </c>
      <c r="AB52" s="21">
        <f>EXP(-LN(2)/2)*AB51+(1-EXP(-LN(2)/2))/(LN(2)/2)*V52*Y52*VLOOKUP('Données projet'!$B$9,Paramètres!$A$1:$I$89,3,0)*0.475*44/12</f>
        <v>1.5251310838679307E-2</v>
      </c>
      <c r="AC52" s="22">
        <f t="shared" si="3"/>
        <v>12.830038510086887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1.9895196601282805E-13</v>
      </c>
      <c r="AJ52" s="13">
        <f>AI52*VLOOKUP('Données projet'!$B$10,Paramètres!$A$1:$I$89,3,0)*VLOOKUP('Données projet'!$B$10,Paramètres!$A$1:$I$89,5,0)</f>
        <v>1.8001173884840681E-13</v>
      </c>
      <c r="AK52" s="13">
        <f t="shared" si="35"/>
        <v>2.5254331426407198E-12</v>
      </c>
      <c r="AL52" s="20">
        <f t="shared" si="4"/>
        <v>4.7119831685935622E-12</v>
      </c>
      <c r="AM52" s="59">
        <f t="shared" si="5"/>
        <v>293.33333333333803</v>
      </c>
      <c r="AN52" s="59">
        <f ca="1">AVERAGE(OFFSET($AM$3,0,0,'Données projet'!$E$10+1,1))-AVERAGE(OFFSET($H$3,0,0,'Données projet'!$E$10+1,1))</f>
        <v>302.6112905010138</v>
      </c>
      <c r="AO52" s="59">
        <f t="shared" si="36"/>
        <v>423.44006663873375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1.4082928279620108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4.1376846924006429E-3</v>
      </c>
      <c r="AX52" s="21">
        <f t="shared" si="6"/>
        <v>1.4124305126544114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5.125</v>
      </c>
      <c r="BD52" s="12">
        <f>IF('Données projet'!$A$88&gt;35,BD51+BC52-BL51,IF(A52&lt;'Données projet'!$A$88,$BA$205^A52,IF(A52='Données projet'!$A$88,'Données projet'!$B$88,BD51+BC52-BL51)))</f>
        <v>220.375</v>
      </c>
      <c r="BE52" s="13">
        <f>BD52*VLOOKUP('Données projet'!$B$11,Paramètres!$A$1:$I$89,3,0)*VLOOKUP('Données projet'!$B$11,Paramètres!$A$1:$I$89,5,0)</f>
        <v>131.78425000000001</v>
      </c>
      <c r="BF52" s="13">
        <f t="shared" si="37"/>
        <v>34.408319457025534</v>
      </c>
      <c r="BG52" s="20">
        <f t="shared" si="7"/>
        <v>289.45205847098617</v>
      </c>
      <c r="BH52" s="59">
        <f t="shared" si="8"/>
        <v>582.78539180431949</v>
      </c>
      <c r="BI52" s="59">
        <f ca="1">AVERAGE(OFFSET($BH$3,0,0,'Données projet'!$E$11+1,1))-AVERAGE(OFFSET($H$3,0,0,'Données projet'!$E$11+1,1))</f>
        <v>207.91763299672158</v>
      </c>
      <c r="BJ52" s="59">
        <f t="shared" si="38"/>
        <v>230.81096055024483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5.0487743782523218</v>
      </c>
      <c r="BQ52" s="21">
        <f>EXP(-LN(2)/25)*BQ51+(1-EXP(-LN(2)/25))/(LN(2)/25)*Calculateur!BL52*Calculateur!BN52*VLOOKUP('Données projet'!$B$11,Paramètres!$A$1:$I$89,3,0)*0.475*44/12</f>
        <v>3.556286431770507</v>
      </c>
      <c r="BR52" s="21">
        <f>EXP(-LN(2)/2)*BR51+(1-EXP(-LN(2)/2))/(LN(2)/2)*BL52*BO52*VLOOKUP('Données projet'!$B$11,Paramètres!$A$1:$I$89,3,0)*0.475*44/12</f>
        <v>4.0851589335973593E-3</v>
      </c>
      <c r="BS52" s="22">
        <f t="shared" si="9"/>
        <v>8.609145968956426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288.5</v>
      </c>
      <c r="L53" s="12">
        <f>VLOOKUP(A53,'Données projet'!$A$35:$I$55,9,0)</f>
        <v>11.5</v>
      </c>
      <c r="M53" s="12">
        <f t="array" ref="M53">INDEX(L:L,MIN(IF(ISNUMBER(L53:L249),ROW(L53:L249),"")))</f>
        <v>11.5</v>
      </c>
      <c r="N53" s="13">
        <f>IF('Données projet'!$A$36&gt;35,N52+M53-V52,IF(A53&lt;'Données projet'!$A$36,$K$205^A53,IF(A53='Données projet'!$A$36,'Données projet'!$B$36,N52+M53-V52)))</f>
        <v>288.49999999999989</v>
      </c>
      <c r="O53" s="13">
        <f>N53*VLOOKUP('Données projet'!$B$9,Paramètres!$A$1:$I$89,3,0)*VLOOKUP('Données projet'!$B$9,Paramètres!$A$1:$I$89,5,0)</f>
        <v>135.01799999999994</v>
      </c>
      <c r="P53" s="13">
        <f t="shared" si="33"/>
        <v>35.153303603250578</v>
      </c>
      <c r="Q53" s="20">
        <f t="shared" si="53"/>
        <v>296.38168710899464</v>
      </c>
      <c r="R53" s="59">
        <f t="shared" si="0"/>
        <v>589.71502044232795</v>
      </c>
      <c r="S53" s="59">
        <f ca="1">AVERAGE(OFFSET($R$3,0,0,'Données projet'!$E$9+1,1))-AVERAGE(OFFSET($H$3,0,0,'Données projet'!$E$9+1,1))</f>
        <v>319.22903094674564</v>
      </c>
      <c r="T53" s="59">
        <f t="shared" si="34"/>
        <v>254.58690973142848</v>
      </c>
      <c r="U53" s="15">
        <f>IF(ISNA(VLOOKUP(A53,'Données projet'!$A$35:$I$55,3,0)),0,VLOOKUP(A53,'Données projet'!$A$35:$I$55,3,0))</f>
        <v>4</v>
      </c>
      <c r="V53" s="15">
        <f>IF(ISNA(VLOOKUP(A53,'Données projet'!$A$35:$I$55,4,0)),0,VLOOKUP(A53,'Données projet'!$A$35:$I$55,4,0))</f>
        <v>75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6.1078075476788944</v>
      </c>
      <c r="AA53" s="21">
        <f>EXP(-LN(2)/25)*AA52+(1-EXP(-LN(2)/25))/(LN(2)/25)*Calculateur!V53*Calculateur!X53*VLOOKUP('Données projet'!$B$9,Paramètres!$A$1:$I$89,3,0)*0.475*44/12</f>
        <v>6.4047515944784559</v>
      </c>
      <c r="AB53" s="21">
        <f>EXP(-LN(2)/2)*AB52+(1-EXP(-LN(2)/2))/(LN(2)/2)*V53*Y53*VLOOKUP('Données projet'!$B$9,Paramètres!$A$1:$I$89,3,0)*0.475*44/12</f>
        <v>1.078430531601403E-2</v>
      </c>
      <c r="AC53" s="22">
        <f t="shared" si="3"/>
        <v>12.523343447473364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1.9895196601282805E-13</v>
      </c>
      <c r="AJ53" s="13">
        <f>AI53*VLOOKUP('Données projet'!$B$10,Paramètres!$A$1:$I$89,3,0)*VLOOKUP('Données projet'!$B$10,Paramètres!$A$1:$I$89,5,0)</f>
        <v>1.8001173884840681E-13</v>
      </c>
      <c r="AK53" s="13">
        <f t="shared" si="35"/>
        <v>2.5254331426407198E-12</v>
      </c>
      <c r="AL53" s="20">
        <f t="shared" si="4"/>
        <v>4.7119831685935622E-12</v>
      </c>
      <c r="AM53" s="59">
        <f t="shared" si="5"/>
        <v>293.33333333333803</v>
      </c>
      <c r="AN53" s="59">
        <f ca="1">AVERAGE(OFFSET($AM$3,0,0,'Données projet'!$E$10+1,1))-AVERAGE(OFFSET($H$3,0,0,'Données projet'!$E$10+1,1))</f>
        <v>302.6112905010138</v>
      </c>
      <c r="AO53" s="59">
        <f t="shared" si="36"/>
        <v>423.44006663873375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1.3806770645794841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2.9257849044082686E-3</v>
      </c>
      <c r="AX53" s="21">
        <f t="shared" si="6"/>
        <v>1.3836028494838923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5.125</v>
      </c>
      <c r="BD53" s="12">
        <f>IF('Données projet'!$A$88&gt;35,BD52+BC53-BL52,IF(A53&lt;'Données projet'!$A$88,$BA$205^A53,IF(A53='Données projet'!$A$88,'Données projet'!$B$88,BD52+BC53-BL52)))</f>
        <v>225.5</v>
      </c>
      <c r="BE53" s="13">
        <f>BD53*VLOOKUP('Données projet'!$B$11,Paramètres!$A$1:$I$89,3,0)*VLOOKUP('Données projet'!$B$11,Paramètres!$A$1:$I$89,5,0)</f>
        <v>134.84900000000002</v>
      </c>
      <c r="BF53" s="13">
        <f t="shared" si="37"/>
        <v>35.114421608496684</v>
      </c>
      <c r="BG53" s="20">
        <f t="shared" si="7"/>
        <v>296.01962596813172</v>
      </c>
      <c r="BH53" s="59">
        <f t="shared" si="8"/>
        <v>589.35295930146503</v>
      </c>
      <c r="BI53" s="59">
        <f ca="1">AVERAGE(OFFSET($BH$3,0,0,'Données projet'!$E$11+1,1))-AVERAGE(OFFSET($H$3,0,0,'Données projet'!$E$11+1,1))</f>
        <v>207.91763299672158</v>
      </c>
      <c r="BJ53" s="59">
        <f t="shared" si="38"/>
        <v>230.81096055024483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4.9497709921430939</v>
      </c>
      <c r="BQ53" s="21">
        <f>EXP(-LN(2)/25)*BQ52+(1-EXP(-LN(2)/25))/(LN(2)/25)*Calculateur!BL53*Calculateur!BN53*VLOOKUP('Données projet'!$B$11,Paramètres!$A$1:$I$89,3,0)*0.475*44/12</f>
        <v>3.4590395922767669</v>
      </c>
      <c r="BR53" s="21">
        <f>EXP(-LN(2)/2)*BR52+(1-EXP(-LN(2)/2))/(LN(2)/2)*BL53*BO53*VLOOKUP('Données projet'!$B$11,Paramètres!$A$1:$I$89,3,0)*0.475*44/12</f>
        <v>2.8886435841714978E-3</v>
      </c>
      <c r="BS53" s="22">
        <f t="shared" si="9"/>
        <v>8.4116992280040321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13.5</v>
      </c>
      <c r="N54" s="13">
        <f>IF('Données projet'!$A$36&gt;35,N53+M54-V53,IF(A54&lt;'Données projet'!$A$36,$K$205^A54,IF(A54='Données projet'!$A$36,'Données projet'!$B$36,N53+M54-V53)))</f>
        <v>226.99999999999989</v>
      </c>
      <c r="O54" s="13">
        <f>N54*VLOOKUP('Données projet'!$B$9,Paramètres!$A$1:$I$89,3,0)*VLOOKUP('Données projet'!$B$9,Paramètres!$A$1:$I$89,5,0)</f>
        <v>106.23599999999995</v>
      </c>
      <c r="P54" s="13">
        <f t="shared" si="33"/>
        <v>28.442367793282852</v>
      </c>
      <c r="Q54" s="20">
        <f t="shared" si="53"/>
        <v>234.56482390663419</v>
      </c>
      <c r="R54" s="59">
        <f t="shared" si="0"/>
        <v>527.89815723996753</v>
      </c>
      <c r="S54" s="59">
        <f ca="1">AVERAGE(OFFSET($R$3,0,0,'Données projet'!$E$9+1,1))-AVERAGE(OFFSET($H$3,0,0,'Données projet'!$E$9+1,1))</f>
        <v>319.22903094674564</v>
      </c>
      <c r="T54" s="59">
        <f t="shared" si="34"/>
        <v>254.58690973142848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5.9880371670636636</v>
      </c>
      <c r="AA54" s="21">
        <f>EXP(-LN(2)/25)*AA53+(1-EXP(-LN(2)/25))/(LN(2)/25)*Calculateur!V54*Calculateur!X54*VLOOKUP('Données projet'!$B$9,Paramètres!$A$1:$I$89,3,0)*0.475*44/12</f>
        <v>6.2296133253161941</v>
      </c>
      <c r="AB54" s="21">
        <f>EXP(-LN(2)/2)*AB53+(1-EXP(-LN(2)/2))/(LN(2)/2)*V54*Y54*VLOOKUP('Données projet'!$B$9,Paramètres!$A$1:$I$89,3,0)*0.475*44/12</f>
        <v>7.6256554193396544E-3</v>
      </c>
      <c r="AC54" s="22">
        <f t="shared" si="3"/>
        <v>12.225276147799196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1.9895196601282805E-13</v>
      </c>
      <c r="AJ54" s="13">
        <f>AI54*VLOOKUP('Données projet'!$B$10,Paramètres!$A$1:$I$89,3,0)*VLOOKUP('Données projet'!$B$10,Paramètres!$A$1:$I$89,5,0)</f>
        <v>1.8001173884840681E-13</v>
      </c>
      <c r="AK54" s="13">
        <f t="shared" si="35"/>
        <v>2.5254331426407198E-12</v>
      </c>
      <c r="AL54" s="20">
        <f t="shared" si="4"/>
        <v>4.7119831685935622E-12</v>
      </c>
      <c r="AM54" s="59">
        <f t="shared" si="5"/>
        <v>293.33333333333803</v>
      </c>
      <c r="AN54" s="59">
        <f ca="1">AVERAGE(OFFSET($AM$3,0,0,'Données projet'!$E$10+1,1))-AVERAGE(OFFSET($H$3,0,0,'Données projet'!$E$10+1,1))</f>
        <v>302.6112905010138</v>
      </c>
      <c r="AO54" s="59">
        <f t="shared" si="36"/>
        <v>423.44006663873375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1.3536028294729365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2.0688423462003214E-3</v>
      </c>
      <c r="AX54" s="21">
        <f t="shared" si="6"/>
        <v>1.3556716718191368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5.125</v>
      </c>
      <c r="BD54" s="12">
        <f>IF('Données projet'!$A$88&gt;35,BD53+BC54-BL53,IF(A54&lt;'Données projet'!$A$88,$BA$205^A54,IF(A54='Données projet'!$A$88,'Données projet'!$B$88,BD53+BC54-BL53)))</f>
        <v>230.625</v>
      </c>
      <c r="BE54" s="13">
        <f>BD54*VLOOKUP('Données projet'!$B$11,Paramètres!$A$1:$I$89,3,0)*VLOOKUP('Données projet'!$B$11,Paramètres!$A$1:$I$89,5,0)</f>
        <v>137.91375000000002</v>
      </c>
      <c r="BF54" s="13">
        <f t="shared" si="37"/>
        <v>35.818658097691937</v>
      </c>
      <c r="BG54" s="20">
        <f t="shared" si="7"/>
        <v>302.58394410348018</v>
      </c>
      <c r="BH54" s="59">
        <f t="shared" si="8"/>
        <v>595.91727743681349</v>
      </c>
      <c r="BI54" s="59">
        <f ca="1">AVERAGE(OFFSET($BH$3,0,0,'Données projet'!$E$11+1,1))-AVERAGE(OFFSET($H$3,0,0,'Données projet'!$E$11+1,1))</f>
        <v>207.91763299672158</v>
      </c>
      <c r="BJ54" s="59">
        <f t="shared" si="38"/>
        <v>230.81096055024483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4.8527090020493651</v>
      </c>
      <c r="BQ54" s="21">
        <f>EXP(-LN(2)/25)*BQ53+(1-EXP(-LN(2)/25))/(LN(2)/25)*Calculateur!BL54*Calculateur!BN54*VLOOKUP('Données projet'!$B$11,Paramètres!$A$1:$I$89,3,0)*0.475*44/12</f>
        <v>3.3644519727229723</v>
      </c>
      <c r="BR54" s="21">
        <f>EXP(-LN(2)/2)*BR53+(1-EXP(-LN(2)/2))/(LN(2)/2)*BL54*BO54*VLOOKUP('Données projet'!$B$11,Paramètres!$A$1:$I$89,3,0)*0.475*44/12</f>
        <v>2.0425794667986797E-3</v>
      </c>
      <c r="BS54" s="22">
        <f t="shared" si="9"/>
        <v>8.2192035542391366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13.5</v>
      </c>
      <c r="N55" s="13">
        <f>IF('Données projet'!$A$36&gt;35,N54+M55-V54,IF(A55&lt;'Données projet'!$A$36,$K$205^A55,IF(A55='Données projet'!$A$36,'Données projet'!$B$36,N54+M55-V54)))</f>
        <v>240.49999999999989</v>
      </c>
      <c r="O55" s="13">
        <f>N55*VLOOKUP('Données projet'!$B$9,Paramètres!$A$1:$I$89,3,0)*VLOOKUP('Données projet'!$B$9,Paramètres!$A$1:$I$89,5,0)</f>
        <v>112.55399999999995</v>
      </c>
      <c r="P55" s="13">
        <f t="shared" si="33"/>
        <v>29.931920700323165</v>
      </c>
      <c r="Q55" s="20">
        <f t="shared" si="53"/>
        <v>248.16297855306274</v>
      </c>
      <c r="R55" s="59">
        <f t="shared" si="0"/>
        <v>541.49631188639603</v>
      </c>
      <c r="S55" s="59">
        <f ca="1">AVERAGE(OFFSET($R$3,0,0,'Données projet'!$E$9+1,1))-AVERAGE(OFFSET($H$3,0,0,'Données projet'!$E$9+1,1))</f>
        <v>319.22903094674564</v>
      </c>
      <c r="T55" s="59">
        <f t="shared" si="34"/>
        <v>254.58690973142848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5.8706154105595783</v>
      </c>
      <c r="AA55" s="21">
        <f>EXP(-LN(2)/25)*AA54+(1-EXP(-LN(2)/25))/(LN(2)/25)*Calculateur!V55*Calculateur!X55*VLOOKUP('Données projet'!$B$9,Paramètres!$A$1:$I$89,3,0)*0.475*44/12</f>
        <v>6.0592642213342955</v>
      </c>
      <c r="AB55" s="21">
        <f>EXP(-LN(2)/2)*AB54+(1-EXP(-LN(2)/2))/(LN(2)/2)*V55*Y55*VLOOKUP('Données projet'!$B$9,Paramètres!$A$1:$I$89,3,0)*0.475*44/12</f>
        <v>5.3921526580070159E-3</v>
      </c>
      <c r="AC55" s="22">
        <f t="shared" si="3"/>
        <v>11.935271784551881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1.9895196601282805E-13</v>
      </c>
      <c r="AJ55" s="13">
        <f>AI55*VLOOKUP('Données projet'!$B$10,Paramètres!$A$1:$I$89,3,0)*VLOOKUP('Données projet'!$B$10,Paramètres!$A$1:$I$89,5,0)</f>
        <v>1.8001173884840681E-13</v>
      </c>
      <c r="AK55" s="13">
        <f t="shared" si="35"/>
        <v>2.5254331426407198E-12</v>
      </c>
      <c r="AL55" s="20">
        <f t="shared" si="4"/>
        <v>4.7119831685935622E-12</v>
      </c>
      <c r="AM55" s="59">
        <f t="shared" si="5"/>
        <v>293.33333333333803</v>
      </c>
      <c r="AN55" s="59">
        <f ca="1">AVERAGE(OFFSET($AM$3,0,0,'Données projet'!$E$10+1,1))-AVERAGE(OFFSET($H$3,0,0,'Données projet'!$E$10+1,1))</f>
        <v>302.6112905010138</v>
      </c>
      <c r="AO55" s="59">
        <f t="shared" si="36"/>
        <v>423.44006663873375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1.3270595036031754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1.4628924522041343E-3</v>
      </c>
      <c r="AX55" s="21">
        <f t="shared" si="6"/>
        <v>1.3285223960553796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5.125</v>
      </c>
      <c r="BD55" s="12">
        <f>IF('Données projet'!$A$88&gt;35,BD54+BC55-BL54,IF(A55&lt;'Données projet'!$A$88,$BA$205^A55,IF(A55='Données projet'!$A$88,'Données projet'!$B$88,BD54+BC55-BL54)))</f>
        <v>235.75</v>
      </c>
      <c r="BE55" s="13">
        <f>BD55*VLOOKUP('Données projet'!$B$11,Paramètres!$A$1:$I$89,3,0)*VLOOKUP('Données projet'!$B$11,Paramètres!$A$1:$I$89,5,0)</f>
        <v>140.97850000000003</v>
      </c>
      <c r="BF55" s="13">
        <f t="shared" si="37"/>
        <v>36.521075157496767</v>
      </c>
      <c r="BG55" s="20">
        <f t="shared" si="7"/>
        <v>309.14509339930686</v>
      </c>
      <c r="BH55" s="59">
        <f t="shared" si="8"/>
        <v>602.47842673264017</v>
      </c>
      <c r="BI55" s="59">
        <f ca="1">AVERAGE(OFFSET($BH$3,0,0,'Données projet'!$E$11+1,1))-AVERAGE(OFFSET($H$3,0,0,'Données projet'!$E$11+1,1))</f>
        <v>207.91763299672158</v>
      </c>
      <c r="BJ55" s="59">
        <f t="shared" si="38"/>
        <v>230.81096055024483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4.7575503383794064</v>
      </c>
      <c r="BQ55" s="21">
        <f>EXP(-LN(2)/25)*BQ54+(1-EXP(-LN(2)/25))/(LN(2)/25)*Calculateur!BL55*Calculateur!BN55*VLOOKUP('Données projet'!$B$11,Paramètres!$A$1:$I$89,3,0)*0.475*44/12</f>
        <v>3.272450856600023</v>
      </c>
      <c r="BR55" s="21">
        <f>EXP(-LN(2)/2)*BR54+(1-EXP(-LN(2)/2))/(LN(2)/2)*BL55*BO55*VLOOKUP('Données projet'!$B$11,Paramètres!$A$1:$I$89,3,0)*0.475*44/12</f>
        <v>1.4443217920857489E-3</v>
      </c>
      <c r="BS55" s="22">
        <f t="shared" si="9"/>
        <v>8.031445516771516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13.5</v>
      </c>
      <c r="N56" s="13">
        <f>IF('Données projet'!$A$36&gt;35,N55+M56-V55,IF(A56&lt;'Données projet'!$A$36,$K$205^A56,IF(A56='Données projet'!$A$36,'Données projet'!$B$36,N55+M56-V55)))</f>
        <v>253.99999999999989</v>
      </c>
      <c r="O56" s="13">
        <f>N56*VLOOKUP('Données projet'!$B$9,Paramètres!$A$1:$I$89,3,0)*VLOOKUP('Données projet'!$B$9,Paramètres!$A$1:$I$89,5,0)</f>
        <v>118.87199999999994</v>
      </c>
      <c r="P56" s="13">
        <f t="shared" si="33"/>
        <v>31.411767382096219</v>
      </c>
      <c r="Q56" s="20">
        <f t="shared" si="53"/>
        <v>261.74422819048414</v>
      </c>
      <c r="R56" s="59">
        <f t="shared" si="0"/>
        <v>555.07756152381739</v>
      </c>
      <c r="S56" s="59">
        <f ca="1">AVERAGE(OFFSET($R$3,0,0,'Données projet'!$E$9+1,1))-AVERAGE(OFFSET($H$3,0,0,'Données projet'!$E$9+1,1))</f>
        <v>319.22903094674564</v>
      </c>
      <c r="T56" s="59">
        <f t="shared" si="34"/>
        <v>254.58690973142848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5.7554962230803381</v>
      </c>
      <c r="AA56" s="21">
        <f>EXP(-LN(2)/25)*AA55+(1-EXP(-LN(2)/25))/(LN(2)/25)*Calculateur!V56*Calculateur!X56*VLOOKUP('Données projet'!$B$9,Paramètres!$A$1:$I$89,3,0)*0.475*44/12</f>
        <v>5.8935733225590523</v>
      </c>
      <c r="AB56" s="21">
        <f>EXP(-LN(2)/2)*AB55+(1-EXP(-LN(2)/2))/(LN(2)/2)*V56*Y56*VLOOKUP('Données projet'!$B$9,Paramètres!$A$1:$I$89,3,0)*0.475*44/12</f>
        <v>3.8128277096698281E-3</v>
      </c>
      <c r="AC56" s="22">
        <f t="shared" si="3"/>
        <v>11.65288237334906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1.9895196601282805E-13</v>
      </c>
      <c r="AJ56" s="13">
        <f>AI56*VLOOKUP('Données projet'!$B$10,Paramètres!$A$1:$I$89,3,0)*VLOOKUP('Données projet'!$B$10,Paramètres!$A$1:$I$89,5,0)</f>
        <v>1.8001173884840681E-13</v>
      </c>
      <c r="AK56" s="13">
        <f t="shared" si="35"/>
        <v>2.5254331426407198E-12</v>
      </c>
      <c r="AL56" s="20">
        <f t="shared" si="4"/>
        <v>4.7119831685935622E-12</v>
      </c>
      <c r="AM56" s="59">
        <f t="shared" si="5"/>
        <v>293.33333333333803</v>
      </c>
      <c r="AN56" s="59">
        <f ca="1">AVERAGE(OFFSET($AM$3,0,0,'Données projet'!$E$10+1,1))-AVERAGE(OFFSET($H$3,0,0,'Données projet'!$E$10+1,1))</f>
        <v>302.6112905010138</v>
      </c>
      <c r="AO56" s="59">
        <f t="shared" si="36"/>
        <v>423.44006663873375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1.3010366761638901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1.0344211731001607E-3</v>
      </c>
      <c r="AX56" s="21">
        <f t="shared" si="6"/>
        <v>1.3020710973369902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5.125</v>
      </c>
      <c r="BD56" s="12">
        <f>IF('Données projet'!$A$88&gt;35,BD55+BC56-BL55,IF(A56&lt;'Données projet'!$A$88,$BA$205^A56,IF(A56='Données projet'!$A$88,'Données projet'!$B$88,BD55+BC56-BL55)))</f>
        <v>240.875</v>
      </c>
      <c r="BE56" s="13">
        <f>BD56*VLOOKUP('Données projet'!$B$11,Paramètres!$A$1:$I$89,3,0)*VLOOKUP('Données projet'!$B$11,Paramètres!$A$1:$I$89,5,0)</f>
        <v>144.04325000000003</v>
      </c>
      <c r="BF56" s="13">
        <f t="shared" si="37"/>
        <v>37.221716895868184</v>
      </c>
      <c r="BG56" s="20">
        <f t="shared" si="7"/>
        <v>315.70315067697044</v>
      </c>
      <c r="BH56" s="59">
        <f t="shared" si="8"/>
        <v>609.03648401030375</v>
      </c>
      <c r="BI56" s="59">
        <f ca="1">AVERAGE(OFFSET($BH$3,0,0,'Données projet'!$E$11+1,1))-AVERAGE(OFFSET($H$3,0,0,'Données projet'!$E$11+1,1))</f>
        <v>207.91763299672158</v>
      </c>
      <c r="BJ56" s="59">
        <f t="shared" si="38"/>
        <v>230.81096055024483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4.6642576780629614</v>
      </c>
      <c r="BQ56" s="21">
        <f>EXP(-LN(2)/25)*BQ55+(1-EXP(-LN(2)/25))/(LN(2)/25)*Calculateur!BL56*Calculateur!BN56*VLOOKUP('Données projet'!$B$11,Paramètres!$A$1:$I$89,3,0)*0.475*44/12</f>
        <v>3.1829655158355843</v>
      </c>
      <c r="BR56" s="21">
        <f>EXP(-LN(2)/2)*BR55+(1-EXP(-LN(2)/2))/(LN(2)/2)*BL56*BO56*VLOOKUP('Données projet'!$B$11,Paramètres!$A$1:$I$89,3,0)*0.475*44/12</f>
        <v>1.0212897333993398E-3</v>
      </c>
      <c r="BS56" s="22">
        <f t="shared" si="9"/>
        <v>7.8482444836319454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13.5</v>
      </c>
      <c r="N57" s="13">
        <f>IF('Données projet'!$A$36&gt;35,N56+M57-V56,IF(A57&lt;'Données projet'!$A$36,$K$205^A57,IF(A57='Données projet'!$A$36,'Données projet'!$B$36,N56+M57-V56)))</f>
        <v>267.49999999999989</v>
      </c>
      <c r="O57" s="13">
        <f>N57*VLOOKUP('Données projet'!$B$9,Paramètres!$A$1:$I$89,3,0)*VLOOKUP('Données projet'!$B$9,Paramètres!$A$1:$I$89,5,0)</f>
        <v>125.18999999999994</v>
      </c>
      <c r="P57" s="13">
        <f t="shared" si="33"/>
        <v>32.882482546564304</v>
      </c>
      <c r="Q57" s="20">
        <f t="shared" si="53"/>
        <v>275.30957376859936</v>
      </c>
      <c r="R57" s="59">
        <f t="shared" si="0"/>
        <v>568.64290710193268</v>
      </c>
      <c r="S57" s="59">
        <f ca="1">AVERAGE(OFFSET($R$3,0,0,'Données projet'!$E$9+1,1))-AVERAGE(OFFSET($H$3,0,0,'Données projet'!$E$9+1,1))</f>
        <v>319.22903094674564</v>
      </c>
      <c r="T57" s="59">
        <f t="shared" si="34"/>
        <v>254.58690973142848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5.6426344526517953</v>
      </c>
      <c r="AA57" s="21">
        <f>EXP(-LN(2)/25)*AA56+(1-EXP(-LN(2)/25))/(LN(2)/25)*Calculateur!V57*Calculateur!X57*VLOOKUP('Données projet'!$B$9,Paramètres!$A$1:$I$89,3,0)*0.475*44/12</f>
        <v>5.7324132501241243</v>
      </c>
      <c r="AB57" s="21">
        <f>EXP(-LN(2)/2)*AB56+(1-EXP(-LN(2)/2))/(LN(2)/2)*V57*Y57*VLOOKUP('Données projet'!$B$9,Paramètres!$A$1:$I$89,3,0)*0.475*44/12</f>
        <v>2.6960763290035084E-3</v>
      </c>
      <c r="AC57" s="22">
        <f t="shared" si="3"/>
        <v>11.377743779104923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1.9895196601282805E-13</v>
      </c>
      <c r="AJ57" s="13">
        <f>AI57*VLOOKUP('Données projet'!$B$10,Paramètres!$A$1:$I$89,3,0)*VLOOKUP('Données projet'!$B$10,Paramètres!$A$1:$I$89,5,0)</f>
        <v>1.8001173884840681E-13</v>
      </c>
      <c r="AK57" s="13">
        <f t="shared" si="35"/>
        <v>2.5254331426407198E-12</v>
      </c>
      <c r="AL57" s="20">
        <f t="shared" si="4"/>
        <v>4.7119831685935622E-12</v>
      </c>
      <c r="AM57" s="59">
        <f t="shared" si="5"/>
        <v>293.33333333333803</v>
      </c>
      <c r="AN57" s="59">
        <f ca="1">AVERAGE(OFFSET($AM$3,0,0,'Données projet'!$E$10+1,1))-AVERAGE(OFFSET($H$3,0,0,'Données projet'!$E$10+1,1))</f>
        <v>302.6112905010138</v>
      </c>
      <c r="AO57" s="59">
        <f t="shared" si="36"/>
        <v>423.44006663873375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1.2755241404983317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7.3144622610206715E-4</v>
      </c>
      <c r="AX57" s="21">
        <f t="shared" si="6"/>
        <v>1.2762555867244338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>
        <f>VLOOKUP(A57,'Données projet'!$A$87:$I$107,2,0)</f>
        <v>246</v>
      </c>
      <c r="BB57" s="12">
        <f>VLOOKUP(A57,'Données projet'!$A$87:$I$107,9,0)</f>
        <v>5.125</v>
      </c>
      <c r="BC57" s="12">
        <f t="array" ref="BC57">INDEX(BB:BB,MIN(IF(ISNUMBER(BB57:BB253),ROW(BB57:BB253),"")))</f>
        <v>5.125</v>
      </c>
      <c r="BD57" s="12">
        <f>IF('Données projet'!$A$88&gt;35,BD56+BC57-BL56,IF(A57&lt;'Données projet'!$A$88,$BA$205^A57,IF(A57='Données projet'!$A$88,'Données projet'!$B$88,BD56+BC57-BL56)))</f>
        <v>246</v>
      </c>
      <c r="BE57" s="13">
        <f>BD57*VLOOKUP('Données projet'!$B$11,Paramètres!$A$1:$I$89,3,0)*VLOOKUP('Données projet'!$B$11,Paramètres!$A$1:$I$89,5,0)</f>
        <v>147.10800000000003</v>
      </c>
      <c r="BF57" s="13">
        <f t="shared" si="37"/>
        <v>37.920625436598897</v>
      </c>
      <c r="BG57" s="20">
        <f t="shared" si="7"/>
        <v>322.25818930207646</v>
      </c>
      <c r="BH57" s="59">
        <f t="shared" si="8"/>
        <v>615.59152263540977</v>
      </c>
      <c r="BI57" s="59">
        <f ca="1">AVERAGE(OFFSET($BH$3,0,0,'Données projet'!$E$11+1,1))-AVERAGE(OFFSET($H$3,0,0,'Données projet'!$E$11+1,1))</f>
        <v>207.91763299672158</v>
      </c>
      <c r="BJ57" s="59">
        <f t="shared" si="38"/>
        <v>230.81096055024483</v>
      </c>
      <c r="BK57" s="15">
        <f>IF(ISNA(VLOOKUP(A57,'Données projet'!$A$87:$I$107,3,0)),0,VLOOKUP(A57,'Données projet'!$A$87:$I$107,3,0))</f>
        <v>9</v>
      </c>
      <c r="BL57" s="15">
        <f>IF(ISNA(VLOOKUP(A57,'Données projet'!$A$87:$I$107,4,0)),0,VLOOKUP(A57,'Données projet'!$A$87:$I$107,4,0))</f>
        <v>22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4.5727944299124186</v>
      </c>
      <c r="BQ57" s="21">
        <f>EXP(-LN(2)/25)*BQ56+(1-EXP(-LN(2)/25))/(LN(2)/25)*Calculateur!BL57*Calculateur!BN57*VLOOKUP('Données projet'!$B$11,Paramètres!$A$1:$I$89,3,0)*0.475*44/12</f>
        <v>3.0959271564201787</v>
      </c>
      <c r="BR57" s="21">
        <f>EXP(-LN(2)/2)*BR56+(1-EXP(-LN(2)/2))/(LN(2)/2)*BL57*BO57*VLOOKUP('Données projet'!$B$11,Paramètres!$A$1:$I$89,3,0)*0.475*44/12</f>
        <v>7.2216089604287446E-4</v>
      </c>
      <c r="BS57" s="22">
        <f t="shared" si="9"/>
        <v>7.6694437472286401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13.5</v>
      </c>
      <c r="N58" s="13">
        <f>IF('Données projet'!$A$36&gt;35,N57+M58-V57,IF(A58&lt;'Données projet'!$A$36,$K$205^A58,IF(A58='Données projet'!$A$36,'Données projet'!$B$36,N57+M58-V57)))</f>
        <v>280.99999999999989</v>
      </c>
      <c r="O58" s="13">
        <f>N58*VLOOKUP('Données projet'!$B$9,Paramètres!$A$1:$I$89,3,0)*VLOOKUP('Données projet'!$B$9,Paramètres!$A$1:$I$89,5,0)</f>
        <v>131.50799999999995</v>
      </c>
      <c r="P58" s="13">
        <f t="shared" si="33"/>
        <v>34.344579617082481</v>
      </c>
      <c r="Q58" s="20">
        <f t="shared" si="53"/>
        <v>288.85990949975189</v>
      </c>
      <c r="R58" s="59">
        <f t="shared" si="0"/>
        <v>582.19324283308515</v>
      </c>
      <c r="S58" s="59">
        <f ca="1">AVERAGE(OFFSET($R$3,0,0,'Données projet'!$E$9+1,1))-AVERAGE(OFFSET($H$3,0,0,'Données projet'!$E$9+1,1))</f>
        <v>319.22903094674564</v>
      </c>
      <c r="T58" s="59">
        <f t="shared" si="34"/>
        <v>254.58690973142848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5.5319858327024729</v>
      </c>
      <c r="AA58" s="21">
        <f>EXP(-LN(2)/25)*AA57+(1-EXP(-LN(2)/25))/(LN(2)/25)*Calculateur!V58*Calculateur!X58*VLOOKUP('Données projet'!$B$9,Paramètres!$A$1:$I$89,3,0)*0.475*44/12</f>
        <v>5.5756601083449686</v>
      </c>
      <c r="AB58" s="21">
        <f>EXP(-LN(2)/2)*AB57+(1-EXP(-LN(2)/2))/(LN(2)/2)*V58*Y58*VLOOKUP('Données projet'!$B$9,Paramètres!$A$1:$I$89,3,0)*0.475*44/12</f>
        <v>1.9064138548349143E-3</v>
      </c>
      <c r="AC58" s="22">
        <f t="shared" si="3"/>
        <v>11.109552354902275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1.9895196601282805E-13</v>
      </c>
      <c r="AJ58" s="13">
        <f>AI58*VLOOKUP('Données projet'!$B$10,Paramètres!$A$1:$I$89,3,0)*VLOOKUP('Données projet'!$B$10,Paramètres!$A$1:$I$89,5,0)</f>
        <v>1.8001173884840681E-13</v>
      </c>
      <c r="AK58" s="13">
        <f t="shared" si="35"/>
        <v>2.5254331426407198E-12</v>
      </c>
      <c r="AL58" s="20">
        <f t="shared" si="4"/>
        <v>4.7119831685935622E-12</v>
      </c>
      <c r="AM58" s="59">
        <f t="shared" si="5"/>
        <v>293.33333333333803</v>
      </c>
      <c r="AN58" s="59">
        <f ca="1">AVERAGE(OFFSET($AM$3,0,0,'Données projet'!$E$10+1,1))-AVERAGE(OFFSET($H$3,0,0,'Données projet'!$E$10+1,1))</f>
        <v>302.6112905010138</v>
      </c>
      <c r="AO58" s="59">
        <f t="shared" si="36"/>
        <v>423.44006663873375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1.2505118900960648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5.1721058655008036E-4</v>
      </c>
      <c r="AX58" s="21">
        <f t="shared" si="6"/>
        <v>1.2510291006826149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2.125</v>
      </c>
      <c r="BD58" s="12">
        <f>IF('Données projet'!$A$88&gt;35,BD57+BC58-BL57,IF(A58&lt;'Données projet'!$A$88,$BA$205^A58,IF(A58='Données projet'!$A$88,'Données projet'!$B$88,BD57+BC58-BL57)))</f>
        <v>226.125</v>
      </c>
      <c r="BE58" s="13">
        <f>BD58*VLOOKUP('Données projet'!$B$11,Paramètres!$A$1:$I$89,3,0)*VLOOKUP('Données projet'!$B$11,Paramètres!$A$1:$I$89,5,0)</f>
        <v>135.22274999999999</v>
      </c>
      <c r="BF58" s="13">
        <f t="shared" si="37"/>
        <v>35.200403047414646</v>
      </c>
      <c r="BG58" s="20">
        <f t="shared" si="7"/>
        <v>296.82032489091381</v>
      </c>
      <c r="BH58" s="59">
        <f t="shared" si="8"/>
        <v>590.15365822424712</v>
      </c>
      <c r="BI58" s="59">
        <f ca="1">AVERAGE(OFFSET($BH$3,0,0,'Données projet'!$E$11+1,1))-AVERAGE(OFFSET($H$3,0,0,'Données projet'!$E$11+1,1))</f>
        <v>207.91763299672158</v>
      </c>
      <c r="BJ58" s="59">
        <f t="shared" si="38"/>
        <v>230.81096055024483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4.4831247202710349</v>
      </c>
      <c r="BQ58" s="21">
        <f>EXP(-LN(2)/25)*BQ57+(1-EXP(-LN(2)/25))/(LN(2)/25)*Calculateur!BL58*Calculateur!BN58*VLOOKUP('Données projet'!$B$11,Paramètres!$A$1:$I$89,3,0)*0.475*44/12</f>
        <v>3.0112688655201354</v>
      </c>
      <c r="BR58" s="21">
        <f>EXP(-LN(2)/2)*BR57+(1-EXP(-LN(2)/2))/(LN(2)/2)*BL58*BO58*VLOOKUP('Données projet'!$B$11,Paramètres!$A$1:$I$89,3,0)*0.475*44/12</f>
        <v>5.1064486669966992E-4</v>
      </c>
      <c r="BS58" s="22">
        <f t="shared" si="9"/>
        <v>7.4949042306578706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13.5</v>
      </c>
      <c r="N59" s="13">
        <f>IF('Données projet'!$A$36&gt;35,N58+M59-V58,IF(A59&lt;'Données projet'!$A$36,$K$205^A59,IF(A59='Données projet'!$A$36,'Données projet'!$B$36,N58+M59-V58)))</f>
        <v>294.49999999999989</v>
      </c>
      <c r="O59" s="13">
        <f>N59*VLOOKUP('Données projet'!$B$9,Paramètres!$A$1:$I$89,3,0)*VLOOKUP('Données projet'!$B$9,Paramètres!$A$1:$I$89,5,0)</f>
        <v>137.82599999999994</v>
      </c>
      <c r="P59" s="13">
        <f t="shared" si="33"/>
        <v>35.798519897115497</v>
      </c>
      <c r="Q59" s="20">
        <f t="shared" si="53"/>
        <v>302.39603882080934</v>
      </c>
      <c r="R59" s="59">
        <f t="shared" si="0"/>
        <v>595.72937215414265</v>
      </c>
      <c r="S59" s="59">
        <f ca="1">AVERAGE(OFFSET($R$3,0,0,'Données projet'!$E$9+1,1))-AVERAGE(OFFSET($H$3,0,0,'Données projet'!$E$9+1,1))</f>
        <v>319.22903094674564</v>
      </c>
      <c r="T59" s="59">
        <f t="shared" si="34"/>
        <v>254.58690973142848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5.423506964701363</v>
      </c>
      <c r="AA59" s="21">
        <f>EXP(-LN(2)/25)*AA58+(1-EXP(-LN(2)/25))/(LN(2)/25)*Calculateur!V59*Calculateur!X59*VLOOKUP('Données projet'!$B$9,Paramètres!$A$1:$I$89,3,0)*0.475*44/12</f>
        <v>5.423193389471054</v>
      </c>
      <c r="AB59" s="21">
        <f>EXP(-LN(2)/2)*AB58+(1-EXP(-LN(2)/2))/(LN(2)/2)*V59*Y59*VLOOKUP('Données projet'!$B$9,Paramètres!$A$1:$I$89,3,0)*0.475*44/12</f>
        <v>1.3480381645017544E-3</v>
      </c>
      <c r="AC59" s="22">
        <f t="shared" si="3"/>
        <v>10.848048392336917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1.9895196601282805E-13</v>
      </c>
      <c r="AJ59" s="13">
        <f>AI59*VLOOKUP('Données projet'!$B$10,Paramètres!$A$1:$I$89,3,0)*VLOOKUP('Données projet'!$B$10,Paramètres!$A$1:$I$89,5,0)</f>
        <v>1.8001173884840681E-13</v>
      </c>
      <c r="AK59" s="13">
        <f t="shared" si="35"/>
        <v>2.5254331426407198E-12</v>
      </c>
      <c r="AL59" s="20">
        <f t="shared" si="4"/>
        <v>4.7119831685935622E-12</v>
      </c>
      <c r="AM59" s="59">
        <f t="shared" si="5"/>
        <v>293.33333333333803</v>
      </c>
      <c r="AN59" s="59">
        <f ca="1">AVERAGE(OFFSET($AM$3,0,0,'Données projet'!$E$10+1,1))-AVERAGE(OFFSET($H$3,0,0,'Données projet'!$E$10+1,1))</f>
        <v>302.6112905010138</v>
      </c>
      <c r="AO59" s="59">
        <f t="shared" si="36"/>
        <v>423.44006663873375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1.2259901146682199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3.6572311305103358E-4</v>
      </c>
      <c r="AX59" s="21">
        <f t="shared" si="6"/>
        <v>1.2263558377812709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2.125</v>
      </c>
      <c r="BD59" s="12">
        <f>IF('Données projet'!$A$88&gt;35,BD58+BC59-BL58,IF(A59&lt;'Données projet'!$A$88,$BA$205^A59,IF(A59='Données projet'!$A$88,'Données projet'!$B$88,BD58+BC59-BL58)))</f>
        <v>228.25</v>
      </c>
      <c r="BE59" s="13">
        <f>BD59*VLOOKUP('Données projet'!$B$11,Paramètres!$A$1:$I$89,3,0)*VLOOKUP('Données projet'!$B$11,Paramètres!$A$1:$I$89,5,0)</f>
        <v>136.49350000000001</v>
      </c>
      <c r="BF59" s="13">
        <f t="shared" si="37"/>
        <v>35.492533566506438</v>
      </c>
      <c r="BG59" s="20">
        <f t="shared" si="7"/>
        <v>299.54234179499872</v>
      </c>
      <c r="BH59" s="59">
        <f t="shared" si="8"/>
        <v>592.87567512833198</v>
      </c>
      <c r="BI59" s="59">
        <f ca="1">AVERAGE(OFFSET($BH$3,0,0,'Données projet'!$E$11+1,1))-AVERAGE(OFFSET($H$3,0,0,'Données projet'!$E$11+1,1))</f>
        <v>207.91763299672158</v>
      </c>
      <c r="BJ59" s="59">
        <f t="shared" si="38"/>
        <v>230.81096055024483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4.3952133789425964</v>
      </c>
      <c r="BQ59" s="21">
        <f>EXP(-LN(2)/25)*BQ58+(1-EXP(-LN(2)/25))/(LN(2)/25)*Calculateur!BL59*Calculateur!BN59*VLOOKUP('Données projet'!$B$11,Paramètres!$A$1:$I$89,3,0)*0.475*44/12</f>
        <v>2.9289255600367401</v>
      </c>
      <c r="BR59" s="21">
        <f>EXP(-LN(2)/2)*BR58+(1-EXP(-LN(2)/2))/(LN(2)/2)*BL59*BO59*VLOOKUP('Données projet'!$B$11,Paramètres!$A$1:$I$89,3,0)*0.475*44/12</f>
        <v>3.6108044802143723E-4</v>
      </c>
      <c r="BS59" s="22">
        <f t="shared" si="9"/>
        <v>7.324500019427358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13.5</v>
      </c>
      <c r="N60" s="13">
        <f>IF('Données projet'!$A$36&gt;35,N59+M60-V59,IF(A60&lt;'Données projet'!$A$36,$K$205^A60,IF(A60='Données projet'!$A$36,'Données projet'!$B$36,N59+M60-V59)))</f>
        <v>307.99999999999989</v>
      </c>
      <c r="O60" s="13">
        <f>N60*VLOOKUP('Données projet'!$B$9,Paramètres!$A$1:$I$89,3,0)*VLOOKUP('Données projet'!$B$9,Paramètres!$A$1:$I$89,5,0)</f>
        <v>144.14399999999995</v>
      </c>
      <c r="P60" s="13">
        <f t="shared" si="33"/>
        <v>37.244720006976216</v>
      </c>
      <c r="Q60" s="20">
        <f t="shared" si="53"/>
        <v>315.91868734548348</v>
      </c>
      <c r="R60" s="59">
        <f t="shared" si="0"/>
        <v>609.25202067881673</v>
      </c>
      <c r="S60" s="59">
        <f ca="1">AVERAGE(OFFSET($R$3,0,0,'Données projet'!$E$9+1,1))-AVERAGE(OFFSET($H$3,0,0,'Données projet'!$E$9+1,1))</f>
        <v>319.22903094674564</v>
      </c>
      <c r="T60" s="59">
        <f t="shared" si="34"/>
        <v>254.58690973142848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5.3171553011361787</v>
      </c>
      <c r="AA60" s="21">
        <f>EXP(-LN(2)/25)*AA59+(1-EXP(-LN(2)/25))/(LN(2)/25)*Calculateur!V60*Calculateur!X60*VLOOKUP('Données projet'!$B$9,Paramètres!$A$1:$I$89,3,0)*0.475*44/12</f>
        <v>5.2748958810426227</v>
      </c>
      <c r="AB60" s="21">
        <f>EXP(-LN(2)/2)*AB59+(1-EXP(-LN(2)/2))/(LN(2)/2)*V60*Y60*VLOOKUP('Données projet'!$B$9,Paramètres!$A$1:$I$89,3,0)*0.475*44/12</f>
        <v>9.5320692741745724E-4</v>
      </c>
      <c r="AC60" s="22">
        <f t="shared" si="3"/>
        <v>10.59300438910622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1.9895196601282805E-13</v>
      </c>
      <c r="AJ60" s="13">
        <f>AI60*VLOOKUP('Données projet'!$B$10,Paramètres!$A$1:$I$89,3,0)*VLOOKUP('Données projet'!$B$10,Paramètres!$A$1:$I$89,5,0)</f>
        <v>1.8001173884840681E-13</v>
      </c>
      <c r="AK60" s="13">
        <f t="shared" si="35"/>
        <v>2.5254331426407198E-12</v>
      </c>
      <c r="AL60" s="20">
        <f t="shared" si="4"/>
        <v>4.7119831685935622E-12</v>
      </c>
      <c r="AM60" s="59">
        <f t="shared" si="5"/>
        <v>293.33333333333803</v>
      </c>
      <c r="AN60" s="59">
        <f ca="1">AVERAGE(OFFSET($AM$3,0,0,'Données projet'!$E$10+1,1))-AVERAGE(OFFSET($H$3,0,0,'Données projet'!$E$10+1,1))</f>
        <v>302.6112905010138</v>
      </c>
      <c r="AO60" s="59">
        <f t="shared" si="36"/>
        <v>423.44006663873375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1.2019491962997089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2.5860529327504018E-4</v>
      </c>
      <c r="AX60" s="21">
        <f t="shared" si="6"/>
        <v>1.202207801592984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2.125</v>
      </c>
      <c r="BD60" s="12">
        <f>IF('Données projet'!$A$88&gt;35,BD59+BC60-BL59,IF(A60&lt;'Données projet'!$A$88,$BA$205^A60,IF(A60='Données projet'!$A$88,'Données projet'!$B$88,BD59+BC60-BL59)))</f>
        <v>230.375</v>
      </c>
      <c r="BE60" s="13">
        <f>BD60*VLOOKUP('Données projet'!$B$11,Paramètres!$A$1:$I$89,3,0)*VLOOKUP('Données projet'!$B$11,Paramètres!$A$1:$I$89,5,0)</f>
        <v>137.76425000000003</v>
      </c>
      <c r="BF60" s="13">
        <f t="shared" si="37"/>
        <v>35.784347676183451</v>
      </c>
      <c r="BG60" s="20">
        <f t="shared" si="7"/>
        <v>302.26380761935292</v>
      </c>
      <c r="BH60" s="59">
        <f t="shared" si="8"/>
        <v>595.59714095268623</v>
      </c>
      <c r="BI60" s="59">
        <f ca="1">AVERAGE(OFFSET($BH$3,0,0,'Données projet'!$E$11+1,1))-AVERAGE(OFFSET($H$3,0,0,'Données projet'!$E$11+1,1))</f>
        <v>207.91763299672158</v>
      </c>
      <c r="BJ60" s="59">
        <f t="shared" si="38"/>
        <v>230.81096055024483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4.3090259253969849</v>
      </c>
      <c r="BQ60" s="21">
        <f>EXP(-LN(2)/25)*BQ59+(1-EXP(-LN(2)/25))/(LN(2)/25)*Calculateur!BL60*Calculateur!BN60*VLOOKUP('Données projet'!$B$11,Paramètres!$A$1:$I$89,3,0)*0.475*44/12</f>
        <v>2.8488339365720345</v>
      </c>
      <c r="BR60" s="21">
        <f>EXP(-LN(2)/2)*BR59+(1-EXP(-LN(2)/2))/(LN(2)/2)*BL60*BO60*VLOOKUP('Données projet'!$B$11,Paramètres!$A$1:$I$89,3,0)*0.475*44/12</f>
        <v>2.5532243334983496E-4</v>
      </c>
      <c r="BS60" s="22">
        <f t="shared" si="9"/>
        <v>7.1581151844023685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13.5</v>
      </c>
      <c r="N61" s="13">
        <f>IF('Données projet'!$A$36&gt;35,N60+M61-V60,IF(A61&lt;'Données projet'!$A$36,$K$205^A61,IF(A61='Données projet'!$A$36,'Données projet'!$B$36,N60+M61-V60)))</f>
        <v>321.49999999999989</v>
      </c>
      <c r="O61" s="13">
        <f>N61*VLOOKUP('Données projet'!$B$9,Paramètres!$A$1:$I$89,3,0)*VLOOKUP('Données projet'!$B$9,Paramètres!$A$1:$I$89,5,0)</f>
        <v>150.46199999999993</v>
      </c>
      <c r="P61" s="13">
        <f t="shared" si="33"/>
        <v>38.683557979918994</v>
      </c>
      <c r="Q61" s="20">
        <f t="shared" si="53"/>
        <v>329.42851348169211</v>
      </c>
      <c r="R61" s="59">
        <f t="shared" si="0"/>
        <v>622.76184681502536</v>
      </c>
      <c r="S61" s="59">
        <f ca="1">AVERAGE(OFFSET($R$3,0,0,'Données projet'!$E$9+1,1))-AVERAGE(OFFSET($H$3,0,0,'Données projet'!$E$9+1,1))</f>
        <v>319.22903094674564</v>
      </c>
      <c r="T61" s="59">
        <f t="shared" si="34"/>
        <v>254.58690973142848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5.212889128825398</v>
      </c>
      <c r="AA61" s="21">
        <f>EXP(-LN(2)/25)*AA60+(1-EXP(-LN(2)/25))/(LN(2)/25)*Calculateur!V61*Calculateur!X61*VLOOKUP('Données projet'!$B$9,Paramètres!$A$1:$I$89,3,0)*0.475*44/12</f>
        <v>5.1306535757807934</v>
      </c>
      <c r="AB61" s="21">
        <f>EXP(-LN(2)/2)*AB60+(1-EXP(-LN(2)/2))/(LN(2)/2)*V61*Y61*VLOOKUP('Données projet'!$B$9,Paramètres!$A$1:$I$89,3,0)*0.475*44/12</f>
        <v>6.7401908225087732E-4</v>
      </c>
      <c r="AC61" s="22">
        <f t="shared" si="3"/>
        <v>10.344216723688442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1.9895196601282805E-13</v>
      </c>
      <c r="AJ61" s="13">
        <f>AI61*VLOOKUP('Données projet'!$B$10,Paramètres!$A$1:$I$89,3,0)*VLOOKUP('Données projet'!$B$10,Paramètres!$A$1:$I$89,5,0)</f>
        <v>1.8001173884840681E-13</v>
      </c>
      <c r="AK61" s="13">
        <f t="shared" si="35"/>
        <v>2.5254331426407198E-12</v>
      </c>
      <c r="AL61" s="20">
        <f t="shared" si="4"/>
        <v>4.7119831685935622E-12</v>
      </c>
      <c r="AM61" s="59">
        <f t="shared" si="5"/>
        <v>293.33333333333803</v>
      </c>
      <c r="AN61" s="59">
        <f ca="1">AVERAGE(OFFSET($AM$3,0,0,'Données projet'!$E$10+1,1))-AVERAGE(OFFSET($H$3,0,0,'Données projet'!$E$10+1,1))</f>
        <v>302.6112905010138</v>
      </c>
      <c r="AO61" s="59">
        <f t="shared" si="36"/>
        <v>423.44006663873375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1.1783797056768921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1.8286155652551679E-4</v>
      </c>
      <c r="AX61" s="21">
        <f t="shared" si="6"/>
        <v>1.1785625672334177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2.125</v>
      </c>
      <c r="BD61" s="12">
        <f>IF('Données projet'!$A$88&gt;35,BD60+BC61-BL60,IF(A61&lt;'Données projet'!$A$88,$BA$205^A61,IF(A61='Données projet'!$A$88,'Données projet'!$B$88,BD60+BC61-BL60)))</f>
        <v>232.5</v>
      </c>
      <c r="BE61" s="13">
        <f>BD61*VLOOKUP('Données projet'!$B$11,Paramètres!$A$1:$I$89,3,0)*VLOOKUP('Données projet'!$B$11,Paramètres!$A$1:$I$89,5,0)</f>
        <v>139.035</v>
      </c>
      <c r="BF61" s="13">
        <f t="shared" si="37"/>
        <v>36.0758486331029</v>
      </c>
      <c r="BG61" s="20">
        <f t="shared" si="7"/>
        <v>304.98472803598753</v>
      </c>
      <c r="BH61" s="59">
        <f t="shared" si="8"/>
        <v>598.31806136932084</v>
      </c>
      <c r="BI61" s="59">
        <f ca="1">AVERAGE(OFFSET($BH$3,0,0,'Données projet'!$E$11+1,1))-AVERAGE(OFFSET($H$3,0,0,'Données projet'!$E$11+1,1))</f>
        <v>207.91763299672158</v>
      </c>
      <c r="BJ61" s="59">
        <f t="shared" si="38"/>
        <v>230.81096055024483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4.2245285552462466</v>
      </c>
      <c r="BQ61" s="21">
        <f>EXP(-LN(2)/25)*BQ60+(1-EXP(-LN(2)/25))/(LN(2)/25)*Calculateur!BL61*Calculateur!BN61*VLOOKUP('Données projet'!$B$11,Paramètres!$A$1:$I$89,3,0)*0.475*44/12</f>
        <v>2.7709324227628067</v>
      </c>
      <c r="BR61" s="21">
        <f>EXP(-LN(2)/2)*BR60+(1-EXP(-LN(2)/2))/(LN(2)/2)*BL61*BO61*VLOOKUP('Données projet'!$B$11,Paramètres!$A$1:$I$89,3,0)*0.475*44/12</f>
        <v>1.8054022401071861E-4</v>
      </c>
      <c r="BS61" s="22">
        <f t="shared" si="9"/>
        <v>6.9956415182330636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13.5</v>
      </c>
      <c r="N62" s="13">
        <f>IF('Données projet'!$A$36&gt;35,N61+M62-V61,IF(A62&lt;'Données projet'!$A$36,$K$205^A62,IF(A62='Données projet'!$A$36,'Données projet'!$B$36,N61+M62-V61)))</f>
        <v>334.99999999999989</v>
      </c>
      <c r="O62" s="13">
        <f>N62*VLOOKUP('Données projet'!$B$9,Paramètres!$A$1:$I$89,3,0)*VLOOKUP('Données projet'!$B$9,Paramètres!$A$1:$I$89,5,0)</f>
        <v>156.77999999999994</v>
      </c>
      <c r="P62" s="13">
        <f t="shared" si="33"/>
        <v>40.115378305457938</v>
      </c>
      <c r="Q62" s="20">
        <f t="shared" si="53"/>
        <v>342.92611721533916</v>
      </c>
      <c r="R62" s="59">
        <f t="shared" si="0"/>
        <v>636.25945054867248</v>
      </c>
      <c r="S62" s="59">
        <f ca="1">AVERAGE(OFFSET($R$3,0,0,'Données projet'!$E$9+1,1))-AVERAGE(OFFSET($H$3,0,0,'Données projet'!$E$9+1,1))</f>
        <v>319.22903094674564</v>
      </c>
      <c r="T62" s="59">
        <f t="shared" si="34"/>
        <v>254.58690973142848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5.1106675525575458</v>
      </c>
      <c r="AA62" s="21">
        <f>EXP(-LN(2)/25)*AA61+(1-EXP(-LN(2)/25))/(LN(2)/25)*Calculateur!V62*Calculateur!X62*VLOOKUP('Données projet'!$B$9,Paramètres!$A$1:$I$89,3,0)*0.475*44/12</f>
        <v>4.9903555839417226</v>
      </c>
      <c r="AB62" s="21">
        <f>EXP(-LN(2)/2)*AB61+(1-EXP(-LN(2)/2))/(LN(2)/2)*V62*Y62*VLOOKUP('Données projet'!$B$9,Paramètres!$A$1:$I$89,3,0)*0.475*44/12</f>
        <v>4.7660346370872873E-4</v>
      </c>
      <c r="AC62" s="22">
        <f t="shared" si="3"/>
        <v>10.101499739962977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1.9895196601282805E-13</v>
      </c>
      <c r="AJ62" s="13">
        <f>AI62*VLOOKUP('Données projet'!$B$10,Paramètres!$A$1:$I$89,3,0)*VLOOKUP('Données projet'!$B$10,Paramètres!$A$1:$I$89,5,0)</f>
        <v>1.8001173884840681E-13</v>
      </c>
      <c r="AK62" s="13">
        <f t="shared" si="35"/>
        <v>2.5254331426407198E-12</v>
      </c>
      <c r="AL62" s="20">
        <f t="shared" si="4"/>
        <v>4.7119831685935622E-12</v>
      </c>
      <c r="AM62" s="59">
        <f t="shared" si="5"/>
        <v>293.33333333333803</v>
      </c>
      <c r="AN62" s="59">
        <f ca="1">AVERAGE(OFFSET($AM$3,0,0,'Données projet'!$E$10+1,1))-AVERAGE(OFFSET($H$3,0,0,'Données projet'!$E$10+1,1))</f>
        <v>302.6112905010138</v>
      </c>
      <c r="AO62" s="59">
        <f t="shared" si="36"/>
        <v>423.44006663873375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1.155272398389219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1.2930264663752009E-4</v>
      </c>
      <c r="AX62" s="21">
        <f t="shared" si="6"/>
        <v>1.1554017010358566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2.125</v>
      </c>
      <c r="BD62" s="12">
        <f>IF('Données projet'!$A$88&gt;35,BD61+BC62-BL61,IF(A62&lt;'Données projet'!$A$88,$BA$205^A62,IF(A62='Données projet'!$A$88,'Données projet'!$B$88,BD61+BC62-BL61)))</f>
        <v>234.625</v>
      </c>
      <c r="BE62" s="13">
        <f>BD62*VLOOKUP('Données projet'!$B$11,Paramètres!$A$1:$I$89,3,0)*VLOOKUP('Données projet'!$B$11,Paramètres!$A$1:$I$89,5,0)</f>
        <v>140.30575000000002</v>
      </c>
      <c r="BF62" s="13">
        <f t="shared" si="37"/>
        <v>36.367039630957962</v>
      </c>
      <c r="BG62" s="20">
        <f t="shared" si="7"/>
        <v>307.70510860725182</v>
      </c>
      <c r="BH62" s="59">
        <f t="shared" si="8"/>
        <v>601.03844194058513</v>
      </c>
      <c r="BI62" s="59">
        <f ca="1">AVERAGE(OFFSET($BH$3,0,0,'Données projet'!$E$11+1,1))-AVERAGE(OFFSET($H$3,0,0,'Données projet'!$E$11+1,1))</f>
        <v>207.91763299672158</v>
      </c>
      <c r="BJ62" s="59">
        <f t="shared" si="38"/>
        <v>230.81096055024483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4.1416881269858576</v>
      </c>
      <c r="BQ62" s="21">
        <f>EXP(-LN(2)/25)*BQ61+(1-EXP(-LN(2)/25))/(LN(2)/25)*Calculateur!BL62*Calculateur!BN62*VLOOKUP('Données projet'!$B$11,Paramètres!$A$1:$I$89,3,0)*0.475*44/12</f>
        <v>2.6951611299453546</v>
      </c>
      <c r="BR62" s="21">
        <f>EXP(-LN(2)/2)*BR61+(1-EXP(-LN(2)/2))/(LN(2)/2)*BL62*BO62*VLOOKUP('Données projet'!$B$11,Paramètres!$A$1:$I$89,3,0)*0.475*44/12</f>
        <v>1.2766121667491748E-4</v>
      </c>
      <c r="BS62" s="22">
        <f t="shared" si="9"/>
        <v>6.8369769181478874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348.5</v>
      </c>
      <c r="L63" s="12">
        <f>VLOOKUP(A63,'Données projet'!$A$35:$I$55,9,0)</f>
        <v>13.5</v>
      </c>
      <c r="M63" s="12">
        <f t="array" ref="M63">INDEX(L:L,MIN(IF(ISNUMBER(L63:L259),ROW(L63:L259),"")))</f>
        <v>13.5</v>
      </c>
      <c r="N63" s="13">
        <f>IF('Données projet'!$A$36&gt;35,N62+M63-V62,IF(A63&lt;'Données projet'!$A$36,$K$205^A63,IF(A63='Données projet'!$A$36,'Données projet'!$B$36,N62+M63-V62)))</f>
        <v>348.49999999999989</v>
      </c>
      <c r="O63" s="13">
        <f>N63*VLOOKUP('Données projet'!$B$9,Paramètres!$A$1:$I$89,3,0)*VLOOKUP('Données projet'!$B$9,Paramètres!$A$1:$I$89,5,0)</f>
        <v>163.09799999999993</v>
      </c>
      <c r="P63" s="13">
        <f t="shared" si="33"/>
        <v>41.540496136845142</v>
      </c>
      <c r="Q63" s="20">
        <f t="shared" si="53"/>
        <v>356.4120474383385</v>
      </c>
      <c r="R63" s="59">
        <f t="shared" si="0"/>
        <v>649.74538077167176</v>
      </c>
      <c r="S63" s="59">
        <f ca="1">AVERAGE(OFFSET($R$3,0,0,'Données projet'!$E$9+1,1))-AVERAGE(OFFSET($H$3,0,0,'Données projet'!$E$9+1,1))</f>
        <v>319.22903094674564</v>
      </c>
      <c r="T63" s="59">
        <f t="shared" si="34"/>
        <v>254.58690973142848</v>
      </c>
      <c r="U63" s="15">
        <f>IF(ISNA(VLOOKUP(A63,'Données projet'!$A$35:$I$55,3,0)),0,VLOOKUP(A63,'Données projet'!$A$35:$I$55,3,0))</f>
        <v>5</v>
      </c>
      <c r="V63" s="15">
        <f>IF(ISNA(VLOOKUP(A63,'Données projet'!$A$35:$I$55,4,0)),0,VLOOKUP(A63,'Données projet'!$A$35:$I$55,4,0))</f>
        <v>80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5.0104504790513014</v>
      </c>
      <c r="AA63" s="21">
        <f>EXP(-LN(2)/25)*AA62+(1-EXP(-LN(2)/25))/(LN(2)/25)*Calculateur!V63*Calculateur!X63*VLOOKUP('Données projet'!$B$9,Paramètres!$A$1:$I$89,3,0)*0.475*44/12</f>
        <v>4.853894048067442</v>
      </c>
      <c r="AB63" s="21">
        <f>EXP(-LN(2)/2)*AB62+(1-EXP(-LN(2)/2))/(LN(2)/2)*V63*Y63*VLOOKUP('Données projet'!$B$9,Paramètres!$A$1:$I$89,3,0)*0.475*44/12</f>
        <v>3.3700954112543871E-4</v>
      </c>
      <c r="AC63" s="22">
        <f t="shared" si="3"/>
        <v>9.8646815366598677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1.9895196601282805E-13</v>
      </c>
      <c r="AJ63" s="13">
        <f>AI63*VLOOKUP('Données projet'!$B$10,Paramètres!$A$1:$I$89,3,0)*VLOOKUP('Données projet'!$B$10,Paramètres!$A$1:$I$89,5,0)</f>
        <v>1.8001173884840681E-13</v>
      </c>
      <c r="AK63" s="13">
        <f t="shared" si="35"/>
        <v>2.5254331426407198E-12</v>
      </c>
      <c r="AL63" s="20">
        <f t="shared" si="4"/>
        <v>4.7119831685935622E-12</v>
      </c>
      <c r="AM63" s="59">
        <f t="shared" si="5"/>
        <v>293.33333333333803</v>
      </c>
      <c r="AN63" s="59">
        <f ca="1">AVERAGE(OFFSET($AM$3,0,0,'Données projet'!$E$10+1,1))-AVERAGE(OFFSET($H$3,0,0,'Données projet'!$E$10+1,1))</f>
        <v>302.6112905010138</v>
      </c>
      <c r="AO63" s="59">
        <f t="shared" si="36"/>
        <v>423.44006663873375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1.1326182113033914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9.1430778262758394E-5</v>
      </c>
      <c r="AX63" s="21">
        <f t="shared" si="6"/>
        <v>1.132709642081654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2.125</v>
      </c>
      <c r="BD63" s="12">
        <f>IF('Données projet'!$A$88&gt;35,BD62+BC63-BL62,IF(A63&lt;'Données projet'!$A$88,$BA$205^A63,IF(A63='Données projet'!$A$88,'Données projet'!$B$88,BD62+BC63-BL62)))</f>
        <v>236.75</v>
      </c>
      <c r="BE63" s="13">
        <f>BD63*VLOOKUP('Données projet'!$B$11,Paramètres!$A$1:$I$89,3,0)*VLOOKUP('Données projet'!$B$11,Paramètres!$A$1:$I$89,5,0)</f>
        <v>141.57650000000001</v>
      </c>
      <c r="BF63" s="13">
        <f t="shared" si="37"/>
        <v>36.657923802254089</v>
      </c>
      <c r="BG63" s="20">
        <f t="shared" si="7"/>
        <v>310.4249547889259</v>
      </c>
      <c r="BH63" s="59">
        <f t="shared" si="8"/>
        <v>603.75828812225927</v>
      </c>
      <c r="BI63" s="59">
        <f ca="1">AVERAGE(OFFSET($BH$3,0,0,'Données projet'!$E$11+1,1))-AVERAGE(OFFSET($H$3,0,0,'Données projet'!$E$11+1,1))</f>
        <v>207.91763299672158</v>
      </c>
      <c r="BJ63" s="59">
        <f t="shared" si="38"/>
        <v>230.81096055024483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4.0604721489959825</v>
      </c>
      <c r="BQ63" s="21">
        <f>EXP(-LN(2)/25)*BQ62+(1-EXP(-LN(2)/25))/(LN(2)/25)*Calculateur!BL63*Calculateur!BN63*VLOOKUP('Données projet'!$B$11,Paramètres!$A$1:$I$89,3,0)*0.475*44/12</f>
        <v>2.6214618071146347</v>
      </c>
      <c r="BR63" s="21">
        <f>EXP(-LN(2)/2)*BR62+(1-EXP(-LN(2)/2))/(LN(2)/2)*BL63*BO63*VLOOKUP('Données projet'!$B$11,Paramètres!$A$1:$I$89,3,0)*0.475*44/12</f>
        <v>9.0270112005359307E-5</v>
      </c>
      <c r="BS63" s="22">
        <f t="shared" si="9"/>
        <v>6.682024226222623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15.5</v>
      </c>
      <c r="N64" s="13">
        <f>IF('Données projet'!$A$36&gt;35,N63+M64-V63,IF(A64&lt;'Données projet'!$A$36,$K$205^A64,IF(A64='Données projet'!$A$36,'Données projet'!$B$36,N63+M64-V63)))</f>
        <v>283.99999999999989</v>
      </c>
      <c r="O64" s="13">
        <f>N64*VLOOKUP('Données projet'!$B$9,Paramètres!$A$1:$I$89,3,0)*VLOOKUP('Données projet'!$B$9,Paramètres!$A$1:$I$89,5,0)</f>
        <v>132.91199999999995</v>
      </c>
      <c r="P64" s="13">
        <f t="shared" si="33"/>
        <v>34.668367043546574</v>
      </c>
      <c r="Q64" s="20">
        <f t="shared" si="53"/>
        <v>291.86913926751021</v>
      </c>
      <c r="R64" s="59">
        <f t="shared" si="0"/>
        <v>585.20247260084352</v>
      </c>
      <c r="S64" s="59">
        <f ca="1">AVERAGE(OFFSET($R$3,0,0,'Données projet'!$E$9+1,1))-AVERAGE(OFFSET($H$3,0,0,'Données projet'!$E$9+1,1))</f>
        <v>319.22903094674564</v>
      </c>
      <c r="T64" s="59">
        <f t="shared" si="34"/>
        <v>254.58690973142848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4.9121986012301351</v>
      </c>
      <c r="AA64" s="21">
        <f>EXP(-LN(2)/25)*AA63+(1-EXP(-LN(2)/25))/(LN(2)/25)*Calculateur!V64*Calculateur!X64*VLOOKUP('Données projet'!$B$9,Paramètres!$A$1:$I$89,3,0)*0.475*44/12</f>
        <v>4.7211640600678431</v>
      </c>
      <c r="AB64" s="21">
        <f>EXP(-LN(2)/2)*AB63+(1-EXP(-LN(2)/2))/(LN(2)/2)*V64*Y64*VLOOKUP('Données projet'!$B$9,Paramètres!$A$1:$I$89,3,0)*0.475*44/12</f>
        <v>2.3830173185436439E-4</v>
      </c>
      <c r="AC64" s="22">
        <f t="shared" si="3"/>
        <v>9.6336009630298332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1.9895196601282805E-13</v>
      </c>
      <c r="AJ64" s="13">
        <f>AI64*VLOOKUP('Données projet'!$B$10,Paramètres!$A$1:$I$89,3,0)*VLOOKUP('Données projet'!$B$10,Paramètres!$A$1:$I$89,5,0)</f>
        <v>1.8001173884840681E-13</v>
      </c>
      <c r="AK64" s="13">
        <f t="shared" si="35"/>
        <v>2.5254331426407198E-12</v>
      </c>
      <c r="AL64" s="20">
        <f t="shared" si="4"/>
        <v>4.7119831685935622E-12</v>
      </c>
      <c r="AM64" s="59">
        <f t="shared" si="5"/>
        <v>293.33333333333803</v>
      </c>
      <c r="AN64" s="59">
        <f ca="1">AVERAGE(OFFSET($AM$3,0,0,'Données projet'!$E$10+1,1))-AVERAGE(OFFSET($H$3,0,0,'Données projet'!$E$10+1,1))</f>
        <v>302.6112905010138</v>
      </c>
      <c r="AO64" s="59">
        <f t="shared" si="36"/>
        <v>423.44006663873375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1.1104082590086271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6.4651323318760045E-5</v>
      </c>
      <c r="AX64" s="21">
        <f t="shared" si="6"/>
        <v>1.1104729103319457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2.125</v>
      </c>
      <c r="BD64" s="12">
        <f>IF('Données projet'!$A$88&gt;35,BD63+BC64-BL63,IF(A64&lt;'Données projet'!$A$88,$BA$205^A64,IF(A64='Données projet'!$A$88,'Données projet'!$B$88,BD63+BC64-BL63)))</f>
        <v>238.875</v>
      </c>
      <c r="BE64" s="13">
        <f>BD64*VLOOKUP('Données projet'!$B$11,Paramètres!$A$1:$I$89,3,0)*VLOOKUP('Données projet'!$B$11,Paramètres!$A$1:$I$89,5,0)</f>
        <v>142.84725</v>
      </c>
      <c r="BF64" s="13">
        <f t="shared" si="37"/>
        <v>36.948504220019856</v>
      </c>
      <c r="BG64" s="20">
        <f t="shared" si="7"/>
        <v>313.1442719332012</v>
      </c>
      <c r="BH64" s="59">
        <f t="shared" si="8"/>
        <v>606.47760526653451</v>
      </c>
      <c r="BI64" s="59">
        <f ca="1">AVERAGE(OFFSET($BH$3,0,0,'Données projet'!$E$11+1,1))-AVERAGE(OFFSET($H$3,0,0,'Données projet'!$E$11+1,1))</f>
        <v>207.91763299672158</v>
      </c>
      <c r="BJ64" s="59">
        <f t="shared" si="38"/>
        <v>230.81096055024483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3.9808487667976338</v>
      </c>
      <c r="BQ64" s="21">
        <f>EXP(-LN(2)/25)*BQ63+(1-EXP(-LN(2)/25))/(LN(2)/25)*Calculateur!BL64*Calculateur!BN64*VLOOKUP('Données projet'!$B$11,Paramètres!$A$1:$I$89,3,0)*0.475*44/12</f>
        <v>2.5497777961424002</v>
      </c>
      <c r="BR64" s="21">
        <f>EXP(-LN(2)/2)*BR63+(1-EXP(-LN(2)/2))/(LN(2)/2)*BL64*BO64*VLOOKUP('Données projet'!$B$11,Paramètres!$A$1:$I$89,3,0)*0.475*44/12</f>
        <v>6.383060833745874E-5</v>
      </c>
      <c r="BS64" s="22">
        <f t="shared" si="9"/>
        <v>6.5306903935483716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15.5</v>
      </c>
      <c r="N65" s="13">
        <f>IF('Données projet'!$A$36&gt;35,N64+M65-V64,IF(A65&lt;'Données projet'!$A$36,$K$205^A65,IF(A65='Données projet'!$A$36,'Données projet'!$B$36,N64+M65-V64)))</f>
        <v>299.49999999999989</v>
      </c>
      <c r="O65" s="13">
        <f>N65*VLOOKUP('Données projet'!$B$9,Paramètres!$A$1:$I$89,3,0)*VLOOKUP('Données projet'!$B$9,Paramètres!$A$1:$I$89,5,0)</f>
        <v>140.16599999999994</v>
      </c>
      <c r="P65" s="13">
        <f t="shared" si="33"/>
        <v>36.33503114084008</v>
      </c>
      <c r="Q65" s="20">
        <f t="shared" si="53"/>
        <v>307.40596257029637</v>
      </c>
      <c r="R65" s="59">
        <f t="shared" si="0"/>
        <v>600.73929590362968</v>
      </c>
      <c r="S65" s="59">
        <f ca="1">AVERAGE(OFFSET($R$3,0,0,'Données projet'!$E$9+1,1))-AVERAGE(OFFSET($H$3,0,0,'Données projet'!$E$9+1,1))</f>
        <v>319.22903094674564</v>
      </c>
      <c r="T65" s="59">
        <f t="shared" si="34"/>
        <v>254.58690973142848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4.8158733828053144</v>
      </c>
      <c r="AA65" s="21">
        <f>EXP(-LN(2)/25)*AA64+(1-EXP(-LN(2)/25))/(LN(2)/25)*Calculateur!V65*Calculateur!X65*VLOOKUP('Données projet'!$B$9,Paramètres!$A$1:$I$89,3,0)*0.475*44/12</f>
        <v>4.59206358057006</v>
      </c>
      <c r="AB65" s="21">
        <f>EXP(-LN(2)/2)*AB64+(1-EXP(-LN(2)/2))/(LN(2)/2)*V65*Y65*VLOOKUP('Données projet'!$B$9,Paramètres!$A$1:$I$89,3,0)*0.475*44/12</f>
        <v>1.6850477056271938E-4</v>
      </c>
      <c r="AC65" s="22">
        <f t="shared" si="3"/>
        <v>9.4081054681459371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1.9895196601282805E-13</v>
      </c>
      <c r="AJ65" s="13">
        <f>AI65*VLOOKUP('Données projet'!$B$10,Paramètres!$A$1:$I$89,3,0)*VLOOKUP('Données projet'!$B$10,Paramètres!$A$1:$I$89,5,0)</f>
        <v>1.8001173884840681E-13</v>
      </c>
      <c r="AK65" s="13">
        <f t="shared" si="35"/>
        <v>2.5254331426407198E-12</v>
      </c>
      <c r="AL65" s="20">
        <f t="shared" si="4"/>
        <v>4.7119831685935622E-12</v>
      </c>
      <c r="AM65" s="59">
        <f t="shared" si="5"/>
        <v>293.33333333333803</v>
      </c>
      <c r="AN65" s="59">
        <f ca="1">AVERAGE(OFFSET($AM$3,0,0,'Données projet'!$E$10+1,1))-AVERAGE(OFFSET($H$3,0,0,'Données projet'!$E$10+1,1))</f>
        <v>302.6112905010138</v>
      </c>
      <c r="AO65" s="59">
        <f t="shared" si="36"/>
        <v>423.44006663873375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1.0886338303316299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4.5715389131379197E-5</v>
      </c>
      <c r="AX65" s="21">
        <f t="shared" si="6"/>
        <v>1.0886795457207612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>
        <f>VLOOKUP(A65,'Données projet'!$A$87:$I$107,2,0)</f>
        <v>241</v>
      </c>
      <c r="BB65" s="12">
        <f>VLOOKUP(A65,'Données projet'!$A$87:$I$107,9,0)</f>
        <v>2.125</v>
      </c>
      <c r="BC65" s="12">
        <f t="array" ref="BC65">INDEX(BB:BB,MIN(IF(ISNUMBER(BB65:BB261),ROW(BB65:BB261),"")))</f>
        <v>2.125</v>
      </c>
      <c r="BD65" s="12">
        <f>IF('Données projet'!$A$88&gt;35,BD64+BC65-BL64,IF(A65&lt;'Données projet'!$A$88,$BA$205^A65,IF(A65='Données projet'!$A$88,'Données projet'!$B$88,BD64+BC65-BL64)))</f>
        <v>241</v>
      </c>
      <c r="BE65" s="13">
        <f>BD65*VLOOKUP('Données projet'!$B$11,Paramètres!$A$1:$I$89,3,0)*VLOOKUP('Données projet'!$B$11,Paramètres!$A$1:$I$89,5,0)</f>
        <v>144.11799999999999</v>
      </c>
      <c r="BF65" s="13">
        <f t="shared" si="37"/>
        <v>37.238783899454731</v>
      </c>
      <c r="BG65" s="20">
        <f t="shared" si="7"/>
        <v>315.8630652915503</v>
      </c>
      <c r="BH65" s="59">
        <f t="shared" si="8"/>
        <v>609.19639862488361</v>
      </c>
      <c r="BI65" s="59">
        <f ca="1">AVERAGE(OFFSET($BH$3,0,0,'Données projet'!$E$11+1,1))-AVERAGE(OFFSET($H$3,0,0,'Données projet'!$E$11+1,1))</f>
        <v>207.91763299672158</v>
      </c>
      <c r="BJ65" s="59">
        <f t="shared" si="38"/>
        <v>230.81096055024483</v>
      </c>
      <c r="BK65" s="15">
        <f>IF(ISNA(VLOOKUP(A65,'Données projet'!$A$87:$I$107,3,0)),0,VLOOKUP(A65,'Données projet'!$A$87:$I$107,3,0))</f>
        <v>10</v>
      </c>
      <c r="BL65" s="15">
        <f>IF(ISNA(VLOOKUP(A65,'Données projet'!$A$87:$I$107,4,0)),0,VLOOKUP(A65,'Données projet'!$A$87:$I$107,4,0))</f>
        <v>241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3.902786750558727</v>
      </c>
      <c r="BQ65" s="21">
        <f>EXP(-LN(2)/25)*BQ64+(1-EXP(-LN(2)/25))/(LN(2)/25)*Calculateur!BL65*Calculateur!BN65*VLOOKUP('Données projet'!$B$11,Paramètres!$A$1:$I$89,3,0)*0.475*44/12</f>
        <v>2.4800539882198995</v>
      </c>
      <c r="BR65" s="21">
        <f>EXP(-LN(2)/2)*BR64+(1-EXP(-LN(2)/2))/(LN(2)/2)*BL65*BO65*VLOOKUP('Données projet'!$B$11,Paramètres!$A$1:$I$89,3,0)*0.475*44/12</f>
        <v>4.5135056002679654E-5</v>
      </c>
      <c r="BS65" s="22">
        <f t="shared" si="9"/>
        <v>6.3828858738346295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15.5</v>
      </c>
      <c r="N66" s="13">
        <f>IF('Données projet'!$A$36&gt;35,N65+M66-V65,IF(A66&lt;'Données projet'!$A$36,$K$205^A66,IF(A66='Données projet'!$A$36,'Données projet'!$B$36,N65+M66-V65)))</f>
        <v>314.99999999999989</v>
      </c>
      <c r="O66" s="13">
        <f>N66*VLOOKUP('Données projet'!$B$9,Paramètres!$A$1:$I$89,3,0)*VLOOKUP('Données projet'!$B$9,Paramètres!$A$1:$I$89,5,0)</f>
        <v>147.41999999999993</v>
      </c>
      <c r="P66" s="13">
        <f t="shared" si="33"/>
        <v>37.991680647570291</v>
      </c>
      <c r="Q66" s="20">
        <f t="shared" si="53"/>
        <v>322.92534379451814</v>
      </c>
      <c r="R66" s="59">
        <f t="shared" si="0"/>
        <v>616.25867712785146</v>
      </c>
      <c r="S66" s="59">
        <f ca="1">AVERAGE(OFFSET($R$3,0,0,'Données projet'!$E$9+1,1))-AVERAGE(OFFSET($H$3,0,0,'Données projet'!$E$9+1,1))</f>
        <v>319.22903094674564</v>
      </c>
      <c r="T66" s="59">
        <f t="shared" si="34"/>
        <v>254.58690973142848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4.721437043161222</v>
      </c>
      <c r="AA66" s="21">
        <f>EXP(-LN(2)/25)*AA65+(1-EXP(-LN(2)/25))/(LN(2)/25)*Calculateur!V66*Calculateur!X66*VLOOKUP('Données projet'!$B$9,Paramètres!$A$1:$I$89,3,0)*0.475*44/12</f>
        <v>4.4664933604732431</v>
      </c>
      <c r="AB66" s="21">
        <f>EXP(-LN(2)/2)*AB65+(1-EXP(-LN(2)/2))/(LN(2)/2)*V66*Y66*VLOOKUP('Données projet'!$B$9,Paramètres!$A$1:$I$89,3,0)*0.475*44/12</f>
        <v>1.1915086592718222E-4</v>
      </c>
      <c r="AC66" s="22">
        <f t="shared" si="3"/>
        <v>9.1880495545003917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1.9895196601282805E-13</v>
      </c>
      <c r="AJ66" s="13">
        <f>AI66*VLOOKUP('Données projet'!$B$10,Paramètres!$A$1:$I$89,3,0)*VLOOKUP('Données projet'!$B$10,Paramètres!$A$1:$I$89,5,0)</f>
        <v>1.8001173884840681E-13</v>
      </c>
      <c r="AK66" s="13">
        <f t="shared" si="35"/>
        <v>2.5254331426407198E-12</v>
      </c>
      <c r="AL66" s="20">
        <f t="shared" si="4"/>
        <v>4.7119831685935622E-12</v>
      </c>
      <c r="AM66" s="59">
        <f t="shared" si="5"/>
        <v>293.33333333333803</v>
      </c>
      <c r="AN66" s="59">
        <f ca="1">AVERAGE(OFFSET($AM$3,0,0,'Données projet'!$E$10+1,1))-AVERAGE(OFFSET($H$3,0,0,'Données projet'!$E$10+1,1))</f>
        <v>302.6112905010138</v>
      </c>
      <c r="AO66" s="59">
        <f t="shared" si="36"/>
        <v>423.44006663873375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1.0672863849198984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3.2325661659380022E-5</v>
      </c>
      <c r="AX66" s="21">
        <f t="shared" si="6"/>
        <v>1.0673187105815578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>
        <f>BD66*VLOOKUP('Données projet'!$B$11,Paramètres!$A$1:$I$89,3,0)*VLOOKUP('Données projet'!$B$11,Paramètres!$A$1:$I$89,5,0)</f>
        <v>0</v>
      </c>
      <c r="BF66" s="13" t="e">
        <f t="shared" si="37"/>
        <v>#NUM!</v>
      </c>
      <c r="BG66" s="20" t="e">
        <f t="shared" si="7"/>
        <v>#NUM!</v>
      </c>
      <c r="BH66" s="59" t="e">
        <f t="shared" si="8"/>
        <v>#NUM!</v>
      </c>
      <c r="BI66" s="59">
        <f ca="1">AVERAGE(OFFSET($BH$3,0,0,'Données projet'!$E$11+1,1))-AVERAGE(OFFSET($H$3,0,0,'Données projet'!$E$11+1,1))</f>
        <v>207.91763299672158</v>
      </c>
      <c r="BJ66" s="59">
        <f t="shared" si="38"/>
        <v>230.81096055024483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3.8262554828451369</v>
      </c>
      <c r="BQ66" s="21">
        <f>EXP(-LN(2)/25)*BQ65+(1-EXP(-LN(2)/25))/(LN(2)/25)*Calculateur!BL66*Calculateur!BN66*VLOOKUP('Données projet'!$B$11,Paramètres!$A$1:$I$89,3,0)*0.475*44/12</f>
        <v>2.4122367814916554</v>
      </c>
      <c r="BR66" s="21">
        <f>EXP(-LN(2)/2)*BR65+(1-EXP(-LN(2)/2))/(LN(2)/2)*BL66*BO66*VLOOKUP('Données projet'!$B$11,Paramètres!$A$1:$I$89,3,0)*0.475*44/12</f>
        <v>3.191530416872937E-5</v>
      </c>
      <c r="BS66" s="22">
        <f t="shared" si="9"/>
        <v>6.2385241796409607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15.5</v>
      </c>
      <c r="N67" s="13">
        <f>IF('Données projet'!$A$36&gt;35,N66+M67-V66,IF(A67&lt;'Données projet'!$A$36,$K$205^A67,IF(A67='Données projet'!$A$36,'Données projet'!$B$36,N66+M67-V66)))</f>
        <v>330.49999999999989</v>
      </c>
      <c r="O67" s="13">
        <f>N67*VLOOKUP('Données projet'!$B$9,Paramètres!$A$1:$I$89,3,0)*VLOOKUP('Données projet'!$B$9,Paramètres!$A$1:$I$89,5,0)</f>
        <v>154.67399999999995</v>
      </c>
      <c r="P67" s="13">
        <f t="shared" si="33"/>
        <v>39.63886458604275</v>
      </c>
      <c r="Q67" s="20">
        <f t="shared" ref="Q67:Q98" si="54">(O67+P67)*0.475*44/12</f>
        <v>338.42823915402437</v>
      </c>
      <c r="R67" s="59">
        <f t="shared" ref="R67:R130" si="55">Q67+(I67+J67)*44/12</f>
        <v>631.76157248735763</v>
      </c>
      <c r="S67" s="59">
        <f ca="1">AVERAGE(OFFSET($R$3,0,0,'Données projet'!$E$9+1,1))-AVERAGE(OFFSET($H$3,0,0,'Données projet'!$E$9+1,1))</f>
        <v>319.22903094674564</v>
      </c>
      <c r="T67" s="59">
        <f t="shared" si="34"/>
        <v>254.58690973142848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4.6288525425370706</v>
      </c>
      <c r="AA67" s="21">
        <f>EXP(-LN(2)/25)*AA66+(1-EXP(-LN(2)/25))/(LN(2)/25)*Calculateur!V67*Calculateur!X67*VLOOKUP('Données projet'!$B$9,Paramètres!$A$1:$I$89,3,0)*0.475*44/12</f>
        <v>4.3443568646484243</v>
      </c>
      <c r="AB67" s="21">
        <f>EXP(-LN(2)/2)*AB66+(1-EXP(-LN(2)/2))/(LN(2)/2)*V67*Y67*VLOOKUP('Données projet'!$B$9,Paramètres!$A$1:$I$89,3,0)*0.475*44/12</f>
        <v>8.4252385281359705E-5</v>
      </c>
      <c r="AC67" s="22">
        <f t="shared" si="3"/>
        <v>8.9732936595707766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1.9895196601282805E-13</v>
      </c>
      <c r="AJ67" s="13">
        <f>AI67*VLOOKUP('Données projet'!$B$10,Paramètres!$A$1:$I$89,3,0)*VLOOKUP('Données projet'!$B$10,Paramètres!$A$1:$I$89,5,0)</f>
        <v>1.8001173884840681E-13</v>
      </c>
      <c r="AK67" s="13">
        <f t="shared" si="35"/>
        <v>2.5254331426407198E-12</v>
      </c>
      <c r="AL67" s="20">
        <f t="shared" si="4"/>
        <v>4.7119831685935622E-12</v>
      </c>
      <c r="AM67" s="59">
        <f t="shared" si="5"/>
        <v>293.33333333333803</v>
      </c>
      <c r="AN67" s="59">
        <f ca="1">AVERAGE(OFFSET($AM$3,0,0,'Données projet'!$E$10+1,1))-AVERAGE(OFFSET($H$3,0,0,'Données projet'!$E$10+1,1))</f>
        <v>302.6112905010138</v>
      </c>
      <c r="AO67" s="59">
        <f t="shared" si="36"/>
        <v>423.44006663873375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1.046357549892035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2.2857694565689599E-5</v>
      </c>
      <c r="AX67" s="21">
        <f t="shared" si="6"/>
        <v>1.0463804075866008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>
        <f>BD67*VLOOKUP('Données projet'!$B$11,Paramètres!$A$1:$I$89,3,0)*VLOOKUP('Données projet'!$B$11,Paramètres!$A$1:$I$89,5,0)</f>
        <v>0</v>
      </c>
      <c r="BF67" s="13" t="e">
        <f t="shared" si="37"/>
        <v>#NUM!</v>
      </c>
      <c r="BG67" s="20" t="e">
        <f t="shared" si="7"/>
        <v>#NUM!</v>
      </c>
      <c r="BH67" s="59" t="e">
        <f t="shared" si="8"/>
        <v>#NUM!</v>
      </c>
      <c r="BI67" s="59">
        <f ca="1">AVERAGE(OFFSET($BH$3,0,0,'Données projet'!$E$11+1,1))-AVERAGE(OFFSET($H$3,0,0,'Données projet'!$E$11+1,1))</f>
        <v>207.91763299672158</v>
      </c>
      <c r="BJ67" s="59">
        <f t="shared" si="38"/>
        <v>230.81096055024483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3.7512249466119463</v>
      </c>
      <c r="BQ67" s="21">
        <f>EXP(-LN(2)/25)*BQ66+(1-EXP(-LN(2)/25))/(LN(2)/25)*Calculateur!BL67*Calculateur!BN67*VLOOKUP('Données projet'!$B$11,Paramètres!$A$1:$I$89,3,0)*0.475*44/12</f>
        <v>2.3462740398477471</v>
      </c>
      <c r="BR67" s="21">
        <f>EXP(-LN(2)/2)*BR66+(1-EXP(-LN(2)/2))/(LN(2)/2)*BL67*BO67*VLOOKUP('Données projet'!$B$11,Paramètres!$A$1:$I$89,3,0)*0.475*44/12</f>
        <v>2.2567528001339827E-5</v>
      </c>
      <c r="BS67" s="22">
        <f t="shared" si="9"/>
        <v>6.0975215539876944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15.5</v>
      </c>
      <c r="N68" s="13">
        <f>IF('Données projet'!$A$36&gt;35,N67+M68-V67,IF(A68&lt;'Données projet'!$A$36,$K$205^A68,IF(A68='Données projet'!$A$36,'Données projet'!$B$36,N67+M68-V67)))</f>
        <v>345.99999999999989</v>
      </c>
      <c r="O68" s="13">
        <f>N68*VLOOKUP('Données projet'!$B$9,Paramètres!$A$1:$I$89,3,0)*VLOOKUP('Données projet'!$B$9,Paramètres!$A$1:$I$89,5,0)</f>
        <v>161.92799999999994</v>
      </c>
      <c r="P68" s="13">
        <f t="shared" si="33"/>
        <v>41.277077571585316</v>
      </c>
      <c r="Q68" s="20">
        <f t="shared" si="54"/>
        <v>353.91551010384433</v>
      </c>
      <c r="R68" s="59">
        <f t="shared" si="55"/>
        <v>647.24884343717758</v>
      </c>
      <c r="S68" s="59">
        <f ca="1">AVERAGE(OFFSET($R$3,0,0,'Données projet'!$E$9+1,1))-AVERAGE(OFFSET($H$3,0,0,'Données projet'!$E$9+1,1))</f>
        <v>319.22903094674564</v>
      </c>
      <c r="T68" s="59">
        <f t="shared" si="34"/>
        <v>254.58690973142848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4.5380835674991902</v>
      </c>
      <c r="AA68" s="21">
        <f>EXP(-LN(2)/25)*AA67+(1-EXP(-LN(2)/25))/(LN(2)/25)*Calculateur!V68*Calculateur!X68*VLOOKUP('Données projet'!$B$9,Paramètres!$A$1:$I$89,3,0)*0.475*44/12</f>
        <v>4.2255601977248149</v>
      </c>
      <c r="AB68" s="21">
        <f>EXP(-LN(2)/2)*AB67+(1-EXP(-LN(2)/2))/(LN(2)/2)*V68*Y68*VLOOKUP('Données projet'!$B$9,Paramètres!$A$1:$I$89,3,0)*0.475*44/12</f>
        <v>5.9575432963591118E-5</v>
      </c>
      <c r="AC68" s="22">
        <f t="shared" ref="AC68:AC131" si="57">SUM(Z68:AB68)</f>
        <v>8.7637033406569689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1.9895196601282805E-13</v>
      </c>
      <c r="AJ68" s="13">
        <f>AI68*VLOOKUP('Données projet'!$B$10,Paramètres!$A$1:$I$89,3,0)*VLOOKUP('Données projet'!$B$10,Paramètres!$A$1:$I$89,5,0)</f>
        <v>1.8001173884840681E-13</v>
      </c>
      <c r="AK68" s="13">
        <f t="shared" si="35"/>
        <v>2.5254331426407198E-12</v>
      </c>
      <c r="AL68" s="20">
        <f t="shared" ref="AL68:AL131" si="58">(AJ68+AK68)*0.475*44/12</f>
        <v>4.7119831685935622E-12</v>
      </c>
      <c r="AM68" s="59">
        <f t="shared" ref="AM68:AM131" si="59">AL68+(AD68+AE68)*44/12</f>
        <v>293.33333333333803</v>
      </c>
      <c r="AN68" s="59">
        <f ca="1">AVERAGE(OFFSET($AM$3,0,0,'Données projet'!$E$10+1,1))-AVERAGE(OFFSET($H$3,0,0,'Données projet'!$E$10+1,1))</f>
        <v>302.6112905010138</v>
      </c>
      <c r="AO68" s="59">
        <f t="shared" si="36"/>
        <v>423.44006663873375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1.025839116553739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1.6162830829690011E-5</v>
      </c>
      <c r="AX68" s="21">
        <f t="shared" ref="AX68:AX131" si="60">SUM(AU68:AW68)</f>
        <v>1.0258552793845688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>
        <f>BD68*VLOOKUP('Données projet'!$B$11,Paramètres!$A$1:$I$89,3,0)*VLOOKUP('Données projet'!$B$11,Paramètres!$A$1:$I$89,5,0)</f>
        <v>0</v>
      </c>
      <c r="BF68" s="13" t="e">
        <f t="shared" si="37"/>
        <v>#NUM!</v>
      </c>
      <c r="BG68" s="20" t="e">
        <f t="shared" ref="BG68:BG131" si="61">(BE68+BF68)*0.475*44/12</f>
        <v>#NUM!</v>
      </c>
      <c r="BH68" s="59" t="e">
        <f t="shared" ref="BH68:BH131" si="62">BG68+(AY68+AZ68)*44/12</f>
        <v>#NUM!</v>
      </c>
      <c r="BI68" s="59">
        <f ca="1">AVERAGE(OFFSET($BH$3,0,0,'Données projet'!$E$11+1,1))-AVERAGE(OFFSET($H$3,0,0,'Données projet'!$E$11+1,1))</f>
        <v>207.91763299672158</v>
      </c>
      <c r="BJ68" s="59">
        <f t="shared" si="38"/>
        <v>230.81096055024483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3.67766571343018</v>
      </c>
      <c r="BQ68" s="21">
        <f>EXP(-LN(2)/25)*BQ67+(1-EXP(-LN(2)/25))/(LN(2)/25)*Calculateur!BL68*Calculateur!BN68*VLOOKUP('Données projet'!$B$11,Paramètres!$A$1:$I$89,3,0)*0.475*44/12</f>
        <v>2.2821150528429213</v>
      </c>
      <c r="BR68" s="21">
        <f>EXP(-LN(2)/2)*BR67+(1-EXP(-LN(2)/2))/(LN(2)/2)*BL68*BO68*VLOOKUP('Données projet'!$B$11,Paramètres!$A$1:$I$89,3,0)*0.475*44/12</f>
        <v>1.5957652084364685E-5</v>
      </c>
      <c r="BS68" s="22">
        <f t="shared" ref="BS68:BS131" si="63">SUM(BP68:BR68)</f>
        <v>5.9597967239251854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15.5</v>
      </c>
      <c r="N69" s="13">
        <f>IF('Données projet'!$A$36&gt;35,N68+M69-V68,IF(A69&lt;'Données projet'!$A$36,$K$205^A69,IF(A69='Données projet'!$A$36,'Données projet'!$B$36,N68+M69-V68)))</f>
        <v>361.49999999999989</v>
      </c>
      <c r="O69" s="13">
        <f>N69*VLOOKUP('Données projet'!$B$9,Paramètres!$A$1:$I$89,3,0)*VLOOKUP('Données projet'!$B$9,Paramètres!$A$1:$I$89,5,0)</f>
        <v>169.18199999999996</v>
      </c>
      <c r="P69" s="13">
        <f t="shared" ref="P69:P132" si="87">EXP(-1.0587+0.8836*LN(O69)+0.284)</f>
        <v>42.906767398977124</v>
      </c>
      <c r="Q69" s="20">
        <f t="shared" si="54"/>
        <v>369.38793655321842</v>
      </c>
      <c r="R69" s="59">
        <f t="shared" si="55"/>
        <v>662.72126988655168</v>
      </c>
      <c r="S69" s="59">
        <f ca="1">AVERAGE(OFFSET($R$3,0,0,'Données projet'!$E$9+1,1))-AVERAGE(OFFSET($H$3,0,0,'Données projet'!$E$9+1,1))</f>
        <v>319.22903094674564</v>
      </c>
      <c r="T69" s="59">
        <f t="shared" ref="T69:T132" si="88">$T$3</f>
        <v>254.58690973142848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4.4490945166981941</v>
      </c>
      <c r="AA69" s="21">
        <f>EXP(-LN(2)/25)*AA68+(1-EXP(-LN(2)/25))/(LN(2)/25)*Calculateur!V69*Calculateur!X69*VLOOKUP('Données projet'!$B$9,Paramètres!$A$1:$I$89,3,0)*0.475*44/12</f>
        <v>4.1100120319054767</v>
      </c>
      <c r="AB69" s="21">
        <f>EXP(-LN(2)/2)*AB68+(1-EXP(-LN(2)/2))/(LN(2)/2)*V69*Y69*VLOOKUP('Données projet'!$B$9,Paramètres!$A$1:$I$89,3,0)*0.475*44/12</f>
        <v>4.212619264067986E-5</v>
      </c>
      <c r="AC69" s="22">
        <f t="shared" si="57"/>
        <v>8.5591486747963117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1.9895196601282805E-13</v>
      </c>
      <c r="AJ69" s="13">
        <f>AI69*VLOOKUP('Données projet'!$B$10,Paramètres!$A$1:$I$89,3,0)*VLOOKUP('Données projet'!$B$10,Paramètres!$A$1:$I$89,5,0)</f>
        <v>1.8001173884840681E-13</v>
      </c>
      <c r="AK69" s="13">
        <f t="shared" ref="AK69:AK132" si="89">EXP(-1.0587+0.8836*LN(AJ69)+0.284)</f>
        <v>2.5254331426407198E-12</v>
      </c>
      <c r="AL69" s="20">
        <f t="shared" si="58"/>
        <v>4.7119831685935622E-12</v>
      </c>
      <c r="AM69" s="59">
        <f t="shared" si="59"/>
        <v>293.33333333333803</v>
      </c>
      <c r="AN69" s="59">
        <f ca="1">AVERAGE(OFFSET($AM$3,0,0,'Données projet'!$E$10+1,1))-AVERAGE(OFFSET($H$3,0,0,'Données projet'!$E$10+1,1))</f>
        <v>302.6112905010138</v>
      </c>
      <c r="AO69" s="59">
        <f t="shared" ref="AO69:AO132" si="90">$AO$3</f>
        <v>423.44006663873375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1.0057230371781987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1.1428847282844799E-5</v>
      </c>
      <c r="AX69" s="21">
        <f t="shared" si="60"/>
        <v>1.0057344660254814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>
        <f>BD69*VLOOKUP('Données projet'!$B$11,Paramètres!$A$1:$I$89,3,0)*VLOOKUP('Données projet'!$B$11,Paramètres!$A$1:$I$89,5,0)</f>
        <v>0</v>
      </c>
      <c r="BF69" s="13" t="e">
        <f t="shared" ref="BF69:BF132" si="91">EXP(-1.0587+0.8836*LN(BE69)+0.284)</f>
        <v>#NUM!</v>
      </c>
      <c r="BG69" s="20" t="e">
        <f t="shared" si="61"/>
        <v>#NUM!</v>
      </c>
      <c r="BH69" s="59" t="e">
        <f t="shared" si="62"/>
        <v>#NUM!</v>
      </c>
      <c r="BI69" s="59">
        <f ca="1">AVERAGE(OFFSET($BH$3,0,0,'Données projet'!$E$11+1,1))-AVERAGE(OFFSET($H$3,0,0,'Données projet'!$E$11+1,1))</f>
        <v>207.91763299672158</v>
      </c>
      <c r="BJ69" s="59">
        <f t="shared" ref="BJ69:BJ132" si="92">$BJ$3</f>
        <v>230.81096055024483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3.6055489319444063</v>
      </c>
      <c r="BQ69" s="21">
        <f>EXP(-LN(2)/25)*BQ68+(1-EXP(-LN(2)/25))/(LN(2)/25)*Calculateur!BL69*Calculateur!BN69*VLOOKUP('Données projet'!$B$11,Paramètres!$A$1:$I$89,3,0)*0.475*44/12</f>
        <v>2.2197104967117167</v>
      </c>
      <c r="BR69" s="21">
        <f>EXP(-LN(2)/2)*BR68+(1-EXP(-LN(2)/2))/(LN(2)/2)*BL69*BO69*VLOOKUP('Données projet'!$B$11,Paramètres!$A$1:$I$89,3,0)*0.475*44/12</f>
        <v>1.1283764000669913E-5</v>
      </c>
      <c r="BS69" s="22">
        <f t="shared" si="63"/>
        <v>5.8252707124201235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15.5</v>
      </c>
      <c r="N70" s="13">
        <f>IF('Données projet'!$A$36&gt;35,N69+M70-V69,IF(A70&lt;'Données projet'!$A$36,$K$205^A70,IF(A70='Données projet'!$A$36,'Données projet'!$B$36,N69+M70-V69)))</f>
        <v>376.99999999999989</v>
      </c>
      <c r="O70" s="13">
        <f>N70*VLOOKUP('Données projet'!$B$9,Paramètres!$A$1:$I$89,3,0)*VLOOKUP('Données projet'!$B$9,Paramètres!$A$1:$I$89,5,0)</f>
        <v>176.43599999999992</v>
      </c>
      <c r="P70" s="13">
        <f t="shared" si="87"/>
        <v>44.52834129105058</v>
      </c>
      <c r="Q70" s="20">
        <f t="shared" si="54"/>
        <v>384.84622774857962</v>
      </c>
      <c r="R70" s="59">
        <f t="shared" si="55"/>
        <v>678.17956108191288</v>
      </c>
      <c r="S70" s="59">
        <f ca="1">AVERAGE(OFFSET($R$3,0,0,'Données projet'!$E$9+1,1))-AVERAGE(OFFSET($H$3,0,0,'Données projet'!$E$9+1,1))</f>
        <v>319.22903094674564</v>
      </c>
      <c r="T70" s="59">
        <f t="shared" si="88"/>
        <v>254.58690973142848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4.3618504869054444</v>
      </c>
      <c r="AA70" s="21">
        <f>EXP(-LN(2)/25)*AA69+(1-EXP(-LN(2)/25))/(LN(2)/25)*Calculateur!V70*Calculateur!X70*VLOOKUP('Données projet'!$B$9,Paramètres!$A$1:$I$89,3,0)*0.475*44/12</f>
        <v>3.9976235367568824</v>
      </c>
      <c r="AB70" s="21">
        <f>EXP(-LN(2)/2)*AB69+(1-EXP(-LN(2)/2))/(LN(2)/2)*V70*Y70*VLOOKUP('Données projet'!$B$9,Paramètres!$A$1:$I$89,3,0)*0.475*44/12</f>
        <v>2.9787716481795566E-5</v>
      </c>
      <c r="AC70" s="22">
        <f t="shared" si="57"/>
        <v>8.3595038113788078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1.9895196601282805E-13</v>
      </c>
      <c r="AJ70" s="13">
        <f>AI70*VLOOKUP('Données projet'!$B$10,Paramètres!$A$1:$I$89,3,0)*VLOOKUP('Données projet'!$B$10,Paramètres!$A$1:$I$89,5,0)</f>
        <v>1.8001173884840681E-13</v>
      </c>
      <c r="AK70" s="13">
        <f t="shared" si="89"/>
        <v>2.5254331426407198E-12</v>
      </c>
      <c r="AL70" s="20">
        <f t="shared" si="58"/>
        <v>4.7119831685935622E-12</v>
      </c>
      <c r="AM70" s="59">
        <f t="shared" si="59"/>
        <v>293.33333333333803</v>
      </c>
      <c r="AN70" s="59">
        <f ca="1">AVERAGE(OFFSET($AM$3,0,0,'Données projet'!$E$10+1,1))-AVERAGE(OFFSET($H$3,0,0,'Données projet'!$E$10+1,1))</f>
        <v>302.6112905010138</v>
      </c>
      <c r="AO70" s="59">
        <f t="shared" si="90"/>
        <v>423.44006663873375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0.98600142184961559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8.0814154148450056E-6</v>
      </c>
      <c r="AX70" s="21">
        <f t="shared" si="60"/>
        <v>0.98600950326503045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>
        <f>BD70*VLOOKUP('Données projet'!$B$11,Paramètres!$A$1:$I$89,3,0)*VLOOKUP('Données projet'!$B$11,Paramètres!$A$1:$I$89,5,0)</f>
        <v>0</v>
      </c>
      <c r="BF70" s="13" t="e">
        <f t="shared" si="91"/>
        <v>#NUM!</v>
      </c>
      <c r="BG70" s="20" t="e">
        <f t="shared" si="61"/>
        <v>#NUM!</v>
      </c>
      <c r="BH70" s="59" t="e">
        <f t="shared" si="62"/>
        <v>#NUM!</v>
      </c>
      <c r="BI70" s="59">
        <f ca="1">AVERAGE(OFFSET($BH$3,0,0,'Données projet'!$E$11+1,1))-AVERAGE(OFFSET($H$3,0,0,'Données projet'!$E$11+1,1))</f>
        <v>207.91763299672158</v>
      </c>
      <c r="BJ70" s="59">
        <f t="shared" si="92"/>
        <v>230.81096055024483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3.534846316556675</v>
      </c>
      <c r="BQ70" s="21">
        <f>EXP(-LN(2)/25)*BQ69+(1-EXP(-LN(2)/25))/(LN(2)/25)*Calculateur!BL70*Calculateur!BN70*VLOOKUP('Données projet'!$B$11,Paramètres!$A$1:$I$89,3,0)*0.475*44/12</f>
        <v>2.1590123964496328</v>
      </c>
      <c r="BR70" s="21">
        <f>EXP(-LN(2)/2)*BR69+(1-EXP(-LN(2)/2))/(LN(2)/2)*BL70*BO70*VLOOKUP('Données projet'!$B$11,Paramètres!$A$1:$I$89,3,0)*0.475*44/12</f>
        <v>7.9788260421823425E-6</v>
      </c>
      <c r="BS70" s="22">
        <f t="shared" si="63"/>
        <v>5.6938666918323504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15.5</v>
      </c>
      <c r="N71" s="13">
        <f>IF('Données projet'!$A$36&gt;35,N70+M71-V70,IF(A71&lt;'Données projet'!$A$36,$K$205^A71,IF(A71='Données projet'!$A$36,'Données projet'!$B$36,N70+M71-V70)))</f>
        <v>392.49999999999989</v>
      </c>
      <c r="O71" s="13">
        <f>N71*VLOOKUP('Données projet'!$B$9,Paramètres!$A$1:$I$89,3,0)*VLOOKUP('Données projet'!$B$9,Paramètres!$A$1:$I$89,5,0)</f>
        <v>183.68999999999994</v>
      </c>
      <c r="P71" s="13">
        <f t="shared" si="87"/>
        <v>46.14217109072662</v>
      </c>
      <c r="Q71" s="20">
        <f t="shared" si="54"/>
        <v>400.29103131634878</v>
      </c>
      <c r="R71" s="59">
        <f t="shared" si="55"/>
        <v>693.62436464968209</v>
      </c>
      <c r="S71" s="59">
        <f ca="1">AVERAGE(OFFSET($R$3,0,0,'Données projet'!$E$9+1,1))-AVERAGE(OFFSET($H$3,0,0,'Données projet'!$E$9+1,1))</f>
        <v>319.22903094674564</v>
      </c>
      <c r="T71" s="59">
        <f t="shared" si="88"/>
        <v>254.58690973142848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4.2763172593233261</v>
      </c>
      <c r="AA71" s="21">
        <f>EXP(-LN(2)/25)*AA70+(1-EXP(-LN(2)/25))/(LN(2)/25)*Calculateur!V71*Calculateur!X71*VLOOKUP('Données projet'!$B$9,Paramètres!$A$1:$I$89,3,0)*0.475*44/12</f>
        <v>3.8883083109183803</v>
      </c>
      <c r="AB71" s="21">
        <f>EXP(-LN(2)/2)*AB70+(1-EXP(-LN(2)/2))/(LN(2)/2)*V71*Y71*VLOOKUP('Données projet'!$B$9,Paramètres!$A$1:$I$89,3,0)*0.475*44/12</f>
        <v>2.1063096320339933E-5</v>
      </c>
      <c r="AC71" s="22">
        <f t="shared" si="57"/>
        <v>8.1646466333380268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1.9895196601282805E-13</v>
      </c>
      <c r="AJ71" s="13">
        <f>AI71*VLOOKUP('Données projet'!$B$10,Paramètres!$A$1:$I$89,3,0)*VLOOKUP('Données projet'!$B$10,Paramètres!$A$1:$I$89,5,0)</f>
        <v>1.8001173884840681E-13</v>
      </c>
      <c r="AK71" s="13">
        <f t="shared" si="89"/>
        <v>2.5254331426407198E-12</v>
      </c>
      <c r="AL71" s="20">
        <f t="shared" si="58"/>
        <v>4.7119831685935622E-12</v>
      </c>
      <c r="AM71" s="59">
        <f t="shared" si="59"/>
        <v>293.33333333333803</v>
      </c>
      <c r="AN71" s="59">
        <f ca="1">AVERAGE(OFFSET($AM$3,0,0,'Données projet'!$E$10+1,1))-AVERAGE(OFFSET($H$3,0,0,'Données projet'!$E$10+1,1))</f>
        <v>302.6112905010138</v>
      </c>
      <c r="AO71" s="59">
        <f t="shared" si="90"/>
        <v>423.44006663873375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0.96666653536862845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5.7144236414223996E-6</v>
      </c>
      <c r="AX71" s="21">
        <f t="shared" si="60"/>
        <v>0.96667224979226984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>
        <f>BD71*VLOOKUP('Données projet'!$B$11,Paramètres!$A$1:$I$89,3,0)*VLOOKUP('Données projet'!$B$11,Paramètres!$A$1:$I$89,5,0)</f>
        <v>0</v>
      </c>
      <c r="BF71" s="13" t="e">
        <f t="shared" si="91"/>
        <v>#NUM!</v>
      </c>
      <c r="BG71" s="20" t="e">
        <f t="shared" si="61"/>
        <v>#NUM!</v>
      </c>
      <c r="BH71" s="59" t="e">
        <f t="shared" si="62"/>
        <v>#NUM!</v>
      </c>
      <c r="BI71" s="59">
        <f ca="1">AVERAGE(OFFSET($BH$3,0,0,'Données projet'!$E$11+1,1))-AVERAGE(OFFSET($H$3,0,0,'Données projet'!$E$11+1,1))</f>
        <v>207.91763299672158</v>
      </c>
      <c r="BJ71" s="59">
        <f t="shared" si="92"/>
        <v>230.81096055024483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3.4655301363323603</v>
      </c>
      <c r="BQ71" s="21">
        <f>EXP(-LN(2)/25)*BQ70+(1-EXP(-LN(2)/25))/(LN(2)/25)*Calculateur!BL71*Calculateur!BN71*VLOOKUP('Données projet'!$B$11,Paramètres!$A$1:$I$89,3,0)*0.475*44/12</f>
        <v>2.09997408893119</v>
      </c>
      <c r="BR71" s="21">
        <f>EXP(-LN(2)/2)*BR70+(1-EXP(-LN(2)/2))/(LN(2)/2)*BL71*BO71*VLOOKUP('Données projet'!$B$11,Paramètres!$A$1:$I$89,3,0)*0.475*44/12</f>
        <v>5.6418820003349567E-6</v>
      </c>
      <c r="BS71" s="22">
        <f t="shared" si="63"/>
        <v>5.5655098671455514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15.5</v>
      </c>
      <c r="N72" s="13">
        <f>IF('Données projet'!$A$36&gt;35,N71+M72-V71,IF(A72&lt;'Données projet'!$A$36,$K$205^A72,IF(A72='Données projet'!$A$36,'Données projet'!$B$36,N71+M72-V71)))</f>
        <v>407.99999999999989</v>
      </c>
      <c r="O72" s="13">
        <f>N72*VLOOKUP('Données projet'!$B$9,Paramètres!$A$1:$I$89,3,0)*VLOOKUP('Données projet'!$B$9,Paramètres!$A$1:$I$89,5,0)</f>
        <v>190.94399999999996</v>
      </c>
      <c r="P72" s="13">
        <f t="shared" si="87"/>
        <v>47.748597609826554</v>
      </c>
      <c r="Q72" s="20">
        <f t="shared" si="54"/>
        <v>415.72294083711449</v>
      </c>
      <c r="R72" s="59">
        <f t="shared" si="55"/>
        <v>709.05627417044775</v>
      </c>
      <c r="S72" s="59">
        <f ca="1">AVERAGE(OFFSET($R$3,0,0,'Données projet'!$E$9+1,1))-AVERAGE(OFFSET($H$3,0,0,'Données projet'!$E$9+1,1))</f>
        <v>319.22903094674564</v>
      </c>
      <c r="T72" s="59">
        <f t="shared" si="88"/>
        <v>254.58690973142848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4.1924612861639758</v>
      </c>
      <c r="AA72" s="21">
        <f>EXP(-LN(2)/25)*AA71+(1-EXP(-LN(2)/25))/(LN(2)/25)*Calculateur!V72*Calculateur!X72*VLOOKUP('Données projet'!$B$9,Paramètres!$A$1:$I$89,3,0)*0.475*44/12</f>
        <v>3.7819823156790697</v>
      </c>
      <c r="AB72" s="21">
        <f>EXP(-LN(2)/2)*AB71+(1-EXP(-LN(2)/2))/(LN(2)/2)*V72*Y72*VLOOKUP('Données projet'!$B$9,Paramètres!$A$1:$I$89,3,0)*0.475*44/12</f>
        <v>1.4893858240897785E-5</v>
      </c>
      <c r="AC72" s="22">
        <f t="shared" si="57"/>
        <v>7.9744584957012865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1.9895196601282805E-13</v>
      </c>
      <c r="AJ72" s="13">
        <f>AI72*VLOOKUP('Données projet'!$B$10,Paramètres!$A$1:$I$89,3,0)*VLOOKUP('Données projet'!$B$10,Paramètres!$A$1:$I$89,5,0)</f>
        <v>1.8001173884840681E-13</v>
      </c>
      <c r="AK72" s="13">
        <f t="shared" si="89"/>
        <v>2.5254331426407198E-12</v>
      </c>
      <c r="AL72" s="20">
        <f t="shared" si="58"/>
        <v>4.7119831685935622E-12</v>
      </c>
      <c r="AM72" s="59">
        <f t="shared" si="59"/>
        <v>293.33333333333803</v>
      </c>
      <c r="AN72" s="59">
        <f ca="1">AVERAGE(OFFSET($AM$3,0,0,'Données projet'!$E$10+1,1))-AVERAGE(OFFSET($H$3,0,0,'Données projet'!$E$10+1,1))</f>
        <v>302.6112905010138</v>
      </c>
      <c r="AO72" s="59">
        <f t="shared" si="90"/>
        <v>423.44006663873375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0.9477107942184172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4.0407077074225028E-6</v>
      </c>
      <c r="AX72" s="21">
        <f t="shared" si="60"/>
        <v>0.94771483492612463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>
        <f>BD72*VLOOKUP('Données projet'!$B$11,Paramètres!$A$1:$I$89,3,0)*VLOOKUP('Données projet'!$B$11,Paramètres!$A$1:$I$89,5,0)</f>
        <v>0</v>
      </c>
      <c r="BF72" s="13" t="e">
        <f t="shared" si="91"/>
        <v>#NUM!</v>
      </c>
      <c r="BG72" s="20" t="e">
        <f t="shared" si="61"/>
        <v>#NUM!</v>
      </c>
      <c r="BH72" s="59" t="e">
        <f t="shared" si="62"/>
        <v>#NUM!</v>
      </c>
      <c r="BI72" s="59">
        <f ca="1">AVERAGE(OFFSET($BH$3,0,0,'Données projet'!$E$11+1,1))-AVERAGE(OFFSET($H$3,0,0,'Données projet'!$E$11+1,1))</f>
        <v>207.91763299672158</v>
      </c>
      <c r="BJ72" s="59">
        <f t="shared" si="92"/>
        <v>230.81096055024483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3.3975732041235491</v>
      </c>
      <c r="BQ72" s="21">
        <f>EXP(-LN(2)/25)*BQ71+(1-EXP(-LN(2)/25))/(LN(2)/25)*Calculateur!BL72*Calculateur!BN72*VLOOKUP('Données projet'!$B$11,Paramètres!$A$1:$I$89,3,0)*0.475*44/12</f>
        <v>2.0425501870365288</v>
      </c>
      <c r="BR72" s="21">
        <f>EXP(-LN(2)/2)*BR71+(1-EXP(-LN(2)/2))/(LN(2)/2)*BL72*BO72*VLOOKUP('Données projet'!$B$11,Paramètres!$A$1:$I$89,3,0)*0.475*44/12</f>
        <v>3.9894130210911712E-6</v>
      </c>
      <c r="BS72" s="22">
        <f t="shared" si="63"/>
        <v>5.4401273805730996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423.5</v>
      </c>
      <c r="L73" s="12">
        <f>VLOOKUP(A73,'Données projet'!$A$35:$I$55,9,0)</f>
        <v>15.5</v>
      </c>
      <c r="M73" s="12">
        <f t="array" ref="M73">INDEX(L:L,MIN(IF(ISNUMBER(L73:L269),ROW(L73:L269),"")))</f>
        <v>15.5</v>
      </c>
      <c r="N73" s="13">
        <f>IF('Données projet'!$A$36&gt;35,N72+M73-V72,IF(A73&lt;'Données projet'!$A$36,$K$205^A73,IF(A73='Données projet'!$A$36,'Données projet'!$B$36,N72+M73-V72)))</f>
        <v>423.49999999999989</v>
      </c>
      <c r="O73" s="13">
        <f>N73*VLOOKUP('Données projet'!$B$9,Paramètres!$A$1:$I$89,3,0)*VLOOKUP('Données projet'!$B$9,Paramètres!$A$1:$I$89,5,0)</f>
        <v>198.19799999999995</v>
      </c>
      <c r="P73" s="13">
        <f t="shared" si="87"/>
        <v>49.347934298451406</v>
      </c>
      <c r="Q73" s="20">
        <f t="shared" si="54"/>
        <v>431.14250223646945</v>
      </c>
      <c r="R73" s="59">
        <f t="shared" si="55"/>
        <v>724.47583556980271</v>
      </c>
      <c r="S73" s="59">
        <f ca="1">AVERAGE(OFFSET($R$3,0,0,'Données projet'!$E$9+1,1))-AVERAGE(OFFSET($H$3,0,0,'Données projet'!$E$9+1,1))</f>
        <v>319.22903094674564</v>
      </c>
      <c r="T73" s="59">
        <f t="shared" si="88"/>
        <v>254.58690973142848</v>
      </c>
      <c r="U73" s="15">
        <f>IF(ISNA(VLOOKUP(A73,'Données projet'!$A$35:$I$55,3,0)),0,VLOOKUP(A73,'Données projet'!$A$35:$I$55,3,0))</f>
        <v>6</v>
      </c>
      <c r="V73" s="15">
        <f>IF(ISNA(VLOOKUP(A73,'Données projet'!$A$35:$I$55,4,0)),0,VLOOKUP(A73,'Données projet'!$A$35:$I$55,4,0))</f>
        <v>87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4.1102496774911872</v>
      </c>
      <c r="AA73" s="21">
        <f>EXP(-LN(2)/25)*AA72+(1-EXP(-LN(2)/25))/(LN(2)/25)*Calculateur!V73*Calculateur!X73*VLOOKUP('Données projet'!$B$9,Paramètres!$A$1:$I$89,3,0)*0.475*44/12</f>
        <v>3.6785638103710192</v>
      </c>
      <c r="AB73" s="21">
        <f>EXP(-LN(2)/2)*AB72+(1-EXP(-LN(2)/2))/(LN(2)/2)*V73*Y73*VLOOKUP('Données projet'!$B$9,Paramètres!$A$1:$I$89,3,0)*0.475*44/12</f>
        <v>1.0531548160169968E-5</v>
      </c>
      <c r="AC73" s="22">
        <f t="shared" si="57"/>
        <v>7.7888240194103666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1.9895196601282805E-13</v>
      </c>
      <c r="AJ73" s="13">
        <f>AI73*VLOOKUP('Données projet'!$B$10,Paramètres!$A$1:$I$89,3,0)*VLOOKUP('Données projet'!$B$10,Paramètres!$A$1:$I$89,5,0)</f>
        <v>1.8001173884840681E-13</v>
      </c>
      <c r="AK73" s="13">
        <f t="shared" si="89"/>
        <v>2.5254331426407198E-12</v>
      </c>
      <c r="AL73" s="20">
        <f t="shared" si="58"/>
        <v>4.7119831685935622E-12</v>
      </c>
      <c r="AM73" s="59">
        <f t="shared" si="59"/>
        <v>293.33333333333803</v>
      </c>
      <c r="AN73" s="59">
        <f ca="1">AVERAGE(OFFSET($AM$3,0,0,'Données projet'!$E$10+1,1))-AVERAGE(OFFSET($H$3,0,0,'Données projet'!$E$10+1,1))</f>
        <v>302.6112905010138</v>
      </c>
      <c r="AO73" s="59">
        <f t="shared" si="90"/>
        <v>423.44006663873375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0.92912676359030111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2.8572118207111998E-6</v>
      </c>
      <c r="AX73" s="21">
        <f t="shared" si="60"/>
        <v>0.9291296208021218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>
        <f>BD73*VLOOKUP('Données projet'!$B$11,Paramètres!$A$1:$I$89,3,0)*VLOOKUP('Données projet'!$B$11,Paramètres!$A$1:$I$89,5,0)</f>
        <v>0</v>
      </c>
      <c r="BF73" s="13" t="e">
        <f t="shared" si="91"/>
        <v>#NUM!</v>
      </c>
      <c r="BG73" s="20" t="e">
        <f t="shared" si="61"/>
        <v>#NUM!</v>
      </c>
      <c r="BH73" s="59" t="e">
        <f t="shared" si="62"/>
        <v>#NUM!</v>
      </c>
      <c r="BI73" s="59">
        <f ca="1">AVERAGE(OFFSET($BH$3,0,0,'Données projet'!$E$11+1,1))-AVERAGE(OFFSET($H$3,0,0,'Données projet'!$E$11+1,1))</f>
        <v>207.91763299672158</v>
      </c>
      <c r="BJ73" s="59">
        <f t="shared" si="92"/>
        <v>230.81096055024483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3.3309488659057167</v>
      </c>
      <c r="BQ73" s="21">
        <f>EXP(-LN(2)/25)*BQ72+(1-EXP(-LN(2)/25))/(LN(2)/25)*Calculateur!BL73*Calculateur!BN73*VLOOKUP('Données projet'!$B$11,Paramètres!$A$1:$I$89,3,0)*0.475*44/12</f>
        <v>1.9866965447589688</v>
      </c>
      <c r="BR73" s="21">
        <f>EXP(-LN(2)/2)*BR72+(1-EXP(-LN(2)/2))/(LN(2)/2)*BL73*BO73*VLOOKUP('Données projet'!$B$11,Paramètres!$A$1:$I$89,3,0)*0.475*44/12</f>
        <v>2.8209410001674784E-6</v>
      </c>
      <c r="BS73" s="22">
        <f t="shared" si="63"/>
        <v>5.317648231605685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17</v>
      </c>
      <c r="N74" s="13">
        <f>IF('Données projet'!$A$36&gt;35,N73+M74-V73,IF(A74&lt;'Données projet'!$A$36,$K$205^A74,IF(A74='Données projet'!$A$36,'Données projet'!$B$36,N73+M74-V73)))</f>
        <v>353.49999999999989</v>
      </c>
      <c r="O74" s="13">
        <f>N74*VLOOKUP('Données projet'!$B$9,Paramètres!$A$1:$I$89,3,0)*VLOOKUP('Données projet'!$B$9,Paramètres!$A$1:$I$89,5,0)</f>
        <v>165.43799999999993</v>
      </c>
      <c r="P74" s="13">
        <f t="shared" si="87"/>
        <v>42.066675415215769</v>
      </c>
      <c r="Q74" s="20">
        <f t="shared" si="54"/>
        <v>361.40397634816736</v>
      </c>
      <c r="R74" s="59">
        <f t="shared" si="55"/>
        <v>654.73730968150062</v>
      </c>
      <c r="S74" s="59">
        <f ca="1">AVERAGE(OFFSET($R$3,0,0,'Données projet'!$E$9+1,1))-AVERAGE(OFFSET($H$3,0,0,'Données projet'!$E$9+1,1))</f>
        <v>319.22903094674564</v>
      </c>
      <c r="T74" s="59">
        <f t="shared" si="88"/>
        <v>254.58690973142848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4.0296501883203417</v>
      </c>
      <c r="AA74" s="21">
        <f>EXP(-LN(2)/25)*AA73+(1-EXP(-LN(2)/25))/(LN(2)/25)*Calculateur!V74*Calculateur!X74*VLOOKUP('Données projet'!$B$9,Paramètres!$A$1:$I$89,3,0)*0.475*44/12</f>
        <v>3.5779732895291603</v>
      </c>
      <c r="AB74" s="21">
        <f>EXP(-LN(2)/2)*AB73+(1-EXP(-LN(2)/2))/(LN(2)/2)*V74*Y74*VLOOKUP('Données projet'!$B$9,Paramètres!$A$1:$I$89,3,0)*0.475*44/12</f>
        <v>7.4469291204488931E-6</v>
      </c>
      <c r="AC74" s="22">
        <f t="shared" si="57"/>
        <v>7.6076309247786229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1.9895196601282805E-13</v>
      </c>
      <c r="AJ74" s="13">
        <f>AI74*VLOOKUP('Données projet'!$B$10,Paramètres!$A$1:$I$89,3,0)*VLOOKUP('Données projet'!$B$10,Paramètres!$A$1:$I$89,5,0)</f>
        <v>1.8001173884840681E-13</v>
      </c>
      <c r="AK74" s="13">
        <f t="shared" si="89"/>
        <v>2.5254331426407198E-12</v>
      </c>
      <c r="AL74" s="20">
        <f t="shared" si="58"/>
        <v>4.7119831685935622E-12</v>
      </c>
      <c r="AM74" s="59">
        <f t="shared" si="59"/>
        <v>293.33333333333803</v>
      </c>
      <c r="AN74" s="59">
        <f ca="1">AVERAGE(OFFSET($AM$3,0,0,'Données projet'!$E$10+1,1))-AVERAGE(OFFSET($H$3,0,0,'Données projet'!$E$10+1,1))</f>
        <v>302.6112905010138</v>
      </c>
      <c r="AO74" s="59">
        <f t="shared" si="90"/>
        <v>423.44006663873375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0.91090715446766302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2.0203538537112514E-6</v>
      </c>
      <c r="AX74" s="21">
        <f t="shared" si="60"/>
        <v>0.91090917482151668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>
        <f>BD74*VLOOKUP('Données projet'!$B$11,Paramètres!$A$1:$I$89,3,0)*VLOOKUP('Données projet'!$B$11,Paramètres!$A$1:$I$89,5,0)</f>
        <v>0</v>
      </c>
      <c r="BF74" s="13" t="e">
        <f t="shared" si="91"/>
        <v>#NUM!</v>
      </c>
      <c r="BG74" s="20" t="e">
        <f t="shared" si="61"/>
        <v>#NUM!</v>
      </c>
      <c r="BH74" s="59" t="e">
        <f t="shared" si="62"/>
        <v>#NUM!</v>
      </c>
      <c r="BI74" s="59">
        <f ca="1">AVERAGE(OFFSET($BH$3,0,0,'Données projet'!$E$11+1,1))-AVERAGE(OFFSET($H$3,0,0,'Données projet'!$E$11+1,1))</f>
        <v>207.91763299672158</v>
      </c>
      <c r="BJ74" s="59">
        <f t="shared" si="92"/>
        <v>230.81096055024483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3.2656309903235021</v>
      </c>
      <c r="BQ74" s="21">
        <f>EXP(-LN(2)/25)*BQ73+(1-EXP(-LN(2)/25))/(LN(2)/25)*Calculateur!BL74*Calculateur!BN74*VLOOKUP('Données projet'!$B$11,Paramètres!$A$1:$I$89,3,0)*0.475*44/12</f>
        <v>1.9323702232667042</v>
      </c>
      <c r="BR74" s="21">
        <f>EXP(-LN(2)/2)*BR73+(1-EXP(-LN(2)/2))/(LN(2)/2)*BL74*BO74*VLOOKUP('Données projet'!$B$11,Paramètres!$A$1:$I$89,3,0)*0.475*44/12</f>
        <v>1.9947065105455856E-6</v>
      </c>
      <c r="BS74" s="22">
        <f t="shared" si="63"/>
        <v>5.1980032082967167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17</v>
      </c>
      <c r="N75" s="13">
        <f>IF('Données projet'!$A$36&gt;35,N74+M75-V74,IF(A75&lt;'Données projet'!$A$36,$K$205^A75,IF(A75='Données projet'!$A$36,'Données projet'!$B$36,N74+M75-V74)))</f>
        <v>370.49999999999989</v>
      </c>
      <c r="O75" s="13">
        <f>N75*VLOOKUP('Données projet'!$B$9,Paramètres!$A$1:$I$89,3,0)*VLOOKUP('Données projet'!$B$9,Paramètres!$A$1:$I$89,5,0)</f>
        <v>173.39399999999998</v>
      </c>
      <c r="P75" s="13">
        <f t="shared" si="87"/>
        <v>43.849289930196633</v>
      </c>
      <c r="Q75" s="20">
        <f t="shared" si="54"/>
        <v>378.36539662842574</v>
      </c>
      <c r="R75" s="59">
        <f t="shared" si="55"/>
        <v>671.698729961759</v>
      </c>
      <c r="S75" s="59">
        <f ca="1">AVERAGE(OFFSET($R$3,0,0,'Données projet'!$E$9+1,1))-AVERAGE(OFFSET($H$3,0,0,'Données projet'!$E$9+1,1))</f>
        <v>319.22903094674564</v>
      </c>
      <c r="T75" s="59">
        <f t="shared" si="88"/>
        <v>254.58690973142848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3.9506312059713027</v>
      </c>
      <c r="AA75" s="21">
        <f>EXP(-LN(2)/25)*AA74+(1-EXP(-LN(2)/25))/(LN(2)/25)*Calculateur!V75*Calculateur!X75*VLOOKUP('Données projet'!$B$9,Paramètres!$A$1:$I$89,3,0)*0.475*44/12</f>
        <v>3.4801334217695477</v>
      </c>
      <c r="AB75" s="21">
        <f>EXP(-LN(2)/2)*AB74+(1-EXP(-LN(2)/2))/(LN(2)/2)*V75*Y75*VLOOKUP('Données projet'!$B$9,Paramètres!$A$1:$I$89,3,0)*0.475*44/12</f>
        <v>5.265774080084985E-6</v>
      </c>
      <c r="AC75" s="22">
        <f t="shared" si="57"/>
        <v>7.4307698935149302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1.9895196601282805E-13</v>
      </c>
      <c r="AJ75" s="13">
        <f>AI75*VLOOKUP('Données projet'!$B$10,Paramètres!$A$1:$I$89,3,0)*VLOOKUP('Données projet'!$B$10,Paramètres!$A$1:$I$89,5,0)</f>
        <v>1.8001173884840681E-13</v>
      </c>
      <c r="AK75" s="13">
        <f t="shared" si="89"/>
        <v>2.5254331426407198E-12</v>
      </c>
      <c r="AL75" s="20">
        <f t="shared" si="58"/>
        <v>4.7119831685935622E-12</v>
      </c>
      <c r="AM75" s="59">
        <f t="shared" si="59"/>
        <v>293.33333333333803</v>
      </c>
      <c r="AN75" s="59">
        <f ca="1">AVERAGE(OFFSET($AM$3,0,0,'Données projet'!$E$10+1,1))-AVERAGE(OFFSET($H$3,0,0,'Données projet'!$E$10+1,1))</f>
        <v>302.6112905010138</v>
      </c>
      <c r="AO75" s="59">
        <f t="shared" si="90"/>
        <v>423.44006663873375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0.8930448207670556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1.4286059103555999E-6</v>
      </c>
      <c r="AX75" s="21">
        <f t="shared" si="60"/>
        <v>0.89304624937296595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>
        <f>BD75*VLOOKUP('Données projet'!$B$11,Paramètres!$A$1:$I$89,3,0)*VLOOKUP('Données projet'!$B$11,Paramètres!$A$1:$I$89,5,0)</f>
        <v>0</v>
      </c>
      <c r="BF75" s="13" t="e">
        <f t="shared" si="91"/>
        <v>#NUM!</v>
      </c>
      <c r="BG75" s="20" t="e">
        <f t="shared" si="61"/>
        <v>#NUM!</v>
      </c>
      <c r="BH75" s="59" t="e">
        <f t="shared" si="62"/>
        <v>#NUM!</v>
      </c>
      <c r="BI75" s="59">
        <f ca="1">AVERAGE(OFFSET($BH$3,0,0,'Données projet'!$E$11+1,1))-AVERAGE(OFFSET($H$3,0,0,'Données projet'!$E$11+1,1))</f>
        <v>207.91763299672158</v>
      </c>
      <c r="BJ75" s="59">
        <f t="shared" si="92"/>
        <v>230.81096055024483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3.2015939584414848</v>
      </c>
      <c r="BQ75" s="21">
        <f>EXP(-LN(2)/25)*BQ74+(1-EXP(-LN(2)/25))/(LN(2)/25)*Calculateur!BL75*Calculateur!BN75*VLOOKUP('Données projet'!$B$11,Paramètres!$A$1:$I$89,3,0)*0.475*44/12</f>
        <v>1.8795294578925426</v>
      </c>
      <c r="BR75" s="21">
        <f>EXP(-LN(2)/2)*BR74+(1-EXP(-LN(2)/2))/(LN(2)/2)*BL75*BO75*VLOOKUP('Données projet'!$B$11,Paramètres!$A$1:$I$89,3,0)*0.475*44/12</f>
        <v>1.4104705000837392E-6</v>
      </c>
      <c r="BS75" s="22">
        <f t="shared" si="63"/>
        <v>5.0811248268045279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17</v>
      </c>
      <c r="N76" s="13">
        <f>IF('Données projet'!$A$36&gt;35,N75+M76-V75,IF(A76&lt;'Données projet'!$A$36,$K$205^A76,IF(A76='Données projet'!$A$36,'Données projet'!$B$36,N75+M76-V75)))</f>
        <v>387.49999999999989</v>
      </c>
      <c r="O76" s="13">
        <f>N76*VLOOKUP('Données projet'!$B$9,Paramètres!$A$1:$I$89,3,0)*VLOOKUP('Données projet'!$B$9,Paramètres!$A$1:$I$89,5,0)</f>
        <v>181.34999999999994</v>
      </c>
      <c r="P76" s="13">
        <f t="shared" si="87"/>
        <v>45.622405555921837</v>
      </c>
      <c r="Q76" s="20">
        <f t="shared" si="54"/>
        <v>395.310273009897</v>
      </c>
      <c r="R76" s="59">
        <f t="shared" si="55"/>
        <v>688.64360634323032</v>
      </c>
      <c r="S76" s="59">
        <f ca="1">AVERAGE(OFFSET($R$3,0,0,'Données projet'!$E$9+1,1))-AVERAGE(OFFSET($H$3,0,0,'Données projet'!$E$9+1,1))</f>
        <v>319.22903094674564</v>
      </c>
      <c r="T76" s="59">
        <f t="shared" si="88"/>
        <v>254.58690973142848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3.8731617376693084</v>
      </c>
      <c r="AA76" s="21">
        <f>EXP(-LN(2)/25)*AA75+(1-EXP(-LN(2)/25))/(LN(2)/25)*Calculateur!V76*Calculateur!X76*VLOOKUP('Données projet'!$B$9,Paramètres!$A$1:$I$89,3,0)*0.475*44/12</f>
        <v>3.3849689903389968</v>
      </c>
      <c r="AB76" s="21">
        <f>EXP(-LN(2)/2)*AB75+(1-EXP(-LN(2)/2))/(LN(2)/2)*V76*Y76*VLOOKUP('Données projet'!$B$9,Paramètres!$A$1:$I$89,3,0)*0.475*44/12</f>
        <v>3.7234645602244474E-6</v>
      </c>
      <c r="AC76" s="22">
        <f t="shared" si="57"/>
        <v>7.2581344514728654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1.9895196601282805E-13</v>
      </c>
      <c r="AJ76" s="13">
        <f>AI76*VLOOKUP('Données projet'!$B$10,Paramètres!$A$1:$I$89,3,0)*VLOOKUP('Données projet'!$B$10,Paramètres!$A$1:$I$89,5,0)</f>
        <v>1.8001173884840681E-13</v>
      </c>
      <c r="AK76" s="13">
        <f t="shared" si="89"/>
        <v>2.5254331426407198E-12</v>
      </c>
      <c r="AL76" s="20">
        <f t="shared" si="58"/>
        <v>4.7119831685935622E-12</v>
      </c>
      <c r="AM76" s="59">
        <f t="shared" si="59"/>
        <v>293.33333333333803</v>
      </c>
      <c r="AN76" s="59">
        <f ca="1">AVERAGE(OFFSET($AM$3,0,0,'Données projet'!$E$10+1,1))-AVERAGE(OFFSET($H$3,0,0,'Données projet'!$E$10+1,1))</f>
        <v>302.6112905010138</v>
      </c>
      <c r="AO76" s="59">
        <f t="shared" si="90"/>
        <v>423.44006663873375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0.87553275653536933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1.0101769268556257E-6</v>
      </c>
      <c r="AX76" s="21">
        <f t="shared" si="60"/>
        <v>0.87553376671229621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>
        <f>BD76*VLOOKUP('Données projet'!$B$11,Paramètres!$A$1:$I$89,3,0)*VLOOKUP('Données projet'!$B$11,Paramètres!$A$1:$I$89,5,0)</f>
        <v>0</v>
      </c>
      <c r="BF76" s="13" t="e">
        <f t="shared" si="91"/>
        <v>#NUM!</v>
      </c>
      <c r="BG76" s="20" t="e">
        <f t="shared" si="61"/>
        <v>#NUM!</v>
      </c>
      <c r="BH76" s="59" t="e">
        <f t="shared" si="62"/>
        <v>#NUM!</v>
      </c>
      <c r="BI76" s="59">
        <f ca="1">AVERAGE(OFFSET($BH$3,0,0,'Données projet'!$E$11+1,1))-AVERAGE(OFFSET($H$3,0,0,'Données projet'!$E$11+1,1))</f>
        <v>207.91763299672158</v>
      </c>
      <c r="BJ76" s="59">
        <f t="shared" si="92"/>
        <v>230.81096055024483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3.1388126536959411</v>
      </c>
      <c r="BQ76" s="21">
        <f>EXP(-LN(2)/25)*BQ75+(1-EXP(-LN(2)/25))/(LN(2)/25)*Calculateur!BL76*Calculateur!BN76*VLOOKUP('Données projet'!$B$11,Paramètres!$A$1:$I$89,3,0)*0.475*44/12</f>
        <v>1.8281336260263126</v>
      </c>
      <c r="BR76" s="21">
        <f>EXP(-LN(2)/2)*BR75+(1-EXP(-LN(2)/2))/(LN(2)/2)*BL76*BO76*VLOOKUP('Données projet'!$B$11,Paramètres!$A$1:$I$89,3,0)*0.475*44/12</f>
        <v>9.9735325527279281E-7</v>
      </c>
      <c r="BS76" s="22">
        <f t="shared" si="63"/>
        <v>4.9669472770755085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17</v>
      </c>
      <c r="N77" s="13">
        <f>IF('Données projet'!$A$36&gt;35,N76+M77-V76,IF(A77&lt;'Données projet'!$A$36,$K$205^A77,IF(A77='Données projet'!$A$36,'Données projet'!$B$36,N76+M77-V76)))</f>
        <v>404.49999999999989</v>
      </c>
      <c r="O77" s="13">
        <f>N77*VLOOKUP('Données projet'!$B$9,Paramètres!$A$1:$I$89,3,0)*VLOOKUP('Données projet'!$B$9,Paramètres!$A$1:$I$89,5,0)</f>
        <v>189.30599999999993</v>
      </c>
      <c r="P77" s="13">
        <f t="shared" si="87"/>
        <v>47.386486642979079</v>
      </c>
      <c r="Q77" s="20">
        <f t="shared" si="54"/>
        <v>412.23941423652178</v>
      </c>
      <c r="R77" s="59">
        <f t="shared" si="55"/>
        <v>705.5727475698551</v>
      </c>
      <c r="S77" s="59">
        <f ca="1">AVERAGE(OFFSET($R$3,0,0,'Données projet'!$E$9+1,1))-AVERAGE(OFFSET($H$3,0,0,'Données projet'!$E$9+1,1))</f>
        <v>319.22903094674564</v>
      </c>
      <c r="T77" s="59">
        <f t="shared" si="88"/>
        <v>254.58690973142848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3.7972113983890061</v>
      </c>
      <c r="AA77" s="21">
        <f>EXP(-LN(2)/25)*AA76+(1-EXP(-LN(2)/25))/(LN(2)/25)*Calculateur!V77*Calculateur!X77*VLOOKUP('Données projet'!$B$9,Paramètres!$A$1:$I$89,3,0)*0.475*44/12</f>
        <v>3.2924068352903944</v>
      </c>
      <c r="AB77" s="21">
        <f>EXP(-LN(2)/2)*AB76+(1-EXP(-LN(2)/2))/(LN(2)/2)*V77*Y77*VLOOKUP('Données projet'!$B$9,Paramètres!$A$1:$I$89,3,0)*0.475*44/12</f>
        <v>2.6328870400424929E-6</v>
      </c>
      <c r="AC77" s="22">
        <f t="shared" si="57"/>
        <v>7.0896208665664409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1.9895196601282805E-13</v>
      </c>
      <c r="AJ77" s="13">
        <f>AI77*VLOOKUP('Données projet'!$B$10,Paramètres!$A$1:$I$89,3,0)*VLOOKUP('Données projet'!$B$10,Paramètres!$A$1:$I$89,5,0)</f>
        <v>1.8001173884840681E-13</v>
      </c>
      <c r="AK77" s="13">
        <f t="shared" si="89"/>
        <v>2.5254331426407198E-12</v>
      </c>
      <c r="AL77" s="20">
        <f t="shared" si="58"/>
        <v>4.7119831685935622E-12</v>
      </c>
      <c r="AM77" s="59">
        <f t="shared" si="59"/>
        <v>293.33333333333803</v>
      </c>
      <c r="AN77" s="59">
        <f ca="1">AVERAGE(OFFSET($AM$3,0,0,'Données projet'!$E$10+1,1))-AVERAGE(OFFSET($H$3,0,0,'Données projet'!$E$10+1,1))</f>
        <v>302.6112905010138</v>
      </c>
      <c r="AO77" s="59">
        <f t="shared" si="90"/>
        <v>423.44006663873375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0.85836409320196194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7.1430295517779995E-7</v>
      </c>
      <c r="AX77" s="21">
        <f t="shared" si="60"/>
        <v>0.85836480750491717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>
        <f>BD77*VLOOKUP('Données projet'!$B$11,Paramètres!$A$1:$I$89,3,0)*VLOOKUP('Données projet'!$B$11,Paramètres!$A$1:$I$89,5,0)</f>
        <v>0</v>
      </c>
      <c r="BF77" s="13" t="e">
        <f t="shared" si="91"/>
        <v>#NUM!</v>
      </c>
      <c r="BG77" s="20" t="e">
        <f t="shared" si="61"/>
        <v>#NUM!</v>
      </c>
      <c r="BH77" s="59" t="e">
        <f t="shared" si="62"/>
        <v>#NUM!</v>
      </c>
      <c r="BI77" s="59">
        <f ca="1">AVERAGE(OFFSET($BH$3,0,0,'Données projet'!$E$11+1,1))-AVERAGE(OFFSET($H$3,0,0,'Données projet'!$E$11+1,1))</f>
        <v>207.91763299672158</v>
      </c>
      <c r="BJ77" s="59">
        <f t="shared" si="92"/>
        <v>230.81096055024483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3.0772624520436427</v>
      </c>
      <c r="BQ77" s="21">
        <f>EXP(-LN(2)/25)*BQ76+(1-EXP(-LN(2)/25))/(LN(2)/25)*Calculateur!BL77*Calculateur!BN77*VLOOKUP('Données projet'!$B$11,Paramètres!$A$1:$I$89,3,0)*0.475*44/12</f>
        <v>1.7781432158852539</v>
      </c>
      <c r="BR77" s="21">
        <f>EXP(-LN(2)/2)*BR76+(1-EXP(-LN(2)/2))/(LN(2)/2)*BL77*BO77*VLOOKUP('Données projet'!$B$11,Paramètres!$A$1:$I$89,3,0)*0.475*44/12</f>
        <v>7.0523525004186959E-7</v>
      </c>
      <c r="BS77" s="22">
        <f t="shared" si="63"/>
        <v>4.8554063731641461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17</v>
      </c>
      <c r="N78" s="13">
        <f>IF('Données projet'!$A$36&gt;35,N77+M78-V77,IF(A78&lt;'Données projet'!$A$36,$K$205^A78,IF(A78='Données projet'!$A$36,'Données projet'!$B$36,N77+M78-V77)))</f>
        <v>421.49999999999989</v>
      </c>
      <c r="O78" s="13">
        <f>N78*VLOOKUP('Données projet'!$B$9,Paramètres!$A$1:$I$89,3,0)*VLOOKUP('Données projet'!$B$9,Paramètres!$A$1:$I$89,5,0)</f>
        <v>197.26199999999994</v>
      </c>
      <c r="P78" s="13">
        <f t="shared" si="87"/>
        <v>49.141956303266518</v>
      </c>
      <c r="Q78" s="20">
        <f t="shared" si="54"/>
        <v>429.15355722818907</v>
      </c>
      <c r="R78" s="59">
        <f t="shared" si="55"/>
        <v>722.48689056152239</v>
      </c>
      <c r="S78" s="59">
        <f ca="1">AVERAGE(OFFSET($R$3,0,0,'Données projet'!$E$9+1,1))-AVERAGE(OFFSET($H$3,0,0,'Données projet'!$E$9+1,1))</f>
        <v>319.22903094674564</v>
      </c>
      <c r="T78" s="59">
        <f t="shared" si="88"/>
        <v>254.58690973142848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3.7227503989368578</v>
      </c>
      <c r="AA78" s="21">
        <f>EXP(-LN(2)/25)*AA77+(1-EXP(-LN(2)/25))/(LN(2)/25)*Calculateur!V78*Calculateur!X78*VLOOKUP('Données projet'!$B$9,Paramètres!$A$1:$I$89,3,0)*0.475*44/12</f>
        <v>3.2023757972392279</v>
      </c>
      <c r="AB78" s="21">
        <f>EXP(-LN(2)/2)*AB77+(1-EXP(-LN(2)/2))/(LN(2)/2)*V78*Y78*VLOOKUP('Données projet'!$B$9,Paramètres!$A$1:$I$89,3,0)*0.475*44/12</f>
        <v>1.8617322801122239E-6</v>
      </c>
      <c r="AC78" s="22">
        <f t="shared" si="57"/>
        <v>6.9251280579083661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1.9895196601282805E-13</v>
      </c>
      <c r="AJ78" s="13">
        <f>AI78*VLOOKUP('Données projet'!$B$10,Paramètres!$A$1:$I$89,3,0)*VLOOKUP('Données projet'!$B$10,Paramètres!$A$1:$I$89,5,0)</f>
        <v>1.8001173884840681E-13</v>
      </c>
      <c r="AK78" s="13">
        <f t="shared" si="89"/>
        <v>2.5254331426407198E-12</v>
      </c>
      <c r="AL78" s="20">
        <f t="shared" si="58"/>
        <v>4.7119831685935622E-12</v>
      </c>
      <c r="AM78" s="59">
        <f t="shared" si="59"/>
        <v>293.33333333333803</v>
      </c>
      <c r="AN78" s="59">
        <f ca="1">AVERAGE(OFFSET($AM$3,0,0,'Données projet'!$E$10+1,1))-AVERAGE(OFFSET($H$3,0,0,'Données projet'!$E$10+1,1))</f>
        <v>302.6112905010138</v>
      </c>
      <c r="AO78" s="59">
        <f t="shared" si="90"/>
        <v>423.44006663873375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0.84153209688467201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5.0508846342781285E-7</v>
      </c>
      <c r="AX78" s="21">
        <f t="shared" si="60"/>
        <v>0.8415326019731354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>
        <f>BD78*VLOOKUP('Données projet'!$B$11,Paramètres!$A$1:$I$89,3,0)*VLOOKUP('Données projet'!$B$11,Paramètres!$A$1:$I$89,5,0)</f>
        <v>0</v>
      </c>
      <c r="BF78" s="13" t="e">
        <f t="shared" si="91"/>
        <v>#NUM!</v>
      </c>
      <c r="BG78" s="20" t="e">
        <f t="shared" si="61"/>
        <v>#NUM!</v>
      </c>
      <c r="BH78" s="59" t="e">
        <f t="shared" si="62"/>
        <v>#NUM!</v>
      </c>
      <c r="BI78" s="59">
        <f ca="1">AVERAGE(OFFSET($BH$3,0,0,'Données projet'!$E$11+1,1))-AVERAGE(OFFSET($H$3,0,0,'Données projet'!$E$11+1,1))</f>
        <v>207.91763299672158</v>
      </c>
      <c r="BJ78" s="59">
        <f t="shared" si="92"/>
        <v>230.81096055024483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3.0169192123038298</v>
      </c>
      <c r="BQ78" s="21">
        <f>EXP(-LN(2)/25)*BQ77+(1-EXP(-LN(2)/25))/(LN(2)/25)*Calculateur!BL78*Calculateur!BN78*VLOOKUP('Données projet'!$B$11,Paramètres!$A$1:$I$89,3,0)*0.475*44/12</f>
        <v>1.7295197961383839</v>
      </c>
      <c r="BR78" s="21">
        <f>EXP(-LN(2)/2)*BR77+(1-EXP(-LN(2)/2))/(LN(2)/2)*BL78*BO78*VLOOKUP('Données projet'!$B$11,Paramètres!$A$1:$I$89,3,0)*0.475*44/12</f>
        <v>4.986766276363964E-7</v>
      </c>
      <c r="BS78" s="22">
        <f t="shared" si="63"/>
        <v>4.7464395071188417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17</v>
      </c>
      <c r="N79" s="13">
        <f>IF('Données projet'!$A$36&gt;35,N78+M79-V78,IF(A79&lt;'Données projet'!$A$36,$K$205^A79,IF(A79='Données projet'!$A$36,'Données projet'!$B$36,N78+M79-V78)))</f>
        <v>438.49999999999989</v>
      </c>
      <c r="O79" s="13">
        <f>N79*VLOOKUP('Données projet'!$B$9,Paramètres!$A$1:$I$89,3,0)*VLOOKUP('Données projet'!$B$9,Paramètres!$A$1:$I$89,5,0)</f>
        <v>205.21799999999996</v>
      </c>
      <c r="P79" s="13">
        <f t="shared" si="87"/>
        <v>50.889201586985514</v>
      </c>
      <c r="Q79" s="20">
        <f t="shared" si="54"/>
        <v>446.05337609733306</v>
      </c>
      <c r="R79" s="59">
        <f t="shared" si="55"/>
        <v>739.38670943066631</v>
      </c>
      <c r="S79" s="59">
        <f ca="1">AVERAGE(OFFSET($R$3,0,0,'Données projet'!$E$9+1,1))-AVERAGE(OFFSET($H$3,0,0,'Données projet'!$E$9+1,1))</f>
        <v>319.22903094674564</v>
      </c>
      <c r="T79" s="59">
        <f t="shared" si="88"/>
        <v>254.58690973142848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3.649749534267241</v>
      </c>
      <c r="AA79" s="21">
        <f>EXP(-LN(2)/25)*AA78+(1-EXP(-LN(2)/25))/(LN(2)/25)*Calculateur!V79*Calculateur!X79*VLOOKUP('Données projet'!$B$9,Paramètres!$A$1:$I$89,3,0)*0.475*44/12</f>
        <v>3.114806662658097</v>
      </c>
      <c r="AB79" s="21">
        <f>EXP(-LN(2)/2)*AB78+(1-EXP(-LN(2)/2))/(LN(2)/2)*V79*Y79*VLOOKUP('Données projet'!$B$9,Paramètres!$A$1:$I$89,3,0)*0.475*44/12</f>
        <v>1.3164435200212467E-6</v>
      </c>
      <c r="AC79" s="22">
        <f t="shared" si="57"/>
        <v>6.7645575133688585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1.9895196601282805E-13</v>
      </c>
      <c r="AJ79" s="13">
        <f>AI79*VLOOKUP('Données projet'!$B$10,Paramètres!$A$1:$I$89,3,0)*VLOOKUP('Données projet'!$B$10,Paramètres!$A$1:$I$89,5,0)</f>
        <v>1.8001173884840681E-13</v>
      </c>
      <c r="AK79" s="13">
        <f t="shared" si="89"/>
        <v>2.5254331426407198E-12</v>
      </c>
      <c r="AL79" s="20">
        <f t="shared" si="58"/>
        <v>4.7119831685935622E-12</v>
      </c>
      <c r="AM79" s="59">
        <f t="shared" si="59"/>
        <v>293.33333333333803</v>
      </c>
      <c r="AN79" s="59">
        <f ca="1">AVERAGE(OFFSET($AM$3,0,0,'Données projet'!$E$10+1,1))-AVERAGE(OFFSET($H$3,0,0,'Données projet'!$E$10+1,1))</f>
        <v>302.6112905010138</v>
      </c>
      <c r="AO79" s="59">
        <f t="shared" si="90"/>
        <v>423.44006663873375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0.82503016574866017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3.5715147758889998E-7</v>
      </c>
      <c r="AX79" s="21">
        <f t="shared" si="60"/>
        <v>0.82503052290013779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>
        <f>BD79*VLOOKUP('Données projet'!$B$11,Paramètres!$A$1:$I$89,3,0)*VLOOKUP('Données projet'!$B$11,Paramètres!$A$1:$I$89,5,0)</f>
        <v>0</v>
      </c>
      <c r="BF79" s="13" t="e">
        <f t="shared" si="91"/>
        <v>#NUM!</v>
      </c>
      <c r="BG79" s="20" t="e">
        <f t="shared" si="61"/>
        <v>#NUM!</v>
      </c>
      <c r="BH79" s="59" t="e">
        <f t="shared" si="62"/>
        <v>#NUM!</v>
      </c>
      <c r="BI79" s="59">
        <f ca="1">AVERAGE(OFFSET($BH$3,0,0,'Données projet'!$E$11+1,1))-AVERAGE(OFFSET($H$3,0,0,'Données projet'!$E$11+1,1))</f>
        <v>207.91763299672158</v>
      </c>
      <c r="BJ79" s="59">
        <f t="shared" si="92"/>
        <v>230.81096055024483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2.9577592666895725</v>
      </c>
      <c r="BQ79" s="21">
        <f>EXP(-LN(2)/25)*BQ78+(1-EXP(-LN(2)/25))/(LN(2)/25)*Calculateur!BL79*Calculateur!BN79*VLOOKUP('Données projet'!$B$11,Paramètres!$A$1:$I$89,3,0)*0.475*44/12</f>
        <v>1.6822259863614866</v>
      </c>
      <c r="BR79" s="21">
        <f>EXP(-LN(2)/2)*BR78+(1-EXP(-LN(2)/2))/(LN(2)/2)*BL79*BO79*VLOOKUP('Données projet'!$B$11,Paramètres!$A$1:$I$89,3,0)*0.475*44/12</f>
        <v>3.5261762502093479E-7</v>
      </c>
      <c r="BS79" s="22">
        <f t="shared" si="63"/>
        <v>4.6399856056686835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17</v>
      </c>
      <c r="N80" s="13">
        <f>IF('Données projet'!$A$36&gt;35,N79+M80-V79,IF(A80&lt;'Données projet'!$A$36,$K$205^A80,IF(A80='Données projet'!$A$36,'Données projet'!$B$36,N79+M80-V79)))</f>
        <v>455.49999999999989</v>
      </c>
      <c r="O80" s="13">
        <f>N80*VLOOKUP('Données projet'!$B$9,Paramètres!$A$1:$I$89,3,0)*VLOOKUP('Données projet'!$B$9,Paramètres!$A$1:$I$89,5,0)</f>
        <v>213.17399999999995</v>
      </c>
      <c r="P80" s="13">
        <f t="shared" si="87"/>
        <v>52.628577834232573</v>
      </c>
      <c r="Q80" s="20">
        <f t="shared" si="54"/>
        <v>462.93948972795494</v>
      </c>
      <c r="R80" s="59">
        <f t="shared" si="55"/>
        <v>756.27282306128825</v>
      </c>
      <c r="S80" s="59">
        <f ca="1">AVERAGE(OFFSET($R$3,0,0,'Données projet'!$E$9+1,1))-AVERAGE(OFFSET($H$3,0,0,'Données projet'!$E$9+1,1))</f>
        <v>319.22903094674564</v>
      </c>
      <c r="T80" s="59">
        <f t="shared" si="88"/>
        <v>254.58690973142848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3.5781801720276647</v>
      </c>
      <c r="AA80" s="21">
        <f>EXP(-LN(2)/25)*AA79+(1-EXP(-LN(2)/25))/(LN(2)/25)*Calculateur!V80*Calculateur!X80*VLOOKUP('Données projet'!$B$9,Paramètres!$A$1:$I$89,3,0)*0.475*44/12</f>
        <v>3.0296321106671478</v>
      </c>
      <c r="AB80" s="21">
        <f>EXP(-LN(2)/2)*AB79+(1-EXP(-LN(2)/2))/(LN(2)/2)*V80*Y80*VLOOKUP('Données projet'!$B$9,Paramètres!$A$1:$I$89,3,0)*0.475*44/12</f>
        <v>9.3086614005611217E-7</v>
      </c>
      <c r="AC80" s="22">
        <f t="shared" si="57"/>
        <v>6.6078132135609522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1.9895196601282805E-13</v>
      </c>
      <c r="AJ80" s="13">
        <f>AI80*VLOOKUP('Données projet'!$B$10,Paramètres!$A$1:$I$89,3,0)*VLOOKUP('Données projet'!$B$10,Paramètres!$A$1:$I$89,5,0)</f>
        <v>1.8001173884840681E-13</v>
      </c>
      <c r="AK80" s="13">
        <f t="shared" si="89"/>
        <v>2.5254331426407198E-12</v>
      </c>
      <c r="AL80" s="20">
        <f t="shared" si="58"/>
        <v>4.7119831685935622E-12</v>
      </c>
      <c r="AM80" s="59">
        <f t="shared" si="59"/>
        <v>293.33333333333803</v>
      </c>
      <c r="AN80" s="59">
        <f ca="1">AVERAGE(OFFSET($AM$3,0,0,'Données projet'!$E$10+1,1))-AVERAGE(OFFSET($H$3,0,0,'Données projet'!$E$10+1,1))</f>
        <v>302.6112905010138</v>
      </c>
      <c r="AO80" s="59">
        <f t="shared" si="90"/>
        <v>423.44006663873375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0.80885182741704131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2.5254423171390643E-7</v>
      </c>
      <c r="AX80" s="21">
        <f t="shared" si="60"/>
        <v>0.80885207996127306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>
        <f>BD80*VLOOKUP('Données projet'!$B$11,Paramètres!$A$1:$I$89,3,0)*VLOOKUP('Données projet'!$B$11,Paramètres!$A$1:$I$89,5,0)</f>
        <v>0</v>
      </c>
      <c r="BF80" s="13" t="e">
        <f t="shared" si="91"/>
        <v>#NUM!</v>
      </c>
      <c r="BG80" s="20" t="e">
        <f t="shared" si="61"/>
        <v>#NUM!</v>
      </c>
      <c r="BH80" s="59" t="e">
        <f t="shared" si="62"/>
        <v>#NUM!</v>
      </c>
      <c r="BI80" s="59">
        <f ca="1">AVERAGE(OFFSET($BH$3,0,0,'Données projet'!$E$11+1,1))-AVERAGE(OFFSET($H$3,0,0,'Données projet'!$E$11+1,1))</f>
        <v>207.91763299672158</v>
      </c>
      <c r="BJ80" s="59">
        <f t="shared" si="92"/>
        <v>230.81096055024483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2.8997594115248071</v>
      </c>
      <c r="BQ80" s="21">
        <f>EXP(-LN(2)/25)*BQ79+(1-EXP(-LN(2)/25))/(LN(2)/25)*Calculateur!BL80*Calculateur!BN80*VLOOKUP('Données projet'!$B$11,Paramètres!$A$1:$I$89,3,0)*0.475*44/12</f>
        <v>1.6362254283000119</v>
      </c>
      <c r="BR80" s="21">
        <f>EXP(-LN(2)/2)*BR79+(1-EXP(-LN(2)/2))/(LN(2)/2)*BL80*BO80*VLOOKUP('Données projet'!$B$11,Paramètres!$A$1:$I$89,3,0)*0.475*44/12</f>
        <v>2.493383138181982E-7</v>
      </c>
      <c r="BS80" s="22">
        <f t="shared" si="63"/>
        <v>4.5359850891631321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17</v>
      </c>
      <c r="N81" s="13">
        <f>IF('Données projet'!$A$36&gt;35,N80+M81-V80,IF(A81&lt;'Données projet'!$A$36,$K$205^A81,IF(A81='Données projet'!$A$36,'Données projet'!$B$36,N80+M81-V80)))</f>
        <v>472.49999999999989</v>
      </c>
      <c r="O81" s="13">
        <f>N81*VLOOKUP('Données projet'!$B$9,Paramètres!$A$1:$I$89,3,0)*VLOOKUP('Données projet'!$B$9,Paramètres!$A$1:$I$89,5,0)</f>
        <v>221.12999999999997</v>
      </c>
      <c r="P81" s="13">
        <f t="shared" si="87"/>
        <v>54.360412358692685</v>
      </c>
      <c r="Q81" s="20">
        <f t="shared" si="54"/>
        <v>479.81246819138977</v>
      </c>
      <c r="R81" s="59">
        <f t="shared" si="55"/>
        <v>773.14580152472308</v>
      </c>
      <c r="S81" s="59">
        <f ca="1">AVERAGE(OFFSET($R$3,0,0,'Données projet'!$E$9+1,1))-AVERAGE(OFFSET($H$3,0,0,'Données projet'!$E$9+1,1))</f>
        <v>319.22903094674564</v>
      </c>
      <c r="T81" s="59">
        <f t="shared" si="88"/>
        <v>254.58690973142848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3.5080142413286057</v>
      </c>
      <c r="AA81" s="21">
        <f>EXP(-LN(2)/25)*AA80+(1-EXP(-LN(2)/25))/(LN(2)/25)*Calculateur!V81*Calculateur!X81*VLOOKUP('Données projet'!$B$9,Paramètres!$A$1:$I$89,3,0)*0.475*44/12</f>
        <v>2.9467866612795262</v>
      </c>
      <c r="AB81" s="21">
        <f>EXP(-LN(2)/2)*AB80+(1-EXP(-LN(2)/2))/(LN(2)/2)*V81*Y81*VLOOKUP('Données projet'!$B$9,Paramètres!$A$1:$I$89,3,0)*0.475*44/12</f>
        <v>6.5822176001062344E-7</v>
      </c>
      <c r="AC81" s="22">
        <f t="shared" si="57"/>
        <v>6.4548015608298916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1.9895196601282805E-13</v>
      </c>
      <c r="AJ81" s="13">
        <f>AI81*VLOOKUP('Données projet'!$B$10,Paramètres!$A$1:$I$89,3,0)*VLOOKUP('Données projet'!$B$10,Paramètres!$A$1:$I$89,5,0)</f>
        <v>1.8001173884840681E-13</v>
      </c>
      <c r="AK81" s="13">
        <f t="shared" si="89"/>
        <v>2.5254331426407198E-12</v>
      </c>
      <c r="AL81" s="20">
        <f t="shared" si="58"/>
        <v>4.7119831685935622E-12</v>
      </c>
      <c r="AM81" s="59">
        <f t="shared" si="59"/>
        <v>293.33333333333803</v>
      </c>
      <c r="AN81" s="59">
        <f ca="1">AVERAGE(OFFSET($AM$3,0,0,'Données projet'!$E$10+1,1))-AVERAGE(OFFSET($H$3,0,0,'Données projet'!$E$10+1,1))</f>
        <v>302.6112905010138</v>
      </c>
      <c r="AO81" s="59">
        <f t="shared" si="90"/>
        <v>423.44006663873375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0.79299073643229345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1.7857573879444999E-7</v>
      </c>
      <c r="AX81" s="21">
        <f t="shared" si="60"/>
        <v>0.7929909150080322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>
        <f>BD81*VLOOKUP('Données projet'!$B$11,Paramètres!$A$1:$I$89,3,0)*VLOOKUP('Données projet'!$B$11,Paramètres!$A$1:$I$89,5,0)</f>
        <v>0</v>
      </c>
      <c r="BF81" s="13" t="e">
        <f t="shared" si="91"/>
        <v>#NUM!</v>
      </c>
      <c r="BG81" s="20" t="e">
        <f t="shared" si="61"/>
        <v>#NUM!</v>
      </c>
      <c r="BH81" s="59" t="e">
        <f t="shared" si="62"/>
        <v>#NUM!</v>
      </c>
      <c r="BI81" s="59">
        <f ca="1">AVERAGE(OFFSET($BH$3,0,0,'Données projet'!$E$11+1,1))-AVERAGE(OFFSET($H$3,0,0,'Données projet'!$E$11+1,1))</f>
        <v>207.91763299672158</v>
      </c>
      <c r="BJ81" s="59">
        <f t="shared" si="92"/>
        <v>230.81096055024483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2.8428968981434042</v>
      </c>
      <c r="BQ81" s="21">
        <f>EXP(-LN(2)/25)*BQ80+(1-EXP(-LN(2)/25))/(LN(2)/25)*Calculateur!BL81*Calculateur!BN81*VLOOKUP('Données projet'!$B$11,Paramètres!$A$1:$I$89,3,0)*0.475*44/12</f>
        <v>1.5914827579177926</v>
      </c>
      <c r="BR81" s="21">
        <f>EXP(-LN(2)/2)*BR80+(1-EXP(-LN(2)/2))/(LN(2)/2)*BL81*BO81*VLOOKUP('Données projet'!$B$11,Paramètres!$A$1:$I$89,3,0)*0.475*44/12</f>
        <v>1.763088125104674E-7</v>
      </c>
      <c r="BS81" s="22">
        <f t="shared" si="63"/>
        <v>4.4343798323700092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17</v>
      </c>
      <c r="N82" s="13">
        <f>IF('Données projet'!$A$36&gt;35,N81+M82-V81,IF(A82&lt;'Données projet'!$A$36,$K$205^A82,IF(A82='Données projet'!$A$36,'Données projet'!$B$36,N81+M82-V81)))</f>
        <v>489.49999999999989</v>
      </c>
      <c r="O82" s="13">
        <f>N82*VLOOKUP('Données projet'!$B$9,Paramètres!$A$1:$I$89,3,0)*VLOOKUP('Données projet'!$B$9,Paramètres!$A$1:$I$89,5,0)</f>
        <v>229.08599999999993</v>
      </c>
      <c r="P82" s="13">
        <f t="shared" si="87"/>
        <v>56.085007586294346</v>
      </c>
      <c r="Q82" s="20">
        <f t="shared" si="54"/>
        <v>496.6728382127958</v>
      </c>
      <c r="R82" s="59">
        <f t="shared" si="55"/>
        <v>790.00617154612905</v>
      </c>
      <c r="S82" s="59">
        <f ca="1">AVERAGE(OFFSET($R$3,0,0,'Données projet'!$E$9+1,1))-AVERAGE(OFFSET($H$3,0,0,'Données projet'!$E$9+1,1))</f>
        <v>319.22903094674564</v>
      </c>
      <c r="T82" s="59">
        <f t="shared" si="88"/>
        <v>254.58690973142848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3.4392242217335633</v>
      </c>
      <c r="AA82" s="21">
        <f>EXP(-LN(2)/25)*AA81+(1-EXP(-LN(2)/25))/(LN(2)/25)*Calculateur!V82*Calculateur!X82*VLOOKUP('Données projet'!$B$9,Paramètres!$A$1:$I$89,3,0)*0.475*44/12</f>
        <v>2.8662066250620621</v>
      </c>
      <c r="AB82" s="21">
        <f>EXP(-LN(2)/2)*AB81+(1-EXP(-LN(2)/2))/(LN(2)/2)*V82*Y82*VLOOKUP('Données projet'!$B$9,Paramètres!$A$1:$I$89,3,0)*0.475*44/12</f>
        <v>4.6543307002805614E-7</v>
      </c>
      <c r="AC82" s="22">
        <f t="shared" si="57"/>
        <v>6.3054313122286949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1.9895196601282805E-13</v>
      </c>
      <c r="AJ82" s="13">
        <f>AI82*VLOOKUP('Données projet'!$B$10,Paramètres!$A$1:$I$89,3,0)*VLOOKUP('Données projet'!$B$10,Paramètres!$A$1:$I$89,5,0)</f>
        <v>1.8001173884840681E-13</v>
      </c>
      <c r="AK82" s="13">
        <f t="shared" si="89"/>
        <v>2.5254331426407198E-12</v>
      </c>
      <c r="AL82" s="20">
        <f t="shared" si="58"/>
        <v>4.7119831685935622E-12</v>
      </c>
      <c r="AM82" s="59">
        <f t="shared" si="59"/>
        <v>293.33333333333803</v>
      </c>
      <c r="AN82" s="59">
        <f ca="1">AVERAGE(OFFSET($AM$3,0,0,'Données projet'!$E$10+1,1))-AVERAGE(OFFSET($H$3,0,0,'Données projet'!$E$10+1,1))</f>
        <v>302.6112905010138</v>
      </c>
      <c r="AO82" s="59">
        <f t="shared" si="90"/>
        <v>423.44006663873375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0.77744067176744636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1.2627211585695321E-7</v>
      </c>
      <c r="AX82" s="21">
        <f t="shared" si="60"/>
        <v>0.77744079803956223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>
        <f>BD82*VLOOKUP('Données projet'!$B$11,Paramètres!$A$1:$I$89,3,0)*VLOOKUP('Données projet'!$B$11,Paramètres!$A$1:$I$89,5,0)</f>
        <v>0</v>
      </c>
      <c r="BF82" s="13" t="e">
        <f t="shared" si="91"/>
        <v>#NUM!</v>
      </c>
      <c r="BG82" s="20" t="e">
        <f t="shared" si="61"/>
        <v>#NUM!</v>
      </c>
      <c r="BH82" s="59" t="e">
        <f t="shared" si="62"/>
        <v>#NUM!</v>
      </c>
      <c r="BI82" s="59">
        <f ca="1">AVERAGE(OFFSET($BH$3,0,0,'Données projet'!$E$11+1,1))-AVERAGE(OFFSET($H$3,0,0,'Données projet'!$E$11+1,1))</f>
        <v>207.91763299672158</v>
      </c>
      <c r="BJ82" s="59">
        <f t="shared" si="92"/>
        <v>230.81096055024483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2.7871494239667021</v>
      </c>
      <c r="BQ82" s="21">
        <f>EXP(-LN(2)/25)*BQ81+(1-EXP(-LN(2)/25))/(LN(2)/25)*Calculateur!BL82*Calculateur!BN82*VLOOKUP('Données projet'!$B$11,Paramètres!$A$1:$I$89,3,0)*0.475*44/12</f>
        <v>1.5479635782100898</v>
      </c>
      <c r="BR82" s="21">
        <f>EXP(-LN(2)/2)*BR81+(1-EXP(-LN(2)/2))/(LN(2)/2)*BL82*BO82*VLOOKUP('Données projet'!$B$11,Paramètres!$A$1:$I$89,3,0)*0.475*44/12</f>
        <v>1.246691569090991E-7</v>
      </c>
      <c r="BS82" s="22">
        <f t="shared" si="63"/>
        <v>4.3351131268459486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506.5</v>
      </c>
      <c r="L83" s="12">
        <f>VLOOKUP(A83,'Données projet'!$A$35:$I$55,9,0)</f>
        <v>17</v>
      </c>
      <c r="M83" s="12">
        <f t="array" ref="M83">INDEX(L:L,MIN(IF(ISNUMBER(L83:L279),ROW(L83:L279),"")))</f>
        <v>17</v>
      </c>
      <c r="N83" s="13">
        <f>IF('Données projet'!$A$36&gt;35,N82+M83-V82,IF(A83&lt;'Données projet'!$A$36,$K$205^A83,IF(A83='Données projet'!$A$36,'Données projet'!$B$36,N82+M83-V82)))</f>
        <v>506.49999999999989</v>
      </c>
      <c r="O83" s="13">
        <f>N83*VLOOKUP('Données projet'!$B$9,Paramètres!$A$1:$I$89,3,0)*VLOOKUP('Données projet'!$B$9,Paramètres!$A$1:$I$89,5,0)</f>
        <v>237.04199999999994</v>
      </c>
      <c r="P83" s="13">
        <f t="shared" si="87"/>
        <v>57.802643745601223</v>
      </c>
      <c r="Q83" s="20">
        <f t="shared" si="54"/>
        <v>513.52108785692201</v>
      </c>
      <c r="R83" s="59">
        <f t="shared" si="55"/>
        <v>806.85442119025538</v>
      </c>
      <c r="S83" s="59">
        <f ca="1">AVERAGE(OFFSET($R$3,0,0,'Données projet'!$E$9+1,1))-AVERAGE(OFFSET($H$3,0,0,'Données projet'!$E$9+1,1))</f>
        <v>319.22903094674564</v>
      </c>
      <c r="T83" s="59">
        <f t="shared" si="88"/>
        <v>254.58690973142848</v>
      </c>
      <c r="U83" s="15">
        <f>IF(ISNA(VLOOKUP(A83,'Données projet'!$A$35:$I$55,3,0)),0,VLOOKUP(A83,'Données projet'!$A$35:$I$55,3,0))</f>
        <v>7</v>
      </c>
      <c r="V83" s="15">
        <f>IF(ISNA(VLOOKUP(A83,'Données projet'!$A$35:$I$55,4,0)),0,VLOOKUP(A83,'Données projet'!$A$35:$I$55,4,0))</f>
        <v>93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3.3717831324650107</v>
      </c>
      <c r="AA83" s="21">
        <f>EXP(-LN(2)/25)*AA82+(1-EXP(-LN(2)/25))/(LN(2)/25)*Calculateur!V83*Calculateur!X83*VLOOKUP('Données projet'!$B$9,Paramètres!$A$1:$I$89,3,0)*0.475*44/12</f>
        <v>2.7878300541724843</v>
      </c>
      <c r="AB83" s="21">
        <f>EXP(-LN(2)/2)*AB82+(1-EXP(-LN(2)/2))/(LN(2)/2)*V83*Y83*VLOOKUP('Données projet'!$B$9,Paramètres!$A$1:$I$89,3,0)*0.475*44/12</f>
        <v>3.2911088000531177E-7</v>
      </c>
      <c r="AC83" s="22">
        <f t="shared" si="57"/>
        <v>6.1596135157483749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1.9895196601282805E-13</v>
      </c>
      <c r="AJ83" s="13">
        <f>AI83*VLOOKUP('Données projet'!$B$10,Paramètres!$A$1:$I$89,3,0)*VLOOKUP('Données projet'!$B$10,Paramètres!$A$1:$I$89,5,0)</f>
        <v>1.8001173884840681E-13</v>
      </c>
      <c r="AK83" s="13">
        <f t="shared" si="89"/>
        <v>2.5254331426407198E-12</v>
      </c>
      <c r="AL83" s="20">
        <f t="shared" si="58"/>
        <v>4.7119831685935622E-12</v>
      </c>
      <c r="AM83" s="59">
        <f t="shared" si="59"/>
        <v>293.33333333333803</v>
      </c>
      <c r="AN83" s="59">
        <f ca="1">AVERAGE(OFFSET($AM$3,0,0,'Données projet'!$E$10+1,1))-AVERAGE(OFFSET($H$3,0,0,'Données projet'!$E$10+1,1))</f>
        <v>302.6112905010138</v>
      </c>
      <c r="AO83" s="59">
        <f t="shared" si="90"/>
        <v>423.44006663873375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0.7621955343860739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8.9287869397224994E-8</v>
      </c>
      <c r="AX83" s="21">
        <f t="shared" si="60"/>
        <v>0.76219562367394333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>
        <f>BD83*VLOOKUP('Données projet'!$B$11,Paramètres!$A$1:$I$89,3,0)*VLOOKUP('Données projet'!$B$11,Paramètres!$A$1:$I$89,5,0)</f>
        <v>0</v>
      </c>
      <c r="BF83" s="13" t="e">
        <f t="shared" si="91"/>
        <v>#NUM!</v>
      </c>
      <c r="BG83" s="20" t="e">
        <f t="shared" si="61"/>
        <v>#NUM!</v>
      </c>
      <c r="BH83" s="59" t="e">
        <f t="shared" si="62"/>
        <v>#NUM!</v>
      </c>
      <c r="BI83" s="59">
        <f ca="1">AVERAGE(OFFSET($BH$3,0,0,'Données projet'!$E$11+1,1))-AVERAGE(OFFSET($H$3,0,0,'Données projet'!$E$11+1,1))</f>
        <v>207.91763299672158</v>
      </c>
      <c r="BJ83" s="59">
        <f t="shared" si="92"/>
        <v>230.81096055024483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2.7324951237560033</v>
      </c>
      <c r="BQ83" s="21">
        <f>EXP(-LN(2)/25)*BQ82+(1-EXP(-LN(2)/25))/(LN(2)/25)*Calculateur!BL83*Calculateur!BN83*VLOOKUP('Données projet'!$B$11,Paramètres!$A$1:$I$89,3,0)*0.475*44/12</f>
        <v>1.5056344327600681</v>
      </c>
      <c r="BR83" s="21">
        <f>EXP(-LN(2)/2)*BR82+(1-EXP(-LN(2)/2))/(LN(2)/2)*BL83*BO83*VLOOKUP('Données projet'!$B$11,Paramètres!$A$1:$I$89,3,0)*0.475*44/12</f>
        <v>8.8154406255233699E-8</v>
      </c>
      <c r="BS83" s="22">
        <f t="shared" si="63"/>
        <v>4.2381296446704777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17.5</v>
      </c>
      <c r="N84" s="13">
        <f>IF('Données projet'!$A$36&gt;35,N83+M84-V83,IF(A84&lt;'Données projet'!$A$36,$K$205^A84,IF(A84='Données projet'!$A$36,'Données projet'!$B$36,N83+M84-V83)))</f>
        <v>430.99999999999989</v>
      </c>
      <c r="O84" s="13">
        <f>N84*VLOOKUP('Données projet'!$B$9,Paramètres!$A$1:$I$89,3,0)*VLOOKUP('Données projet'!$B$9,Paramètres!$A$1:$I$89,5,0)</f>
        <v>201.70799999999994</v>
      </c>
      <c r="P84" s="13">
        <f t="shared" si="87"/>
        <v>50.119348451854243</v>
      </c>
      <c r="Q84" s="20">
        <f t="shared" si="54"/>
        <v>438.59929855364607</v>
      </c>
      <c r="R84" s="59">
        <f t="shared" si="55"/>
        <v>731.93263188697938</v>
      </c>
      <c r="S84" s="59">
        <f ca="1">AVERAGE(OFFSET($R$3,0,0,'Données projet'!$E$9+1,1))-AVERAGE(OFFSET($H$3,0,0,'Données projet'!$E$9+1,1))</f>
        <v>319.22903094674564</v>
      </c>
      <c r="T84" s="59">
        <f t="shared" si="88"/>
        <v>254.58690973142848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3.305664521822012</v>
      </c>
      <c r="AA84" s="21">
        <f>EXP(-LN(2)/25)*AA83+(1-EXP(-LN(2)/25))/(LN(2)/25)*Calculateur!V84*Calculateur!X84*VLOOKUP('Données projet'!$B$9,Paramètres!$A$1:$I$89,3,0)*0.475*44/12</f>
        <v>2.711596694735527</v>
      </c>
      <c r="AB84" s="21">
        <f>EXP(-LN(2)/2)*AB83+(1-EXP(-LN(2)/2))/(LN(2)/2)*V84*Y84*VLOOKUP('Données projet'!$B$9,Paramètres!$A$1:$I$89,3,0)*0.475*44/12</f>
        <v>2.327165350140281E-7</v>
      </c>
      <c r="AC84" s="22">
        <f t="shared" si="57"/>
        <v>6.0172614492740744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1.9895196601282805E-13</v>
      </c>
      <c r="AJ84" s="13">
        <f>AI84*VLOOKUP('Données projet'!$B$10,Paramètres!$A$1:$I$89,3,0)*VLOOKUP('Données projet'!$B$10,Paramètres!$A$1:$I$89,5,0)</f>
        <v>1.8001173884840681E-13</v>
      </c>
      <c r="AK84" s="13">
        <f t="shared" si="89"/>
        <v>2.5254331426407198E-12</v>
      </c>
      <c r="AL84" s="20">
        <f t="shared" si="58"/>
        <v>4.7119831685935622E-12</v>
      </c>
      <c r="AM84" s="59">
        <f t="shared" si="59"/>
        <v>293.33333333333803</v>
      </c>
      <c r="AN84" s="59">
        <f ca="1">AVERAGE(OFFSET($AM$3,0,0,'Données projet'!$E$10+1,1))-AVERAGE(OFFSET($H$3,0,0,'Données projet'!$E$10+1,1))</f>
        <v>302.6112905010138</v>
      </c>
      <c r="AO84" s="59">
        <f t="shared" si="90"/>
        <v>423.44006663873375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0.74724934485013461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6.3136057928476606E-8</v>
      </c>
      <c r="AX84" s="21">
        <f t="shared" si="60"/>
        <v>0.74724940798619255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>
        <f>BD84*VLOOKUP('Données projet'!$B$11,Paramètres!$A$1:$I$89,3,0)*VLOOKUP('Données projet'!$B$11,Paramètres!$A$1:$I$89,5,0)</f>
        <v>0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207.91763299672158</v>
      </c>
      <c r="BJ84" s="59">
        <f t="shared" si="92"/>
        <v>230.81096055024483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2.6789125610366047</v>
      </c>
      <c r="BQ84" s="21">
        <f>EXP(-LN(2)/25)*BQ83+(1-EXP(-LN(2)/25))/(LN(2)/25)*Calculateur!BL84*Calculateur!BN84*VLOOKUP('Données projet'!$B$11,Paramètres!$A$1:$I$89,3,0)*0.475*44/12</f>
        <v>1.4644627800183705</v>
      </c>
      <c r="BR84" s="21">
        <f>EXP(-LN(2)/2)*BR83+(1-EXP(-LN(2)/2))/(LN(2)/2)*BL84*BO84*VLOOKUP('Données projet'!$B$11,Paramètres!$A$1:$I$89,3,0)*0.475*44/12</f>
        <v>6.233457845454955E-8</v>
      </c>
      <c r="BS84" s="22">
        <f t="shared" si="63"/>
        <v>4.1433754033895536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17.5</v>
      </c>
      <c r="N85" s="13">
        <f>IF('Données projet'!$A$36&gt;35,N84+M85-V84,IF(A85&lt;'Données projet'!$A$36,$K$205^A85,IF(A85='Données projet'!$A$36,'Données projet'!$B$36,N84+M85-V84)))</f>
        <v>448.49999999999989</v>
      </c>
      <c r="O85" s="13">
        <f>N85*VLOOKUP('Données projet'!$B$9,Paramètres!$A$1:$I$89,3,0)*VLOOKUP('Données projet'!$B$9,Paramètres!$A$1:$I$89,5,0)</f>
        <v>209.89799999999994</v>
      </c>
      <c r="P85" s="13">
        <f t="shared" si="87"/>
        <v>51.913295501810218</v>
      </c>
      <c r="Q85" s="20">
        <f t="shared" si="54"/>
        <v>455.98800633231934</v>
      </c>
      <c r="R85" s="59">
        <f t="shared" si="55"/>
        <v>749.32133966565266</v>
      </c>
      <c r="S85" s="59">
        <f ca="1">AVERAGE(OFFSET($R$3,0,0,'Données projet'!$E$9+1,1))-AVERAGE(OFFSET($H$3,0,0,'Données projet'!$E$9+1,1))</f>
        <v>319.22903094674564</v>
      </c>
      <c r="T85" s="59">
        <f t="shared" si="88"/>
        <v>254.58690973142848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3.240842456805352</v>
      </c>
      <c r="AA85" s="21">
        <f>EXP(-LN(2)/25)*AA84+(1-EXP(-LN(2)/25))/(LN(2)/25)*Calculateur!V85*Calculateur!X85*VLOOKUP('Données projet'!$B$9,Paramètres!$A$1:$I$89,3,0)*0.475*44/12</f>
        <v>2.6374479405213114</v>
      </c>
      <c r="AB85" s="21">
        <f>EXP(-LN(2)/2)*AB84+(1-EXP(-LN(2)/2))/(LN(2)/2)*V85*Y85*VLOOKUP('Données projet'!$B$9,Paramètres!$A$1:$I$89,3,0)*0.475*44/12</f>
        <v>1.6455544000265591E-7</v>
      </c>
      <c r="AC85" s="22">
        <f t="shared" si="57"/>
        <v>5.8782905618821042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1.9895196601282805E-13</v>
      </c>
      <c r="AJ85" s="13">
        <f>AI85*VLOOKUP('Données projet'!$B$10,Paramètres!$A$1:$I$89,3,0)*VLOOKUP('Données projet'!$B$10,Paramètres!$A$1:$I$89,5,0)</f>
        <v>1.8001173884840681E-13</v>
      </c>
      <c r="AK85" s="13">
        <f t="shared" si="89"/>
        <v>2.5254331426407198E-12</v>
      </c>
      <c r="AL85" s="20">
        <f t="shared" si="58"/>
        <v>4.7119831685935622E-12</v>
      </c>
      <c r="AM85" s="59">
        <f t="shared" si="59"/>
        <v>293.33333333333803</v>
      </c>
      <c r="AN85" s="59">
        <f ca="1">AVERAGE(OFFSET($AM$3,0,0,'Données projet'!$E$10+1,1))-AVERAGE(OFFSET($H$3,0,0,'Données projet'!$E$10+1,1))</f>
        <v>302.6112905010138</v>
      </c>
      <c r="AO85" s="59">
        <f t="shared" si="90"/>
        <v>423.44006663873375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0.73259624097471954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4.4643934698612497E-8</v>
      </c>
      <c r="AX85" s="21">
        <f t="shared" si="60"/>
        <v>0.7325962856186542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>
        <f>BD85*VLOOKUP('Données projet'!$B$11,Paramètres!$A$1:$I$89,3,0)*VLOOKUP('Données projet'!$B$11,Paramètres!$A$1:$I$89,5,0)</f>
        <v>0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207.91763299672158</v>
      </c>
      <c r="BJ85" s="59">
        <f t="shared" si="92"/>
        <v>230.81096055024483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2.6263807196899975</v>
      </c>
      <c r="BQ85" s="21">
        <f>EXP(-LN(2)/25)*BQ84+(1-EXP(-LN(2)/25))/(LN(2)/25)*Calculateur!BL85*Calculateur!BN85*VLOOKUP('Données projet'!$B$11,Paramètres!$A$1:$I$89,3,0)*0.475*44/12</f>
        <v>1.4244169682860177</v>
      </c>
      <c r="BR85" s="21">
        <f>EXP(-LN(2)/2)*BR84+(1-EXP(-LN(2)/2))/(LN(2)/2)*BL85*BO85*VLOOKUP('Données projet'!$B$11,Paramètres!$A$1:$I$89,3,0)*0.475*44/12</f>
        <v>4.4077203127616849E-8</v>
      </c>
      <c r="BS85" s="22">
        <f t="shared" si="63"/>
        <v>4.0507977320532182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17.5</v>
      </c>
      <c r="N86" s="13">
        <f>IF('Données projet'!$A$36&gt;35,N85+M86-V85,IF(A86&lt;'Données projet'!$A$36,$K$205^A86,IF(A86='Données projet'!$A$36,'Données projet'!$B$36,N85+M86-V85)))</f>
        <v>465.99999999999989</v>
      </c>
      <c r="O86" s="13">
        <f>N86*VLOOKUP('Données projet'!$B$9,Paramètres!$A$1:$I$89,3,0)*VLOOKUP('Données projet'!$B$9,Paramètres!$A$1:$I$89,5,0)</f>
        <v>218.08799999999997</v>
      </c>
      <c r="P86" s="13">
        <f t="shared" si="87"/>
        <v>53.699111087780629</v>
      </c>
      <c r="Q86" s="20">
        <f t="shared" si="54"/>
        <v>473.36255181121783</v>
      </c>
      <c r="R86" s="59">
        <f t="shared" si="55"/>
        <v>766.69588514455108</v>
      </c>
      <c r="S86" s="59">
        <f ca="1">AVERAGE(OFFSET($R$3,0,0,'Données projet'!$E$9+1,1))-AVERAGE(OFFSET($H$3,0,0,'Données projet'!$E$9+1,1))</f>
        <v>319.22903094674564</v>
      </c>
      <c r="T86" s="59">
        <f t="shared" si="88"/>
        <v>254.58690973142848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3.177291512946113</v>
      </c>
      <c r="AA86" s="21">
        <f>EXP(-LN(2)/25)*AA85+(1-EXP(-LN(2)/25))/(LN(2)/25)*Calculateur!V86*Calculateur!X86*VLOOKUP('Données projet'!$B$9,Paramètres!$A$1:$I$89,3,0)*0.475*44/12</f>
        <v>2.5653267878903967</v>
      </c>
      <c r="AB86" s="21">
        <f>EXP(-LN(2)/2)*AB85+(1-EXP(-LN(2)/2))/(LN(2)/2)*V86*Y86*VLOOKUP('Données projet'!$B$9,Paramètres!$A$1:$I$89,3,0)*0.475*44/12</f>
        <v>1.1635826750701407E-7</v>
      </c>
      <c r="AC86" s="22">
        <f t="shared" si="57"/>
        <v>5.7426184171947776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1.9895196601282805E-13</v>
      </c>
      <c r="AJ86" s="13">
        <f>AI86*VLOOKUP('Données projet'!$B$10,Paramètres!$A$1:$I$89,3,0)*VLOOKUP('Données projet'!$B$10,Paramètres!$A$1:$I$89,5,0)</f>
        <v>1.8001173884840681E-13</v>
      </c>
      <c r="AK86" s="13">
        <f t="shared" si="89"/>
        <v>2.5254331426407198E-12</v>
      </c>
      <c r="AL86" s="20">
        <f t="shared" si="58"/>
        <v>4.7119831685935622E-12</v>
      </c>
      <c r="AM86" s="59">
        <f t="shared" si="59"/>
        <v>293.33333333333803</v>
      </c>
      <c r="AN86" s="59">
        <f ca="1">AVERAGE(OFFSET($AM$3,0,0,'Données projet'!$E$10+1,1))-AVERAGE(OFFSET($H$3,0,0,'Données projet'!$E$10+1,1))</f>
        <v>302.6112905010138</v>
      </c>
      <c r="AO86" s="59">
        <f t="shared" si="90"/>
        <v>423.44006663873375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0.71823047552879049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3.1568028964238303E-8</v>
      </c>
      <c r="AX86" s="21">
        <f t="shared" si="60"/>
        <v>0.71823050709681946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>
        <f>BD86*VLOOKUP('Données projet'!$B$11,Paramètres!$A$1:$I$89,3,0)*VLOOKUP('Données projet'!$B$11,Paramètres!$A$1:$I$89,5,0)</f>
        <v>0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207.91763299672158</v>
      </c>
      <c r="BJ86" s="59">
        <f t="shared" si="92"/>
        <v>230.81096055024483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2.5748789957109377</v>
      </c>
      <c r="BQ86" s="21">
        <f>EXP(-LN(2)/25)*BQ85+(1-EXP(-LN(2)/25))/(LN(2)/25)*Calculateur!BL86*Calculateur!BN86*VLOOKUP('Données projet'!$B$11,Paramètres!$A$1:$I$89,3,0)*0.475*44/12</f>
        <v>1.3854662113814038</v>
      </c>
      <c r="BR86" s="21">
        <f>EXP(-LN(2)/2)*BR85+(1-EXP(-LN(2)/2))/(LN(2)/2)*BL86*BO86*VLOOKUP('Données projet'!$B$11,Paramètres!$A$1:$I$89,3,0)*0.475*44/12</f>
        <v>3.1167289227274775E-8</v>
      </c>
      <c r="BS86" s="22">
        <f t="shared" si="63"/>
        <v>3.9603452382596309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17.5</v>
      </c>
      <c r="N87" s="13">
        <f>IF('Données projet'!$A$36&gt;35,N86+M87-V86,IF(A87&lt;'Données projet'!$A$36,$K$205^A87,IF(A87='Données projet'!$A$36,'Données projet'!$B$36,N86+M87-V86)))</f>
        <v>483.49999999999989</v>
      </c>
      <c r="O87" s="13">
        <f>N87*VLOOKUP('Données projet'!$B$9,Paramètres!$A$1:$I$89,3,0)*VLOOKUP('Données projet'!$B$9,Paramètres!$A$1:$I$89,5,0)</f>
        <v>226.27799999999993</v>
      </c>
      <c r="P87" s="13">
        <f t="shared" si="87"/>
        <v>55.477135539319008</v>
      </c>
      <c r="Q87" s="20">
        <f t="shared" si="54"/>
        <v>490.72352773098049</v>
      </c>
      <c r="R87" s="59">
        <f t="shared" si="55"/>
        <v>784.05686106431381</v>
      </c>
      <c r="S87" s="59">
        <f ca="1">AVERAGE(OFFSET($R$3,0,0,'Données projet'!$E$9+1,1))-AVERAGE(OFFSET($H$3,0,0,'Données projet'!$E$9+1,1))</f>
        <v>319.22903094674564</v>
      </c>
      <c r="T87" s="59">
        <f t="shared" si="88"/>
        <v>254.58690973142848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3.1149867643337052</v>
      </c>
      <c r="AA87" s="21">
        <f>EXP(-LN(2)/25)*AA86+(1-EXP(-LN(2)/25))/(LN(2)/25)*Calculateur!V87*Calculateur!X87*VLOOKUP('Données projet'!$B$9,Paramètres!$A$1:$I$89,3,0)*0.475*44/12</f>
        <v>2.4951777919708613</v>
      </c>
      <c r="AB87" s="21">
        <f>EXP(-LN(2)/2)*AB86+(1-EXP(-LN(2)/2))/(LN(2)/2)*V87*Y87*VLOOKUP('Données projet'!$B$9,Paramètres!$A$1:$I$89,3,0)*0.475*44/12</f>
        <v>8.227772000132797E-8</v>
      </c>
      <c r="AC87" s="22">
        <f t="shared" si="57"/>
        <v>5.6101646385822859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1.9895196601282805E-13</v>
      </c>
      <c r="AJ87" s="13">
        <f>AI87*VLOOKUP('Données projet'!$B$10,Paramètres!$A$1:$I$89,3,0)*VLOOKUP('Données projet'!$B$10,Paramètres!$A$1:$I$89,5,0)</f>
        <v>1.8001173884840681E-13</v>
      </c>
      <c r="AK87" s="13">
        <f t="shared" si="89"/>
        <v>2.5254331426407198E-12</v>
      </c>
      <c r="AL87" s="20">
        <f t="shared" si="58"/>
        <v>4.7119831685935622E-12</v>
      </c>
      <c r="AM87" s="59">
        <f t="shared" si="59"/>
        <v>293.33333333333803</v>
      </c>
      <c r="AN87" s="59">
        <f ca="1">AVERAGE(OFFSET($AM$3,0,0,'Données projet'!$E$10+1,1))-AVERAGE(OFFSET($H$3,0,0,'Données projet'!$E$10+1,1))</f>
        <v>302.6112905010138</v>
      </c>
      <c r="AO87" s="59">
        <f t="shared" si="90"/>
        <v>423.44006663873375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0.70414641398100442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2.2321967349306249E-8</v>
      </c>
      <c r="AX87" s="21">
        <f t="shared" si="60"/>
        <v>0.7041464363029718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>
        <f>BD87*VLOOKUP('Données projet'!$B$11,Paramètres!$A$1:$I$89,3,0)*VLOOKUP('Données projet'!$B$11,Paramètres!$A$1:$I$89,5,0)</f>
        <v>0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207.91763299672158</v>
      </c>
      <c r="BJ87" s="59">
        <f t="shared" si="92"/>
        <v>230.81096055024483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2.5243871891261573</v>
      </c>
      <c r="BQ87" s="21">
        <f>EXP(-LN(2)/25)*BQ86+(1-EXP(-LN(2)/25))/(LN(2)/25)*Calculateur!BL87*Calculateur!BN87*VLOOKUP('Données projet'!$B$11,Paramètres!$A$1:$I$89,3,0)*0.475*44/12</f>
        <v>1.3475805649726778</v>
      </c>
      <c r="BR87" s="21">
        <f>EXP(-LN(2)/2)*BR86+(1-EXP(-LN(2)/2))/(LN(2)/2)*BL87*BO87*VLOOKUP('Données projet'!$B$11,Paramètres!$A$1:$I$89,3,0)*0.475*44/12</f>
        <v>2.2038601563808425E-8</v>
      </c>
      <c r="BS87" s="22">
        <f t="shared" si="63"/>
        <v>3.8719677761374367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17.5</v>
      </c>
      <c r="N88" s="13">
        <f>IF('Données projet'!$A$36&gt;35,N87+M88-V87,IF(A88&lt;'Données projet'!$A$36,$K$205^A88,IF(A88='Données projet'!$A$36,'Données projet'!$B$36,N87+M88-V87)))</f>
        <v>500.99999999999989</v>
      </c>
      <c r="O88" s="13">
        <f>N88*VLOOKUP('Données projet'!$B$9,Paramètres!$A$1:$I$89,3,0)*VLOOKUP('Données projet'!$B$9,Paramètres!$A$1:$I$89,5,0)</f>
        <v>234.46799999999996</v>
      </c>
      <c r="P88" s="13">
        <f t="shared" si="87"/>
        <v>57.247683153605394</v>
      </c>
      <c r="Q88" s="20">
        <f t="shared" si="54"/>
        <v>508.0714814925293</v>
      </c>
      <c r="R88" s="59">
        <f t="shared" si="55"/>
        <v>801.40481482586256</v>
      </c>
      <c r="S88" s="59">
        <f ca="1">AVERAGE(OFFSET($R$3,0,0,'Données projet'!$E$9+1,1))-AVERAGE(OFFSET($H$3,0,0,'Données projet'!$E$9+1,1))</f>
        <v>319.22903094674564</v>
      </c>
      <c r="T88" s="59">
        <f t="shared" si="88"/>
        <v>254.58690973142848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3.0539037738394428</v>
      </c>
      <c r="AA88" s="21">
        <f>EXP(-LN(2)/25)*AA87+(1-EXP(-LN(2)/25))/(LN(2)/25)*Calculateur!V88*Calculateur!X88*VLOOKUP('Données projet'!$B$9,Paramètres!$A$1:$I$89,3,0)*0.475*44/12</f>
        <v>2.426947024033721</v>
      </c>
      <c r="AB88" s="21">
        <f>EXP(-LN(2)/2)*AB87+(1-EXP(-LN(2)/2))/(LN(2)/2)*V88*Y88*VLOOKUP('Données projet'!$B$9,Paramètres!$A$1:$I$89,3,0)*0.475*44/12</f>
        <v>5.8179133753507044E-8</v>
      </c>
      <c r="AC88" s="22">
        <f t="shared" si="57"/>
        <v>5.4808508560522968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1.9895196601282805E-13</v>
      </c>
      <c r="AJ88" s="13">
        <f>AI88*VLOOKUP('Données projet'!$B$10,Paramètres!$A$1:$I$89,3,0)*VLOOKUP('Données projet'!$B$10,Paramètres!$A$1:$I$89,5,0)</f>
        <v>1.8001173884840681E-13</v>
      </c>
      <c r="AK88" s="13">
        <f t="shared" si="89"/>
        <v>2.5254331426407198E-12</v>
      </c>
      <c r="AL88" s="20">
        <f t="shared" si="58"/>
        <v>4.7119831685935622E-12</v>
      </c>
      <c r="AM88" s="59">
        <f t="shared" si="59"/>
        <v>293.33333333333803</v>
      </c>
      <c r="AN88" s="59">
        <f ca="1">AVERAGE(OFFSET($AM$3,0,0,'Données projet'!$E$10+1,1))-AVERAGE(OFFSET($H$3,0,0,'Données projet'!$E$10+1,1))</f>
        <v>302.6112905010138</v>
      </c>
      <c r="AO88" s="59">
        <f t="shared" si="90"/>
        <v>423.44006663873375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0.69033853228974118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1.5784014482119152E-8</v>
      </c>
      <c r="AX88" s="21">
        <f t="shared" si="60"/>
        <v>0.69033854807375561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>
        <f>BD88*VLOOKUP('Données projet'!$B$11,Paramètres!$A$1:$I$89,3,0)*VLOOKUP('Données projet'!$B$11,Paramètres!$A$1:$I$89,5,0)</f>
        <v>0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207.91763299672158</v>
      </c>
      <c r="BJ88" s="59">
        <f t="shared" si="92"/>
        <v>230.81096055024483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2.4748854960715438</v>
      </c>
      <c r="BQ88" s="21">
        <f>EXP(-LN(2)/25)*BQ87+(1-EXP(-LN(2)/25))/(LN(2)/25)*Calculateur!BL88*Calculateur!BN88*VLOOKUP('Données projet'!$B$11,Paramètres!$A$1:$I$89,3,0)*0.475*44/12</f>
        <v>1.3107309035573178</v>
      </c>
      <c r="BR88" s="21">
        <f>EXP(-LN(2)/2)*BR87+(1-EXP(-LN(2)/2))/(LN(2)/2)*BL88*BO88*VLOOKUP('Données projet'!$B$11,Paramètres!$A$1:$I$89,3,0)*0.475*44/12</f>
        <v>1.5583644613637388E-8</v>
      </c>
      <c r="BS88" s="22">
        <f t="shared" si="63"/>
        <v>3.7856164152125062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17.5</v>
      </c>
      <c r="N89" s="13">
        <f>IF('Données projet'!$A$36&gt;35,N88+M89-V88,IF(A89&lt;'Données projet'!$A$36,$K$205^A89,IF(A89='Données projet'!$A$36,'Données projet'!$B$36,N88+M89-V88)))</f>
        <v>518.49999999999989</v>
      </c>
      <c r="O89" s="13">
        <f>N89*VLOOKUP('Données projet'!$B$9,Paramètres!$A$1:$I$89,3,0)*VLOOKUP('Données projet'!$B$9,Paramètres!$A$1:$I$89,5,0)</f>
        <v>242.65799999999993</v>
      </c>
      <c r="P89" s="13">
        <f t="shared" si="87"/>
        <v>59.011045025839607</v>
      </c>
      <c r="Q89" s="20">
        <f t="shared" si="54"/>
        <v>525.40692008667054</v>
      </c>
      <c r="R89" s="59">
        <f t="shared" si="55"/>
        <v>818.74025342000391</v>
      </c>
      <c r="S89" s="59">
        <f ca="1">AVERAGE(OFFSET($R$3,0,0,'Données projet'!$E$9+1,1))-AVERAGE(OFFSET($H$3,0,0,'Données projet'!$E$9+1,1))</f>
        <v>319.22903094674564</v>
      </c>
      <c r="T89" s="59">
        <f t="shared" si="88"/>
        <v>254.58690973142848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2.9940185835318274</v>
      </c>
      <c r="AA89" s="21">
        <f>EXP(-LN(2)/25)*AA88+(1-EXP(-LN(2)/25))/(LN(2)/25)*Calculateur!V89*Calculateur!X89*VLOOKUP('Données projet'!$B$9,Paramètres!$A$1:$I$89,3,0)*0.475*44/12</f>
        <v>2.3605820300339215</v>
      </c>
      <c r="AB89" s="21">
        <f>EXP(-LN(2)/2)*AB88+(1-EXP(-LN(2)/2))/(LN(2)/2)*V89*Y89*VLOOKUP('Données projet'!$B$9,Paramètres!$A$1:$I$89,3,0)*0.475*44/12</f>
        <v>4.1138860000663991E-8</v>
      </c>
      <c r="AC89" s="22">
        <f t="shared" si="57"/>
        <v>5.3546006547046092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1.9895196601282805E-13</v>
      </c>
      <c r="AJ89" s="13">
        <f>AI89*VLOOKUP('Données projet'!$B$10,Paramètres!$A$1:$I$89,3,0)*VLOOKUP('Données projet'!$B$10,Paramètres!$A$1:$I$89,5,0)</f>
        <v>1.8001173884840681E-13</v>
      </c>
      <c r="AK89" s="13">
        <f t="shared" si="89"/>
        <v>2.5254331426407198E-12</v>
      </c>
      <c r="AL89" s="20">
        <f t="shared" si="58"/>
        <v>4.7119831685935622E-12</v>
      </c>
      <c r="AM89" s="59">
        <f t="shared" si="59"/>
        <v>293.33333333333803</v>
      </c>
      <c r="AN89" s="59">
        <f ca="1">AVERAGE(OFFSET($AM$3,0,0,'Données projet'!$E$10+1,1))-AVERAGE(OFFSET($H$3,0,0,'Données projet'!$E$10+1,1))</f>
        <v>302.6112905010138</v>
      </c>
      <c r="AO89" s="59">
        <f t="shared" si="90"/>
        <v>423.44006663873375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0.67680141473646738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1.1160983674653124E-8</v>
      </c>
      <c r="AX89" s="21">
        <f t="shared" si="60"/>
        <v>0.67680142589745107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>
        <f>BD89*VLOOKUP('Données projet'!$B$11,Paramètres!$A$1:$I$89,3,0)*VLOOKUP('Données projet'!$B$11,Paramètres!$A$1:$I$89,5,0)</f>
        <v>0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207.91763299672158</v>
      </c>
      <c r="BJ89" s="59">
        <f t="shared" si="92"/>
        <v>230.81096055024483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2.4263545010246799</v>
      </c>
      <c r="BQ89" s="21">
        <f>EXP(-LN(2)/25)*BQ88+(1-EXP(-LN(2)/25))/(LN(2)/25)*Calculateur!BL89*Calculateur!BN89*VLOOKUP('Données projet'!$B$11,Paramètres!$A$1:$I$89,3,0)*0.475*44/12</f>
        <v>1.2748888980712005</v>
      </c>
      <c r="BR89" s="21">
        <f>EXP(-LN(2)/2)*BR88+(1-EXP(-LN(2)/2))/(LN(2)/2)*BL89*BO89*VLOOKUP('Données projet'!$B$11,Paramètres!$A$1:$I$89,3,0)*0.475*44/12</f>
        <v>1.1019300781904212E-8</v>
      </c>
      <c r="BS89" s="22">
        <f t="shared" si="63"/>
        <v>3.7012434101151812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17.5</v>
      </c>
      <c r="N90" s="13">
        <f>IF('Données projet'!$A$36&gt;35,N89+M90-V89,IF(A90&lt;'Données projet'!$A$36,$K$205^A90,IF(A90='Données projet'!$A$36,'Données projet'!$B$36,N89+M90-V89)))</f>
        <v>535.99999999999989</v>
      </c>
      <c r="O90" s="13">
        <f>N90*VLOOKUP('Données projet'!$B$9,Paramètres!$A$1:$I$89,3,0)*VLOOKUP('Données projet'!$B$9,Paramètres!$A$1:$I$89,5,0)</f>
        <v>250.84799999999996</v>
      </c>
      <c r="P90" s="13">
        <f t="shared" si="87"/>
        <v>60.767491486783541</v>
      </c>
      <c r="Q90" s="20">
        <f t="shared" si="54"/>
        <v>542.7303143394812</v>
      </c>
      <c r="R90" s="59">
        <f t="shared" si="55"/>
        <v>836.06364767281457</v>
      </c>
      <c r="S90" s="59">
        <f ca="1">AVERAGE(OFFSET($R$3,0,0,'Données projet'!$E$9+1,1))-AVERAGE(OFFSET($H$3,0,0,'Données projet'!$E$9+1,1))</f>
        <v>319.22903094674564</v>
      </c>
      <c r="T90" s="59">
        <f t="shared" si="88"/>
        <v>254.58690973142848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2.9353077052797847</v>
      </c>
      <c r="AA90" s="21">
        <f>EXP(-LN(2)/25)*AA89+(1-EXP(-LN(2)/25))/(LN(2)/25)*Calculateur!V90*Calculateur!X90*VLOOKUP('Données projet'!$B$9,Paramètres!$A$1:$I$89,3,0)*0.475*44/12</f>
        <v>2.29603179028503</v>
      </c>
      <c r="AB90" s="21">
        <f>EXP(-LN(2)/2)*AB89+(1-EXP(-LN(2)/2))/(LN(2)/2)*V90*Y90*VLOOKUP('Données projet'!$B$9,Paramètres!$A$1:$I$89,3,0)*0.475*44/12</f>
        <v>2.9089566876753529E-8</v>
      </c>
      <c r="AC90" s="22">
        <f t="shared" si="57"/>
        <v>5.2313395246543815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1.9895196601282805E-13</v>
      </c>
      <c r="AJ90" s="13">
        <f>AI90*VLOOKUP('Données projet'!$B$10,Paramètres!$A$1:$I$89,3,0)*VLOOKUP('Données projet'!$B$10,Paramètres!$A$1:$I$89,5,0)</f>
        <v>1.8001173884840681E-13</v>
      </c>
      <c r="AK90" s="13">
        <f t="shared" si="89"/>
        <v>2.5254331426407198E-12</v>
      </c>
      <c r="AL90" s="20">
        <f t="shared" si="58"/>
        <v>4.7119831685935622E-12</v>
      </c>
      <c r="AM90" s="59">
        <f t="shared" si="59"/>
        <v>293.33333333333803</v>
      </c>
      <c r="AN90" s="59">
        <f ca="1">AVERAGE(OFFSET($AM$3,0,0,'Données projet'!$E$10+1,1))-AVERAGE(OFFSET($H$3,0,0,'Données projet'!$E$10+1,1))</f>
        <v>302.6112905010138</v>
      </c>
      <c r="AO90" s="59">
        <f t="shared" si="90"/>
        <v>423.44006663873375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0.6635297518015868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7.8920072410595758E-9</v>
      </c>
      <c r="AX90" s="21">
        <f t="shared" si="60"/>
        <v>0.66352975969359407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>
        <f>BD90*VLOOKUP('Données projet'!$B$11,Paramètres!$A$1:$I$89,3,0)*VLOOKUP('Données projet'!$B$11,Paramètres!$A$1:$I$89,5,0)</f>
        <v>0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207.91763299672158</v>
      </c>
      <c r="BJ90" s="59">
        <f t="shared" si="92"/>
        <v>230.81096055024483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2.3787751691897006</v>
      </c>
      <c r="BQ90" s="21">
        <f>EXP(-LN(2)/25)*BQ89+(1-EXP(-LN(2)/25))/(LN(2)/25)*Calculateur!BL90*Calculateur!BN90*VLOOKUP('Données projet'!$B$11,Paramètres!$A$1:$I$89,3,0)*0.475*44/12</f>
        <v>1.2400269941099502</v>
      </c>
      <c r="BR90" s="21">
        <f>EXP(-LN(2)/2)*BR89+(1-EXP(-LN(2)/2))/(LN(2)/2)*BL90*BO90*VLOOKUP('Données projet'!$B$11,Paramètres!$A$1:$I$89,3,0)*0.475*44/12</f>
        <v>7.7918223068186938E-9</v>
      </c>
      <c r="BS90" s="22">
        <f t="shared" si="63"/>
        <v>3.6188021710914731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17.5</v>
      </c>
      <c r="N91" s="13">
        <f>IF('Données projet'!$A$36&gt;35,N90+M91-V90,IF(A91&lt;'Données projet'!$A$36,$K$205^A91,IF(A91='Données projet'!$A$36,'Données projet'!$B$36,N90+M91-V90)))</f>
        <v>553.49999999999989</v>
      </c>
      <c r="O91" s="13">
        <f>N91*VLOOKUP('Données projet'!$B$9,Paramètres!$A$1:$I$89,3,0)*VLOOKUP('Données projet'!$B$9,Paramètres!$A$1:$I$89,5,0)</f>
        <v>259.03799999999995</v>
      </c>
      <c r="P91" s="13">
        <f t="shared" si="87"/>
        <v>62.517274213025487</v>
      </c>
      <c r="Q91" s="20">
        <f t="shared" si="54"/>
        <v>560.04210258768592</v>
      </c>
      <c r="R91" s="59">
        <f t="shared" si="55"/>
        <v>853.37543592101929</v>
      </c>
      <c r="S91" s="59">
        <f ca="1">AVERAGE(OFFSET($R$3,0,0,'Données projet'!$E$9+1,1))-AVERAGE(OFFSET($H$3,0,0,'Données projet'!$E$9+1,1))</f>
        <v>319.22903094674564</v>
      </c>
      <c r="T91" s="59">
        <f t="shared" si="88"/>
        <v>254.58690973142848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2.8777481115401651</v>
      </c>
      <c r="AA91" s="21">
        <f>EXP(-LN(2)/25)*AA90+(1-EXP(-LN(2)/25))/(LN(2)/25)*Calculateur!V91*Calculateur!X91*VLOOKUP('Données projet'!$B$9,Paramètres!$A$1:$I$89,3,0)*0.475*44/12</f>
        <v>2.2332466802366215</v>
      </c>
      <c r="AB91" s="21">
        <f>EXP(-LN(2)/2)*AB90+(1-EXP(-LN(2)/2))/(LN(2)/2)*V91*Y91*VLOOKUP('Données projet'!$B$9,Paramètres!$A$1:$I$89,3,0)*0.475*44/12</f>
        <v>2.0569430000331999E-8</v>
      </c>
      <c r="AC91" s="22">
        <f t="shared" si="57"/>
        <v>5.1109948123462159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1.9895196601282805E-13</v>
      </c>
      <c r="AJ91" s="13">
        <f>AI91*VLOOKUP('Données projet'!$B$10,Paramètres!$A$1:$I$89,3,0)*VLOOKUP('Données projet'!$B$10,Paramètres!$A$1:$I$89,5,0)</f>
        <v>1.8001173884840681E-13</v>
      </c>
      <c r="AK91" s="13">
        <f t="shared" si="89"/>
        <v>2.5254331426407198E-12</v>
      </c>
      <c r="AL91" s="20">
        <f t="shared" si="58"/>
        <v>4.7119831685935622E-12</v>
      </c>
      <c r="AM91" s="59">
        <f t="shared" si="59"/>
        <v>293.33333333333803</v>
      </c>
      <c r="AN91" s="59">
        <f ca="1">AVERAGE(OFFSET($AM$3,0,0,'Données projet'!$E$10+1,1))-AVERAGE(OFFSET($H$3,0,0,'Données projet'!$E$10+1,1))</f>
        <v>302.6112905010138</v>
      </c>
      <c r="AO91" s="59">
        <f t="shared" si="90"/>
        <v>423.44006663873375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0.65051833808194415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5.5804918373265621E-9</v>
      </c>
      <c r="AX91" s="21">
        <f t="shared" si="60"/>
        <v>0.65051834366243599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>
        <f>BD91*VLOOKUP('Données projet'!$B$11,Paramètres!$A$1:$I$89,3,0)*VLOOKUP('Données projet'!$B$11,Paramètres!$A$1:$I$89,5,0)</f>
        <v>0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207.91763299672158</v>
      </c>
      <c r="BJ91" s="59">
        <f t="shared" si="92"/>
        <v>230.81096055024483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2.3321288390314785</v>
      </c>
      <c r="BQ91" s="21">
        <f>EXP(-LN(2)/25)*BQ90+(1-EXP(-LN(2)/25))/(LN(2)/25)*Calculateur!BL91*Calculateur!BN91*VLOOKUP('Données projet'!$B$11,Paramètres!$A$1:$I$89,3,0)*0.475*44/12</f>
        <v>1.2061183907458282</v>
      </c>
      <c r="BR91" s="21">
        <f>EXP(-LN(2)/2)*BR90+(1-EXP(-LN(2)/2))/(LN(2)/2)*BL91*BO91*VLOOKUP('Données projet'!$B$11,Paramètres!$A$1:$I$89,3,0)*0.475*44/12</f>
        <v>5.5096503909521062E-9</v>
      </c>
      <c r="BS91" s="22">
        <f t="shared" si="63"/>
        <v>3.5382472352869572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17.5</v>
      </c>
      <c r="N92" s="13">
        <f>IF('Données projet'!$A$36&gt;35,N91+M92-V91,IF(A92&lt;'Données projet'!$A$36,$K$205^A92,IF(A92='Données projet'!$A$36,'Données projet'!$B$36,N91+M92-V91)))</f>
        <v>570.99999999999989</v>
      </c>
      <c r="O92" s="13">
        <f>N92*VLOOKUP('Données projet'!$B$9,Paramètres!$A$1:$I$89,3,0)*VLOOKUP('Données projet'!$B$9,Paramètres!$A$1:$I$89,5,0)</f>
        <v>267.22799999999995</v>
      </c>
      <c r="P92" s="13">
        <f t="shared" si="87"/>
        <v>64.260628062866161</v>
      </c>
      <c r="Q92" s="20">
        <f t="shared" si="54"/>
        <v>577.34269387615848</v>
      </c>
      <c r="R92" s="59">
        <f t="shared" si="55"/>
        <v>870.67602720949185</v>
      </c>
      <c r="S92" s="59">
        <f ca="1">AVERAGE(OFFSET($R$3,0,0,'Données projet'!$E$9+1,1))-AVERAGE(OFFSET($H$3,0,0,'Données projet'!$E$9+1,1))</f>
        <v>319.22903094674564</v>
      </c>
      <c r="T92" s="59">
        <f t="shared" si="88"/>
        <v>254.58690973142848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2.8213172263258937</v>
      </c>
      <c r="AA92" s="21">
        <f>EXP(-LN(2)/25)*AA91+(1-EXP(-LN(2)/25))/(LN(2)/25)*Calculateur!V92*Calculateur!X92*VLOOKUP('Données projet'!$B$9,Paramètres!$A$1:$I$89,3,0)*0.475*44/12</f>
        <v>2.1721784323242121</v>
      </c>
      <c r="AB92" s="21">
        <f>EXP(-LN(2)/2)*AB91+(1-EXP(-LN(2)/2))/(LN(2)/2)*V92*Y92*VLOOKUP('Données projet'!$B$9,Paramètres!$A$1:$I$89,3,0)*0.475*44/12</f>
        <v>1.4544783438376766E-8</v>
      </c>
      <c r="AC92" s="22">
        <f t="shared" si="57"/>
        <v>4.9934956731948894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1.9895196601282805E-13</v>
      </c>
      <c r="AJ92" s="13">
        <f>AI92*VLOOKUP('Données projet'!$B$10,Paramètres!$A$1:$I$89,3,0)*VLOOKUP('Données projet'!$B$10,Paramètres!$A$1:$I$89,5,0)</f>
        <v>1.8001173884840681E-13</v>
      </c>
      <c r="AK92" s="13">
        <f t="shared" si="89"/>
        <v>2.5254331426407198E-12</v>
      </c>
      <c r="AL92" s="20">
        <f t="shared" si="58"/>
        <v>4.7119831685935622E-12</v>
      </c>
      <c r="AM92" s="59">
        <f t="shared" si="59"/>
        <v>293.33333333333803</v>
      </c>
      <c r="AN92" s="59">
        <f ca="1">AVERAGE(OFFSET($AM$3,0,0,'Données projet'!$E$10+1,1))-AVERAGE(OFFSET($H$3,0,0,'Données projet'!$E$10+1,1))</f>
        <v>302.6112905010138</v>
      </c>
      <c r="AO92" s="59">
        <f t="shared" si="90"/>
        <v>423.44006663873375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0.63776207024916498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3.9460036205297879E-9</v>
      </c>
      <c r="AX92" s="21">
        <f t="shared" si="60"/>
        <v>0.63776207419516862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>
        <f>BD92*VLOOKUP('Données projet'!$B$11,Paramètres!$A$1:$I$89,3,0)*VLOOKUP('Données projet'!$B$11,Paramètres!$A$1:$I$89,5,0)</f>
        <v>0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207.91763299672158</v>
      </c>
      <c r="BJ92" s="59">
        <f t="shared" si="92"/>
        <v>230.81096055024483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2.2863972149562071</v>
      </c>
      <c r="BQ92" s="21">
        <f>EXP(-LN(2)/25)*BQ91+(1-EXP(-LN(2)/25))/(LN(2)/25)*Calculateur!BL92*Calculateur!BN92*VLOOKUP('Données projet'!$B$11,Paramètres!$A$1:$I$89,3,0)*0.475*44/12</f>
        <v>1.173137019923874</v>
      </c>
      <c r="BR92" s="21">
        <f>EXP(-LN(2)/2)*BR91+(1-EXP(-LN(2)/2))/(LN(2)/2)*BL92*BO92*VLOOKUP('Données projet'!$B$11,Paramètres!$A$1:$I$89,3,0)*0.475*44/12</f>
        <v>3.8959111534093469E-9</v>
      </c>
      <c r="BS92" s="22">
        <f t="shared" si="63"/>
        <v>3.4595342387759924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588.5</v>
      </c>
      <c r="L93" s="12">
        <f>VLOOKUP(A93,'Données projet'!$A$35:$I$55,9,0)</f>
        <v>17.5</v>
      </c>
      <c r="M93" s="12">
        <f t="array" ref="M93">INDEX(L:L,MIN(IF(ISNUMBER(L93:L289),ROW(L93:L289),"")))</f>
        <v>17.5</v>
      </c>
      <c r="N93" s="13">
        <f>IF('Données projet'!$A$36&gt;35,N92+M93-V92,IF(A93&lt;'Données projet'!$A$36,$K$205^A93,IF(A93='Données projet'!$A$36,'Données projet'!$B$36,N92+M93-V92)))</f>
        <v>588.49999999999989</v>
      </c>
      <c r="O93" s="13">
        <f>N93*VLOOKUP('Données projet'!$B$9,Paramètres!$A$1:$I$89,3,0)*VLOOKUP('Données projet'!$B$9,Paramètres!$A$1:$I$89,5,0)</f>
        <v>275.41799999999995</v>
      </c>
      <c r="P93" s="13">
        <f t="shared" si="87"/>
        <v>65.997772680817278</v>
      </c>
      <c r="Q93" s="20">
        <f t="shared" si="54"/>
        <v>594.63247075242327</v>
      </c>
      <c r="R93" s="59">
        <f t="shared" si="55"/>
        <v>887.96580408575664</v>
      </c>
      <c r="S93" s="59">
        <f ca="1">AVERAGE(OFFSET($R$3,0,0,'Données projet'!$E$9+1,1))-AVERAGE(OFFSET($H$3,0,0,'Données projet'!$E$9+1,1))</f>
        <v>319.22903094674564</v>
      </c>
      <c r="T93" s="59">
        <f t="shared" si="88"/>
        <v>254.58690973142848</v>
      </c>
      <c r="U93" s="15">
        <f>IF(ISNA(VLOOKUP(A93,'Données projet'!$A$35:$I$55,3,0)),0,VLOOKUP(A93,'Données projet'!$A$35:$I$55,3,0))</f>
        <v>8</v>
      </c>
      <c r="V93" s="15">
        <f>IF(ISNA(VLOOKUP(A93,'Données projet'!$A$35:$I$55,4,0)),0,VLOOKUP(A93,'Données projet'!$A$35:$I$55,4,0))</f>
        <v>98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2.7659929163512329</v>
      </c>
      <c r="AA93" s="21">
        <f>EXP(-LN(2)/25)*AA92+(1-EXP(-LN(2)/25))/(LN(2)/25)*Calculateur!V93*Calculateur!X93*VLOOKUP('Données projet'!$B$9,Paramètres!$A$1:$I$89,3,0)*0.475*44/12</f>
        <v>2.1127800988624075</v>
      </c>
      <c r="AB93" s="21">
        <f>EXP(-LN(2)/2)*AB92+(1-EXP(-LN(2)/2))/(LN(2)/2)*V93*Y93*VLOOKUP('Données projet'!$B$9,Paramètres!$A$1:$I$89,3,0)*0.475*44/12</f>
        <v>1.0284715000166001E-8</v>
      </c>
      <c r="AC93" s="22">
        <f t="shared" si="57"/>
        <v>4.8787730254983561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1.9895196601282805E-13</v>
      </c>
      <c r="AJ93" s="13">
        <f>AI93*VLOOKUP('Données projet'!$B$10,Paramètres!$A$1:$I$89,3,0)*VLOOKUP('Données projet'!$B$10,Paramètres!$A$1:$I$89,5,0)</f>
        <v>1.8001173884840681E-13</v>
      </c>
      <c r="AK93" s="13">
        <f t="shared" si="89"/>
        <v>2.5254331426407198E-12</v>
      </c>
      <c r="AL93" s="20">
        <f t="shared" si="58"/>
        <v>4.7119831685935622E-12</v>
      </c>
      <c r="AM93" s="59">
        <f t="shared" si="59"/>
        <v>293.33333333333803</v>
      </c>
      <c r="AN93" s="59">
        <f ca="1">AVERAGE(OFFSET($AM$3,0,0,'Données projet'!$E$10+1,1))-AVERAGE(OFFSET($H$3,0,0,'Données projet'!$E$10+1,1))</f>
        <v>302.6112905010138</v>
      </c>
      <c r="AO93" s="59">
        <f t="shared" si="90"/>
        <v>423.44006663873375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0.6252559450480315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2.7902459186632811E-9</v>
      </c>
      <c r="AX93" s="21">
        <f t="shared" si="60"/>
        <v>0.62525594783827743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>
        <f>BD93*VLOOKUP('Données projet'!$B$11,Paramètres!$A$1:$I$89,3,0)*VLOOKUP('Données projet'!$B$11,Paramètres!$A$1:$I$89,5,0)</f>
        <v>0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207.91763299672158</v>
      </c>
      <c r="BJ93" s="59">
        <f t="shared" si="92"/>
        <v>230.81096055024483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2.2415623601355152</v>
      </c>
      <c r="BQ93" s="21">
        <f>EXP(-LN(2)/25)*BQ92+(1-EXP(-LN(2)/25))/(LN(2)/25)*Calculateur!BL93*Calculateur!BN93*VLOOKUP('Données projet'!$B$11,Paramètres!$A$1:$I$89,3,0)*0.475*44/12</f>
        <v>1.1410575264214611</v>
      </c>
      <c r="BR93" s="21">
        <f>EXP(-LN(2)/2)*BR92+(1-EXP(-LN(2)/2))/(LN(2)/2)*BL93*BO93*VLOOKUP('Données projet'!$B$11,Paramètres!$A$1:$I$89,3,0)*0.475*44/12</f>
        <v>2.7548251954760531E-9</v>
      </c>
      <c r="BS93" s="22">
        <f t="shared" si="63"/>
        <v>3.3826198893118016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18.5</v>
      </c>
      <c r="N94" s="13">
        <f>IF('Données projet'!$A$36&gt;35,N93+M94-V93,IF(A94&lt;'Données projet'!$A$36,$K$205^A94,IF(A94='Données projet'!$A$36,'Données projet'!$B$36,N93+M94-V93)))</f>
        <v>508.99999999999989</v>
      </c>
      <c r="O94" s="13">
        <f>N94*VLOOKUP('Données projet'!$B$9,Paramètres!$A$1:$I$89,3,0)*VLOOKUP('Données projet'!$B$9,Paramètres!$A$1:$I$89,5,0)</f>
        <v>238.21199999999993</v>
      </c>
      <c r="P94" s="13">
        <f t="shared" si="87"/>
        <v>58.054666307163771</v>
      </c>
      <c r="Q94" s="20">
        <f t="shared" si="54"/>
        <v>515.99777715164339</v>
      </c>
      <c r="R94" s="59">
        <f t="shared" si="55"/>
        <v>809.33111048497676</v>
      </c>
      <c r="S94" s="59">
        <f ca="1">AVERAGE(OFFSET($R$3,0,0,'Données projet'!$E$9+1,1))-AVERAGE(OFFSET($H$3,0,0,'Données projet'!$E$9+1,1))</f>
        <v>319.22903094674564</v>
      </c>
      <c r="T94" s="59">
        <f t="shared" si="88"/>
        <v>254.58690973142848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2.7117534823506779</v>
      </c>
      <c r="AA94" s="21">
        <f>EXP(-LN(2)/25)*AA93+(1-EXP(-LN(2)/25))/(LN(2)/25)*Calculateur!V94*Calculateur!X94*VLOOKUP('Données projet'!$B$9,Paramètres!$A$1:$I$89,3,0)*0.475*44/12</f>
        <v>2.0550060159527384</v>
      </c>
      <c r="AB94" s="21">
        <f>EXP(-LN(2)/2)*AB93+(1-EXP(-LN(2)/2))/(LN(2)/2)*V94*Y94*VLOOKUP('Données projet'!$B$9,Paramètres!$A$1:$I$89,3,0)*0.475*44/12</f>
        <v>7.2723917191883838E-9</v>
      </c>
      <c r="AC94" s="22">
        <f t="shared" si="57"/>
        <v>4.7667595055758083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1.9895196601282805E-13</v>
      </c>
      <c r="AJ94" s="13">
        <f>AI94*VLOOKUP('Données projet'!$B$10,Paramètres!$A$1:$I$89,3,0)*VLOOKUP('Données projet'!$B$10,Paramètres!$A$1:$I$89,5,0)</f>
        <v>1.8001173884840681E-13</v>
      </c>
      <c r="AK94" s="13">
        <f t="shared" si="89"/>
        <v>2.5254331426407198E-12</v>
      </c>
      <c r="AL94" s="20">
        <f t="shared" si="58"/>
        <v>4.7119831685935622E-12</v>
      </c>
      <c r="AM94" s="59">
        <f t="shared" si="59"/>
        <v>293.33333333333803</v>
      </c>
      <c r="AN94" s="59">
        <f ca="1">AVERAGE(OFFSET($AM$3,0,0,'Données projet'!$E$10+1,1))-AVERAGE(OFFSET($H$3,0,0,'Données projet'!$E$10+1,1))</f>
        <v>302.6112905010138</v>
      </c>
      <c r="AO94" s="59">
        <f t="shared" si="90"/>
        <v>423.44006663873375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0.61299505733410908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1.973001810264894E-9</v>
      </c>
      <c r="AX94" s="21">
        <f t="shared" si="60"/>
        <v>0.61299505930711085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>
        <f>BD94*VLOOKUP('Données projet'!$B$11,Paramètres!$A$1:$I$89,3,0)*VLOOKUP('Données projet'!$B$11,Paramètres!$A$1:$I$89,5,0)</f>
        <v>0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207.91763299672158</v>
      </c>
      <c r="BJ94" s="59">
        <f t="shared" si="92"/>
        <v>230.81096055024483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2.197606689471296</v>
      </c>
      <c r="BQ94" s="21">
        <f>EXP(-LN(2)/25)*BQ93+(1-EXP(-LN(2)/25))/(LN(2)/25)*Calculateur!BL94*Calculateur!BN94*VLOOKUP('Données projet'!$B$11,Paramètres!$A$1:$I$89,3,0)*0.475*44/12</f>
        <v>1.1098552483558588</v>
      </c>
      <c r="BR94" s="21">
        <f>EXP(-LN(2)/2)*BR93+(1-EXP(-LN(2)/2))/(LN(2)/2)*BL94*BO94*VLOOKUP('Données projet'!$B$11,Paramètres!$A$1:$I$89,3,0)*0.475*44/12</f>
        <v>1.9479555767046734E-9</v>
      </c>
      <c r="BS94" s="22">
        <f t="shared" si="63"/>
        <v>3.3074619397751102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18.5</v>
      </c>
      <c r="N95" s="13">
        <f>IF('Données projet'!$A$36&gt;35,N94+M95-V94,IF(A95&lt;'Données projet'!$A$36,$K$205^A95,IF(A95='Données projet'!$A$36,'Données projet'!$B$36,N94+M95-V94)))</f>
        <v>527.49999999999989</v>
      </c>
      <c r="O95" s="13">
        <f>N95*VLOOKUP('Données projet'!$B$9,Paramètres!$A$1:$I$89,3,0)*VLOOKUP('Données projet'!$B$9,Paramètres!$A$1:$I$89,5,0)</f>
        <v>246.86999999999995</v>
      </c>
      <c r="P95" s="13">
        <f t="shared" si="87"/>
        <v>59.91520778876734</v>
      </c>
      <c r="Q95" s="20">
        <f t="shared" si="54"/>
        <v>534.31757023210309</v>
      </c>
      <c r="R95" s="59">
        <f t="shared" si="55"/>
        <v>827.65090356543647</v>
      </c>
      <c r="S95" s="59">
        <f ca="1">AVERAGE(OFFSET($R$3,0,0,'Données projet'!$E$9+1,1))-AVERAGE(OFFSET($H$3,0,0,'Données projet'!$E$9+1,1))</f>
        <v>319.22903094674564</v>
      </c>
      <c r="T95" s="59">
        <f t="shared" si="88"/>
        <v>254.58690973142848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2.6585776505680858</v>
      </c>
      <c r="AA95" s="21">
        <f>EXP(-LN(2)/25)*AA94+(1-EXP(-LN(2)/25))/(LN(2)/25)*Calculateur!V95*Calculateur!X95*VLOOKUP('Données projet'!$B$9,Paramètres!$A$1:$I$89,3,0)*0.475*44/12</f>
        <v>1.9988117683784412</v>
      </c>
      <c r="AB95" s="21">
        <f>EXP(-LN(2)/2)*AB94+(1-EXP(-LN(2)/2))/(LN(2)/2)*V95*Y95*VLOOKUP('Données projet'!$B$9,Paramètres!$A$1:$I$89,3,0)*0.475*44/12</f>
        <v>5.1423575000830014E-9</v>
      </c>
      <c r="AC95" s="22">
        <f t="shared" si="57"/>
        <v>4.6573894240888851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1.9895196601282805E-13</v>
      </c>
      <c r="AJ95" s="13">
        <f>AI95*VLOOKUP('Données projet'!$B$10,Paramètres!$A$1:$I$89,3,0)*VLOOKUP('Données projet'!$B$10,Paramètres!$A$1:$I$89,5,0)</f>
        <v>1.8001173884840681E-13</v>
      </c>
      <c r="AK95" s="13">
        <f t="shared" si="89"/>
        <v>2.5254331426407198E-12</v>
      </c>
      <c r="AL95" s="20">
        <f t="shared" si="58"/>
        <v>4.7119831685935622E-12</v>
      </c>
      <c r="AM95" s="59">
        <f t="shared" si="59"/>
        <v>293.33333333333803</v>
      </c>
      <c r="AN95" s="59">
        <f ca="1">AVERAGE(OFFSET($AM$3,0,0,'Données projet'!$E$10+1,1))-AVERAGE(OFFSET($H$3,0,0,'Données projet'!$E$10+1,1))</f>
        <v>302.6112905010138</v>
      </c>
      <c r="AO95" s="59">
        <f t="shared" si="90"/>
        <v>423.44006663873375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0.60097459814985366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1.3951229593316405E-9</v>
      </c>
      <c r="AX95" s="21">
        <f t="shared" si="60"/>
        <v>0.60097459954497656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>
        <f>BD95*VLOOKUP('Données projet'!$B$11,Paramètres!$A$1:$I$89,3,0)*VLOOKUP('Données projet'!$B$11,Paramètres!$A$1:$I$89,5,0)</f>
        <v>0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207.91763299672158</v>
      </c>
      <c r="BJ95" s="59">
        <f t="shared" si="92"/>
        <v>230.81096055024483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2.1545129626984902</v>
      </c>
      <c r="BQ95" s="21">
        <f>EXP(-LN(2)/25)*BQ94+(1-EXP(-LN(2)/25))/(LN(2)/25)*Calculateur!BL95*Calculateur!BN95*VLOOKUP('Données projet'!$B$11,Paramètres!$A$1:$I$89,3,0)*0.475*44/12</f>
        <v>1.0795061982248169</v>
      </c>
      <c r="BR95" s="21">
        <f>EXP(-LN(2)/2)*BR94+(1-EXP(-LN(2)/2))/(LN(2)/2)*BL95*BO95*VLOOKUP('Données projet'!$B$11,Paramètres!$A$1:$I$89,3,0)*0.475*44/12</f>
        <v>1.3774125977380265E-9</v>
      </c>
      <c r="BS95" s="22">
        <f t="shared" si="63"/>
        <v>3.2340191623007195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18.5</v>
      </c>
      <c r="N96" s="13">
        <f>IF('Données projet'!$A$36&gt;35,N95+M96-V95,IF(A96&lt;'Données projet'!$A$36,$K$205^A96,IF(A96='Données projet'!$A$36,'Données projet'!$B$36,N95+M96-V95)))</f>
        <v>545.99999999999989</v>
      </c>
      <c r="O96" s="13">
        <f>N96*VLOOKUP('Données projet'!$B$9,Paramètres!$A$1:$I$89,3,0)*VLOOKUP('Données projet'!$B$9,Paramètres!$A$1:$I$89,5,0)</f>
        <v>255.52799999999993</v>
      </c>
      <c r="P96" s="13">
        <f t="shared" si="87"/>
        <v>61.768167868721477</v>
      </c>
      <c r="Q96" s="20">
        <f t="shared" si="54"/>
        <v>552.62415903802309</v>
      </c>
      <c r="R96" s="59">
        <f t="shared" si="55"/>
        <v>845.95749237135647</v>
      </c>
      <c r="S96" s="59">
        <f ca="1">AVERAGE(OFFSET($R$3,0,0,'Données projet'!$E$9+1,1))-AVERAGE(OFFSET($H$3,0,0,'Données projet'!$E$9+1,1))</f>
        <v>319.22903094674564</v>
      </c>
      <c r="T96" s="59">
        <f t="shared" si="88"/>
        <v>254.58690973142848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2.6064445644126955</v>
      </c>
      <c r="AA96" s="21">
        <f>EXP(-LN(2)/25)*AA95+(1-EXP(-LN(2)/25))/(LN(2)/25)*Calculateur!V96*Calculateur!X96*VLOOKUP('Données projet'!$B$9,Paramètres!$A$1:$I$89,3,0)*0.475*44/12</f>
        <v>1.9441541554591901</v>
      </c>
      <c r="AB96" s="21">
        <f>EXP(-LN(2)/2)*AB95+(1-EXP(-LN(2)/2))/(LN(2)/2)*V96*Y96*VLOOKUP('Données projet'!$B$9,Paramètres!$A$1:$I$89,3,0)*0.475*44/12</f>
        <v>3.6361958595941927E-9</v>
      </c>
      <c r="AC96" s="22">
        <f t="shared" si="57"/>
        <v>4.5505987235080818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1.9895196601282805E-13</v>
      </c>
      <c r="AJ96" s="13">
        <f>AI96*VLOOKUP('Données projet'!$B$10,Paramètres!$A$1:$I$89,3,0)*VLOOKUP('Données projet'!$B$10,Paramètres!$A$1:$I$89,5,0)</f>
        <v>1.8001173884840681E-13</v>
      </c>
      <c r="AK96" s="13">
        <f t="shared" si="89"/>
        <v>2.5254331426407198E-12</v>
      </c>
      <c r="AL96" s="20">
        <f t="shared" si="58"/>
        <v>4.7119831685935622E-12</v>
      </c>
      <c r="AM96" s="59">
        <f t="shared" si="59"/>
        <v>293.33333333333803</v>
      </c>
      <c r="AN96" s="59">
        <f ca="1">AVERAGE(OFFSET($AM$3,0,0,'Données projet'!$E$10+1,1))-AVERAGE(OFFSET($H$3,0,0,'Données projet'!$E$10+1,1))</f>
        <v>302.6112905010138</v>
      </c>
      <c r="AO96" s="59">
        <f t="shared" si="90"/>
        <v>423.44006663873375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0.58918985283844527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9.8650090513244698E-10</v>
      </c>
      <c r="AX96" s="21">
        <f t="shared" si="60"/>
        <v>0.58918985382494615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>
        <f>BD96*VLOOKUP('Données projet'!$B$11,Paramètres!$A$1:$I$89,3,0)*VLOOKUP('Données projet'!$B$11,Paramètres!$A$1:$I$89,5,0)</f>
        <v>0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207.91763299672158</v>
      </c>
      <c r="BJ96" s="59">
        <f t="shared" si="92"/>
        <v>230.81096055024483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2.1122642776231211</v>
      </c>
      <c r="BQ96" s="21">
        <f>EXP(-LN(2)/25)*BQ95+(1-EXP(-LN(2)/25))/(LN(2)/25)*Calculateur!BL96*Calculateur!BN96*VLOOKUP('Données projet'!$B$11,Paramètres!$A$1:$I$89,3,0)*0.475*44/12</f>
        <v>1.0499870444655954</v>
      </c>
      <c r="BR96" s="21">
        <f>EXP(-LN(2)/2)*BR95+(1-EXP(-LN(2)/2))/(LN(2)/2)*BL96*BO96*VLOOKUP('Données projet'!$B$11,Paramètres!$A$1:$I$89,3,0)*0.475*44/12</f>
        <v>9.7397778835233672E-10</v>
      </c>
      <c r="BS96" s="22">
        <f t="shared" si="63"/>
        <v>3.1622513230626943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18.5</v>
      </c>
      <c r="N97" s="13">
        <f>IF('Données projet'!$A$36&gt;35,N96+M97-V96,IF(A97&lt;'Données projet'!$A$36,$K$205^A97,IF(A97='Données projet'!$A$36,'Données projet'!$B$36,N96+M97-V96)))</f>
        <v>564.49999999999989</v>
      </c>
      <c r="O97" s="13">
        <f>N97*VLOOKUP('Données projet'!$B$9,Paramètres!$A$1:$I$89,3,0)*VLOOKUP('Données projet'!$B$9,Paramètres!$A$1:$I$89,5,0)</f>
        <v>264.18599999999992</v>
      </c>
      <c r="P97" s="13">
        <f t="shared" si="87"/>
        <v>63.613832873262751</v>
      </c>
      <c r="Q97" s="20">
        <f t="shared" si="54"/>
        <v>570.91804225426574</v>
      </c>
      <c r="R97" s="59">
        <f t="shared" si="55"/>
        <v>864.25137558759911</v>
      </c>
      <c r="S97" s="59">
        <f ca="1">AVERAGE(OFFSET($R$3,0,0,'Données projet'!$E$9+1,1))-AVERAGE(OFFSET($H$3,0,0,'Données projet'!$E$9+1,1))</f>
        <v>319.22903094674564</v>
      </c>
      <c r="T97" s="59">
        <f t="shared" si="88"/>
        <v>254.58690973142848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2.5553337762787698</v>
      </c>
      <c r="AA97" s="21">
        <f>EXP(-LN(2)/25)*AA96+(1-EXP(-LN(2)/25))/(LN(2)/25)*Calculateur!V97*Calculateur!X97*VLOOKUP('Données projet'!$B$9,Paramètres!$A$1:$I$89,3,0)*0.475*44/12</f>
        <v>1.8909911578395349</v>
      </c>
      <c r="AB97" s="21">
        <f>EXP(-LN(2)/2)*AB96+(1-EXP(-LN(2)/2))/(LN(2)/2)*V97*Y97*VLOOKUP('Données projet'!$B$9,Paramètres!$A$1:$I$89,3,0)*0.475*44/12</f>
        <v>2.5711787500415011E-9</v>
      </c>
      <c r="AC97" s="22">
        <f t="shared" si="57"/>
        <v>4.4463249366894839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1.9895196601282805E-13</v>
      </c>
      <c r="AJ97" s="13">
        <f>AI97*VLOOKUP('Données projet'!$B$10,Paramètres!$A$1:$I$89,3,0)*VLOOKUP('Données projet'!$B$10,Paramètres!$A$1:$I$89,5,0)</f>
        <v>1.8001173884840681E-13</v>
      </c>
      <c r="AK97" s="13">
        <f t="shared" si="89"/>
        <v>2.5254331426407198E-12</v>
      </c>
      <c r="AL97" s="20">
        <f t="shared" si="58"/>
        <v>4.7119831685935622E-12</v>
      </c>
      <c r="AM97" s="59">
        <f t="shared" si="59"/>
        <v>293.33333333333803</v>
      </c>
      <c r="AN97" s="59">
        <f ca="1">AVERAGE(OFFSET($AM$3,0,0,'Données projet'!$E$10+1,1))-AVERAGE(OFFSET($H$3,0,0,'Données projet'!$E$10+1,1))</f>
        <v>302.6112905010138</v>
      </c>
      <c r="AO97" s="59">
        <f t="shared" si="90"/>
        <v>423.44006663873375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0.57763619919460873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6.9756147966582027E-10</v>
      </c>
      <c r="AX97" s="21">
        <f t="shared" si="60"/>
        <v>0.57763619989217019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>
        <f>BD97*VLOOKUP('Données projet'!$B$11,Paramètres!$A$1:$I$89,3,0)*VLOOKUP('Données projet'!$B$11,Paramètres!$A$1:$I$89,5,0)</f>
        <v>0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207.91763299672158</v>
      </c>
      <c r="BJ97" s="59">
        <f t="shared" si="92"/>
        <v>230.81096055024483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2.0708440634929266</v>
      </c>
      <c r="BQ97" s="21">
        <f>EXP(-LN(2)/25)*BQ96+(1-EXP(-LN(2)/25))/(LN(2)/25)*Calculateur!BL97*Calculateur!BN97*VLOOKUP('Données projet'!$B$11,Paramètres!$A$1:$I$89,3,0)*0.475*44/12</f>
        <v>1.0212750935182648</v>
      </c>
      <c r="BR97" s="21">
        <f>EXP(-LN(2)/2)*BR96+(1-EXP(-LN(2)/2))/(LN(2)/2)*BL97*BO97*VLOOKUP('Données projet'!$B$11,Paramètres!$A$1:$I$89,3,0)*0.475*44/12</f>
        <v>6.8870629886901327E-10</v>
      </c>
      <c r="BS97" s="22">
        <f t="shared" si="63"/>
        <v>3.0921191576998979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18.5</v>
      </c>
      <c r="N98" s="13">
        <f>IF('Données projet'!$A$36&gt;35,N97+M98-V97,IF(A98&lt;'Données projet'!$A$36,$K$205^A98,IF(A98='Données projet'!$A$36,'Données projet'!$B$36,N97+M98-V97)))</f>
        <v>582.99999999999989</v>
      </c>
      <c r="O98" s="13">
        <f>N98*VLOOKUP('Données projet'!$B$9,Paramètres!$A$1:$I$89,3,0)*VLOOKUP('Données projet'!$B$9,Paramètres!$A$1:$I$89,5,0)</f>
        <v>272.84399999999994</v>
      </c>
      <c r="P98" s="13">
        <f t="shared" si="87"/>
        <v>65.452469296244189</v>
      </c>
      <c r="Q98" s="20">
        <f t="shared" si="54"/>
        <v>589.19968402429186</v>
      </c>
      <c r="R98" s="59">
        <f t="shared" si="55"/>
        <v>882.53301735762511</v>
      </c>
      <c r="S98" s="59">
        <f ca="1">AVERAGE(OFFSET($R$3,0,0,'Données projet'!$E$9+1,1))-AVERAGE(OFFSET($H$3,0,0,'Données projet'!$E$9+1,1))</f>
        <v>319.22903094674564</v>
      </c>
      <c r="T98" s="59">
        <f t="shared" si="88"/>
        <v>254.58690973142848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2.5052252395256476</v>
      </c>
      <c r="AA98" s="21">
        <f>EXP(-LN(2)/25)*AA97+(1-EXP(-LN(2)/25))/(LN(2)/25)*Calculateur!V98*Calculateur!X98*VLOOKUP('Données projet'!$B$9,Paramètres!$A$1:$I$89,3,0)*0.475*44/12</f>
        <v>1.8392819051855096</v>
      </c>
      <c r="AB98" s="21">
        <f>EXP(-LN(2)/2)*AB97+(1-EXP(-LN(2)/2))/(LN(2)/2)*V98*Y98*VLOOKUP('Données projet'!$B$9,Paramètres!$A$1:$I$89,3,0)*0.475*44/12</f>
        <v>1.8180979297970966E-9</v>
      </c>
      <c r="AC98" s="22">
        <f t="shared" si="57"/>
        <v>4.3445071465292546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1.9895196601282805E-13</v>
      </c>
      <c r="AJ98" s="13">
        <f>AI98*VLOOKUP('Données projet'!$B$10,Paramètres!$A$1:$I$89,3,0)*VLOOKUP('Données projet'!$B$10,Paramètres!$A$1:$I$89,5,0)</f>
        <v>1.8001173884840681E-13</v>
      </c>
      <c r="AK98" s="13">
        <f t="shared" si="89"/>
        <v>2.5254331426407198E-12</v>
      </c>
      <c r="AL98" s="20">
        <f t="shared" si="58"/>
        <v>4.7119831685935622E-12</v>
      </c>
      <c r="AM98" s="59">
        <f t="shared" si="59"/>
        <v>293.33333333333803</v>
      </c>
      <c r="AN98" s="59">
        <f ca="1">AVERAGE(OFFSET($AM$3,0,0,'Données projet'!$E$10+1,1))-AVERAGE(OFFSET($H$3,0,0,'Données projet'!$E$10+1,1))</f>
        <v>302.6112905010138</v>
      </c>
      <c r="AO98" s="59">
        <f t="shared" si="90"/>
        <v>423.44006663873375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0.5663091056516949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4.9325045256622349E-10</v>
      </c>
      <c r="AX98" s="21">
        <f t="shared" si="60"/>
        <v>0.56630910614494534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>
        <f>BD98*VLOOKUP('Données projet'!$B$11,Paramètres!$A$1:$I$89,3,0)*VLOOKUP('Données projet'!$B$11,Paramètres!$A$1:$I$89,5,0)</f>
        <v>0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207.91763299672158</v>
      </c>
      <c r="BJ98" s="59">
        <f t="shared" si="92"/>
        <v>230.81096055024483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2.030236074497989</v>
      </c>
      <c r="BQ98" s="21">
        <f>EXP(-LN(2)/25)*BQ97+(1-EXP(-LN(2)/25))/(LN(2)/25)*Calculateur!BL98*Calculateur!BN98*VLOOKUP('Données projet'!$B$11,Paramètres!$A$1:$I$89,3,0)*0.475*44/12</f>
        <v>0.99334827237948486</v>
      </c>
      <c r="BR98" s="21">
        <f>EXP(-LN(2)/2)*BR97+(1-EXP(-LN(2)/2))/(LN(2)/2)*BL98*BO98*VLOOKUP('Données projet'!$B$11,Paramètres!$A$1:$I$89,3,0)*0.475*44/12</f>
        <v>4.8698889417616836E-10</v>
      </c>
      <c r="BS98" s="22">
        <f t="shared" si="63"/>
        <v>3.023584347364463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18.5</v>
      </c>
      <c r="N99" s="13">
        <f>IF('Données projet'!$A$36&gt;35,N98+M99-V98,IF(A99&lt;'Données projet'!$A$36,$K$205^A99,IF(A99='Données projet'!$A$36,'Données projet'!$B$36,N98+M99-V98)))</f>
        <v>601.49999999999989</v>
      </c>
      <c r="O99" s="13">
        <f>N99*VLOOKUP('Données projet'!$B$9,Paramètres!$A$1:$I$89,3,0)*VLOOKUP('Données projet'!$B$9,Paramètres!$A$1:$I$89,5,0)</f>
        <v>281.50199999999995</v>
      </c>
      <c r="P99" s="13">
        <f t="shared" si="87"/>
        <v>67.28432575810065</v>
      </c>
      <c r="Q99" s="20">
        <f t="shared" ref="Q99:Q130" si="107">(O99+P99)*0.475*44/12</f>
        <v>607.46951736202516</v>
      </c>
      <c r="R99" s="59">
        <f t="shared" si="55"/>
        <v>900.80285069535853</v>
      </c>
      <c r="S99" s="59">
        <f ca="1">AVERAGE(OFFSET($R$3,0,0,'Données projet'!$E$9+1,1))-AVERAGE(OFFSET($H$3,0,0,'Données projet'!$E$9+1,1))</f>
        <v>319.22903094674564</v>
      </c>
      <c r="T99" s="59">
        <f t="shared" si="88"/>
        <v>254.58690973142848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2.4560993006150649</v>
      </c>
      <c r="AA99" s="21">
        <f>EXP(-LN(2)/25)*AA98+(1-EXP(-LN(2)/25))/(LN(2)/25)*Calculateur!V99*Calculateur!X99*VLOOKUP('Données projet'!$B$9,Paramètres!$A$1:$I$89,3,0)*0.475*44/12</f>
        <v>1.7889866447645801</v>
      </c>
      <c r="AB99" s="21">
        <f>EXP(-LN(2)/2)*AB98+(1-EXP(-LN(2)/2))/(LN(2)/2)*V99*Y99*VLOOKUP('Données projet'!$B$9,Paramètres!$A$1:$I$89,3,0)*0.475*44/12</f>
        <v>1.2855893750207508E-9</v>
      </c>
      <c r="AC99" s="22">
        <f t="shared" si="57"/>
        <v>4.2450859466652346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1.9895196601282805E-13</v>
      </c>
      <c r="AJ99" s="13">
        <f>AI99*VLOOKUP('Données projet'!$B$10,Paramètres!$A$1:$I$89,3,0)*VLOOKUP('Données projet'!$B$10,Paramètres!$A$1:$I$89,5,0)</f>
        <v>1.8001173884840681E-13</v>
      </c>
      <c r="AK99" s="13">
        <f t="shared" si="89"/>
        <v>2.5254331426407198E-12</v>
      </c>
      <c r="AL99" s="20">
        <f t="shared" si="58"/>
        <v>4.7119831685935622E-12</v>
      </c>
      <c r="AM99" s="59">
        <f t="shared" si="59"/>
        <v>293.33333333333803</v>
      </c>
      <c r="AN99" s="59">
        <f ca="1">AVERAGE(OFFSET($AM$3,0,0,'Données projet'!$E$10+1,1))-AVERAGE(OFFSET($H$3,0,0,'Données projet'!$E$10+1,1))</f>
        <v>302.6112905010138</v>
      </c>
      <c r="AO99" s="59">
        <f t="shared" si="90"/>
        <v>423.44006663873375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0.55520412950431275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3.4878073983291013E-10</v>
      </c>
      <c r="AX99" s="21">
        <f t="shared" si="60"/>
        <v>0.55520412985309353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>
        <f>BD99*VLOOKUP('Données projet'!$B$11,Paramètres!$A$1:$I$89,3,0)*VLOOKUP('Données projet'!$B$11,Paramètres!$A$1:$I$89,5,0)</f>
        <v>0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207.91763299672158</v>
      </c>
      <c r="BJ99" s="59">
        <f t="shared" si="92"/>
        <v>230.81096055024483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1.9904243833988149</v>
      </c>
      <c r="BQ99" s="21">
        <f>EXP(-LN(2)/25)*BQ98+(1-EXP(-LN(2)/25))/(LN(2)/25)*Calculateur!BL99*Calculateur!BN99*VLOOKUP('Données projet'!$B$11,Paramètres!$A$1:$I$89,3,0)*0.475*44/12</f>
        <v>0.96618511163335252</v>
      </c>
      <c r="BR99" s="21">
        <f>EXP(-LN(2)/2)*BR98+(1-EXP(-LN(2)/2))/(LN(2)/2)*BL99*BO99*VLOOKUP('Données projet'!$B$11,Paramètres!$A$1:$I$89,3,0)*0.475*44/12</f>
        <v>3.4435314943450663E-10</v>
      </c>
      <c r="BS99" s="22">
        <f t="shared" si="63"/>
        <v>2.9566094953765205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18.5</v>
      </c>
      <c r="N100" s="13">
        <f>IF('Données projet'!$A$36&gt;35,N99+M100-V99,IF(A100&lt;'Données projet'!$A$36,$K$205^A100,IF(A100='Données projet'!$A$36,'Données projet'!$B$36,N99+M100-V99)))</f>
        <v>619.99999999999989</v>
      </c>
      <c r="O100" s="13">
        <f>N100*VLOOKUP('Données projet'!$B$9,Paramètres!$A$1:$I$89,3,0)*VLOOKUP('Données projet'!$B$9,Paramètres!$A$1:$I$89,5,0)</f>
        <v>290.15999999999997</v>
      </c>
      <c r="P100" s="13">
        <f t="shared" si="87"/>
        <v>69.109634717039938</v>
      </c>
      <c r="Q100" s="20">
        <f t="shared" si="107"/>
        <v>625.72794713217797</v>
      </c>
      <c r="R100" s="59">
        <f t="shared" si="55"/>
        <v>919.06128046551135</v>
      </c>
      <c r="S100" s="59">
        <f ca="1">AVERAGE(OFFSET($R$3,0,0,'Données projet'!$E$9+1,1))-AVERAGE(OFFSET($H$3,0,0,'Données projet'!$E$9+1,1))</f>
        <v>319.22903094674564</v>
      </c>
      <c r="T100" s="59">
        <f t="shared" si="88"/>
        <v>254.58690973142848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2.4079366914026545</v>
      </c>
      <c r="AA100" s="21">
        <f>EXP(-LN(2)/25)*AA99+(1-EXP(-LN(2)/25))/(LN(2)/25)*Calculateur!V100*Calculateur!X100*VLOOKUP('Données projet'!$B$9,Paramètres!$A$1:$I$89,3,0)*0.475*44/12</f>
        <v>1.7400667108847738</v>
      </c>
      <c r="AB100" s="21">
        <f>EXP(-LN(2)/2)*AB99+(1-EXP(-LN(2)/2))/(LN(2)/2)*V100*Y100*VLOOKUP('Données projet'!$B$9,Paramètres!$A$1:$I$89,3,0)*0.475*44/12</f>
        <v>9.0904896489854849E-10</v>
      </c>
      <c r="AC100" s="22">
        <f t="shared" si="57"/>
        <v>4.1480034031964772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1.9895196601282805E-13</v>
      </c>
      <c r="AJ100" s="13">
        <f>AI100*VLOOKUP('Données projet'!$B$10,Paramètres!$A$1:$I$89,3,0)*VLOOKUP('Données projet'!$B$10,Paramètres!$A$1:$I$89,5,0)</f>
        <v>1.8001173884840681E-13</v>
      </c>
      <c r="AK100" s="13">
        <f t="shared" si="89"/>
        <v>2.5254331426407198E-12</v>
      </c>
      <c r="AL100" s="20">
        <f t="shared" si="58"/>
        <v>4.7119831685935622E-12</v>
      </c>
      <c r="AM100" s="59">
        <f t="shared" si="59"/>
        <v>293.33333333333803</v>
      </c>
      <c r="AN100" s="59">
        <f ca="1">AVERAGE(OFFSET($AM$3,0,0,'Données projet'!$E$10+1,1))-AVERAGE(OFFSET($H$3,0,0,'Données projet'!$E$10+1,1))</f>
        <v>302.6112905010138</v>
      </c>
      <c r="AO100" s="59">
        <f t="shared" si="90"/>
        <v>423.44006663873375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0.54431691516581415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2.4662522628311174E-10</v>
      </c>
      <c r="AX100" s="21">
        <f t="shared" si="60"/>
        <v>0.54431691541243943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>
        <f>BD100*VLOOKUP('Données projet'!$B$11,Paramètres!$A$1:$I$89,3,0)*VLOOKUP('Données projet'!$B$11,Paramètres!$A$1:$I$89,5,0)</f>
        <v>0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207.91763299672158</v>
      </c>
      <c r="BJ100" s="59">
        <f t="shared" si="92"/>
        <v>230.81096055024483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1.9513933752793615</v>
      </c>
      <c r="BQ100" s="21">
        <f>EXP(-LN(2)/25)*BQ99+(1-EXP(-LN(2)/25))/(LN(2)/25)*Calculateur!BL100*Calculateur!BN100*VLOOKUP('Données projet'!$B$11,Paramètres!$A$1:$I$89,3,0)*0.475*44/12</f>
        <v>0.93976472894627172</v>
      </c>
      <c r="BR100" s="21">
        <f>EXP(-LN(2)/2)*BR99+(1-EXP(-LN(2)/2))/(LN(2)/2)*BL100*BO100*VLOOKUP('Données projet'!$B$11,Paramètres!$A$1:$I$89,3,0)*0.475*44/12</f>
        <v>2.4349444708808418E-10</v>
      </c>
      <c r="BS100" s="22">
        <f t="shared" si="63"/>
        <v>2.8911581044691279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18.5</v>
      </c>
      <c r="N101" s="13">
        <f>IF('Données projet'!$A$36&gt;35,N100+M101-V100,IF(A101&lt;'Données projet'!$A$36,$K$205^A101,IF(A101='Données projet'!$A$36,'Données projet'!$B$36,N100+M101-V100)))</f>
        <v>638.49999999999989</v>
      </c>
      <c r="O101" s="13">
        <f>N101*VLOOKUP('Données projet'!$B$9,Paramètres!$A$1:$I$89,3,0)*VLOOKUP('Données projet'!$B$9,Paramètres!$A$1:$I$89,5,0)</f>
        <v>298.81799999999993</v>
      </c>
      <c r="P101" s="13">
        <f t="shared" si="87"/>
        <v>70.928613970256563</v>
      </c>
      <c r="Q101" s="20">
        <f t="shared" si="107"/>
        <v>643.97535266486341</v>
      </c>
      <c r="R101" s="59">
        <f t="shared" si="55"/>
        <v>937.30868599819678</v>
      </c>
      <c r="S101" s="59">
        <f ca="1">AVERAGE(OFFSET($R$3,0,0,'Données projet'!$E$9+1,1))-AVERAGE(OFFSET($H$3,0,0,'Données projet'!$E$9+1,1))</f>
        <v>319.22903094674564</v>
      </c>
      <c r="T101" s="59">
        <f t="shared" si="88"/>
        <v>254.58690973142848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2.3607185215806084</v>
      </c>
      <c r="AA101" s="21">
        <f>EXP(-LN(2)/25)*AA100+(1-EXP(-LN(2)/25))/(LN(2)/25)*Calculateur!V101*Calculateur!X101*VLOOKUP('Données projet'!$B$9,Paramètres!$A$1:$I$89,3,0)*0.475*44/12</f>
        <v>1.6924844951694984</v>
      </c>
      <c r="AB101" s="21">
        <f>EXP(-LN(2)/2)*AB100+(1-EXP(-LN(2)/2))/(LN(2)/2)*V101*Y101*VLOOKUP('Données projet'!$B$9,Paramètres!$A$1:$I$89,3,0)*0.475*44/12</f>
        <v>6.4279468751037549E-10</v>
      </c>
      <c r="AC101" s="22">
        <f t="shared" si="57"/>
        <v>4.0532030173929012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1.9895196601282805E-13</v>
      </c>
      <c r="AJ101" s="13">
        <f>AI101*VLOOKUP('Données projet'!$B$10,Paramètres!$A$1:$I$89,3,0)*VLOOKUP('Données projet'!$B$10,Paramètres!$A$1:$I$89,5,0)</f>
        <v>1.8001173884840681E-13</v>
      </c>
      <c r="AK101" s="13">
        <f t="shared" si="89"/>
        <v>2.5254331426407198E-12</v>
      </c>
      <c r="AL101" s="20">
        <f t="shared" si="58"/>
        <v>4.7119831685935622E-12</v>
      </c>
      <c r="AM101" s="59">
        <f t="shared" si="59"/>
        <v>293.33333333333803</v>
      </c>
      <c r="AN101" s="59">
        <f ca="1">AVERAGE(OFFSET($AM$3,0,0,'Données projet'!$E$10+1,1))-AVERAGE(OFFSET($H$3,0,0,'Données projet'!$E$10+1,1))</f>
        <v>302.6112905010138</v>
      </c>
      <c r="AO101" s="59">
        <f t="shared" si="90"/>
        <v>423.44006663873375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0.53364319245994851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1.7439036991645507E-10</v>
      </c>
      <c r="AX101" s="21">
        <f t="shared" si="60"/>
        <v>0.5336431926343389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>
        <f>BD101*VLOOKUP('Données projet'!$B$11,Paramètres!$A$1:$I$89,3,0)*VLOOKUP('Données projet'!$B$11,Paramètres!$A$1:$I$89,5,0)</f>
        <v>0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207.91763299672158</v>
      </c>
      <c r="BJ101" s="59">
        <f t="shared" si="92"/>
        <v>230.81096055024483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1.9131277414225665</v>
      </c>
      <c r="BQ101" s="21">
        <f>EXP(-LN(2)/25)*BQ100+(1-EXP(-LN(2)/25))/(LN(2)/25)*Calculateur!BL101*Calculateur!BN101*VLOOKUP('Données projet'!$B$11,Paramètres!$A$1:$I$89,3,0)*0.475*44/12</f>
        <v>0.91406681301315673</v>
      </c>
      <c r="BR101" s="21">
        <f>EXP(-LN(2)/2)*BR100+(1-EXP(-LN(2)/2))/(LN(2)/2)*BL101*BO101*VLOOKUP('Données projet'!$B$11,Paramètres!$A$1:$I$89,3,0)*0.475*44/12</f>
        <v>1.7217657471725332E-10</v>
      </c>
      <c r="BS101" s="22">
        <f t="shared" si="63"/>
        <v>2.8271945546078996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18.5</v>
      </c>
      <c r="N102" s="13">
        <f>IF('Données projet'!$A$36&gt;35,N101+M102-V101,IF(A102&lt;'Données projet'!$A$36,$K$205^A102,IF(A102='Données projet'!$A$36,'Données projet'!$B$36,N101+M102-V101)))</f>
        <v>656.99999999999989</v>
      </c>
      <c r="O102" s="13">
        <f>N102*VLOOKUP('Données projet'!$B$9,Paramètres!$A$1:$I$89,3,0)*VLOOKUP('Données projet'!$B$9,Paramètres!$A$1:$I$89,5,0)</f>
        <v>307.47599999999994</v>
      </c>
      <c r="P102" s="13">
        <f t="shared" si="87"/>
        <v>72.741467976269988</v>
      </c>
      <c r="Q102" s="20">
        <f t="shared" si="107"/>
        <v>662.21209005867013</v>
      </c>
      <c r="R102" s="59">
        <f t="shared" si="55"/>
        <v>955.54542339200339</v>
      </c>
      <c r="S102" s="59">
        <f ca="1">AVERAGE(OFFSET($R$3,0,0,'Données projet'!$E$9+1,1))-AVERAGE(OFFSET($H$3,0,0,'Données projet'!$E$9+1,1))</f>
        <v>319.22903094674564</v>
      </c>
      <c r="T102" s="59">
        <f t="shared" si="88"/>
        <v>254.58690973142848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2.3144262712685331</v>
      </c>
      <c r="AA102" s="21">
        <f>EXP(-LN(2)/25)*AA101+(1-EXP(-LN(2)/25))/(LN(2)/25)*Calculateur!V102*Calculateur!X102*VLOOKUP('Données projet'!$B$9,Paramètres!$A$1:$I$89,3,0)*0.475*44/12</f>
        <v>1.6462034176451972</v>
      </c>
      <c r="AB102" s="21">
        <f>EXP(-LN(2)/2)*AB101+(1-EXP(-LN(2)/2))/(LN(2)/2)*V102*Y102*VLOOKUP('Données projet'!$B$9,Paramètres!$A$1:$I$89,3,0)*0.475*44/12</f>
        <v>4.545244824492743E-10</v>
      </c>
      <c r="AC102" s="22">
        <f t="shared" si="57"/>
        <v>3.9606296893682549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1.9895196601282805E-13</v>
      </c>
      <c r="AJ102" s="13">
        <f>AI102*VLOOKUP('Données projet'!$B$10,Paramètres!$A$1:$I$89,3,0)*VLOOKUP('Données projet'!$B$10,Paramètres!$A$1:$I$89,5,0)</f>
        <v>1.8001173884840681E-13</v>
      </c>
      <c r="AK102" s="13">
        <f t="shared" si="89"/>
        <v>2.5254331426407198E-12</v>
      </c>
      <c r="AL102" s="20">
        <f t="shared" si="58"/>
        <v>4.7119831685935622E-12</v>
      </c>
      <c r="AM102" s="59">
        <f t="shared" si="59"/>
        <v>293.33333333333803</v>
      </c>
      <c r="AN102" s="59">
        <f ca="1">AVERAGE(OFFSET($AM$3,0,0,'Données projet'!$E$10+1,1))-AVERAGE(OFFSET($H$3,0,0,'Données projet'!$E$10+1,1))</f>
        <v>302.6112905010138</v>
      </c>
      <c r="AO102" s="59">
        <f t="shared" si="90"/>
        <v>423.44006663873375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0.52317877494601683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1.2331261314155587E-10</v>
      </c>
      <c r="AX102" s="21">
        <f t="shared" si="60"/>
        <v>0.52317877506932942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>
        <f>BD102*VLOOKUP('Données projet'!$B$11,Paramètres!$A$1:$I$89,3,0)*VLOOKUP('Données projet'!$B$11,Paramètres!$A$1:$I$89,5,0)</f>
        <v>0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207.91763299672158</v>
      </c>
      <c r="BJ102" s="59">
        <f t="shared" si="92"/>
        <v>230.81096055024483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1.8756124733059711</v>
      </c>
      <c r="BQ102" s="21">
        <f>EXP(-LN(2)/25)*BQ101+(1-EXP(-LN(2)/25))/(LN(2)/25)*Calculateur!BL102*Calculateur!BN102*VLOOKUP('Données projet'!$B$11,Paramètres!$A$1:$I$89,3,0)*0.475*44/12</f>
        <v>0.88907160794262741</v>
      </c>
      <c r="BR102" s="21">
        <f>EXP(-LN(2)/2)*BR101+(1-EXP(-LN(2)/2))/(LN(2)/2)*BL102*BO102*VLOOKUP('Données projet'!$B$11,Paramètres!$A$1:$I$89,3,0)*0.475*44/12</f>
        <v>1.2174722354404209E-10</v>
      </c>
      <c r="BS102" s="22">
        <f t="shared" si="63"/>
        <v>2.7646840813703455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>
        <f>VLOOKUP(A103,'Données projet'!$A$35:$I$55,2,0)</f>
        <v>675.5</v>
      </c>
      <c r="L103" s="12">
        <f>VLOOKUP(A103,'Données projet'!$A$35:$I$55,9,0)</f>
        <v>18.5</v>
      </c>
      <c r="M103" s="12">
        <f t="array" ref="M103">INDEX(L:L,MIN(IF(ISNUMBER(L103:L299),ROW(L103:L299),"")))</f>
        <v>18.5</v>
      </c>
      <c r="N103" s="13">
        <f>IF('Données projet'!$A$36&gt;35,N102+M103-V102,IF(A103&lt;'Données projet'!$A$36,$K$205^A103,IF(A103='Données projet'!$A$36,'Données projet'!$B$36,N102+M103-V102)))</f>
        <v>675.49999999999989</v>
      </c>
      <c r="O103" s="13">
        <f>N103*VLOOKUP('Données projet'!$B$9,Paramètres!$A$1:$I$89,3,0)*VLOOKUP('Données projet'!$B$9,Paramètres!$A$1:$I$89,5,0)</f>
        <v>316.13399999999996</v>
      </c>
      <c r="P103" s="13">
        <f t="shared" si="87"/>
        <v>74.548389024136753</v>
      </c>
      <c r="Q103" s="20">
        <f t="shared" si="107"/>
        <v>680.43849421703806</v>
      </c>
      <c r="R103" s="59">
        <f t="shared" si="55"/>
        <v>973.77182755037143</v>
      </c>
      <c r="S103" s="59">
        <f ca="1">AVERAGE(OFFSET($R$3,0,0,'Données projet'!$E$9+1,1))-AVERAGE(OFFSET($H$3,0,0,'Données projet'!$E$9+1,1))</f>
        <v>319.22903094674564</v>
      </c>
      <c r="T103" s="59">
        <f t="shared" si="88"/>
        <v>254.58690973142848</v>
      </c>
      <c r="U103" s="15">
        <f>IF(ISNA(VLOOKUP(A103,'Données projet'!$A$35:$I$55,3,0)),0,VLOOKUP(A103,'Données projet'!$A$35:$I$55,3,0))</f>
        <v>9</v>
      </c>
      <c r="V103" s="15">
        <f>IF(ISNA(VLOOKUP(A103,'Données projet'!$A$35:$I$55,4,0)),0,VLOOKUP(A103,'Données projet'!$A$35:$I$55,4,0))</f>
        <v>675.5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2.2690417837495929</v>
      </c>
      <c r="AA103" s="21">
        <f>EXP(-LN(2)/25)*AA102+(1-EXP(-LN(2)/25))/(LN(2)/25)*Calculateur!V103*Calculateur!X103*VLOOKUP('Données projet'!$B$9,Paramètres!$A$1:$I$89,3,0)*0.475*44/12</f>
        <v>1.601187898619614</v>
      </c>
      <c r="AB103" s="21">
        <f>EXP(-LN(2)/2)*AB102+(1-EXP(-LN(2)/2))/(LN(2)/2)*V103*Y103*VLOOKUP('Données projet'!$B$9,Paramètres!$A$1:$I$89,3,0)*0.475*44/12</f>
        <v>3.213973437551878E-10</v>
      </c>
      <c r="AC103" s="22">
        <f t="shared" si="57"/>
        <v>3.8702296826906037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1.9895196601282805E-13</v>
      </c>
      <c r="AJ103" s="13">
        <f>AI103*VLOOKUP('Données projet'!$B$10,Paramètres!$A$1:$I$89,3,0)*VLOOKUP('Données projet'!$B$10,Paramètres!$A$1:$I$89,5,0)</f>
        <v>1.8001173884840681E-13</v>
      </c>
      <c r="AK103" s="13">
        <f t="shared" si="89"/>
        <v>2.5254331426407198E-12</v>
      </c>
      <c r="AL103" s="20">
        <f t="shared" si="58"/>
        <v>4.7119831685935622E-12</v>
      </c>
      <c r="AM103" s="59">
        <f t="shared" si="59"/>
        <v>293.33333333333803</v>
      </c>
      <c r="AN103" s="59">
        <f ca="1">AVERAGE(OFFSET($AM$3,0,0,'Données projet'!$E$10+1,1))-AVERAGE(OFFSET($H$3,0,0,'Données projet'!$E$10+1,1))</f>
        <v>302.6112905010138</v>
      </c>
      <c r="AO103" s="59">
        <f t="shared" si="90"/>
        <v>423.44006663873375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0.51291955827686886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8.7195184958227533E-11</v>
      </c>
      <c r="AX103" s="21">
        <f t="shared" si="60"/>
        <v>0.512919558364064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>
        <f>BD103*VLOOKUP('Données projet'!$B$11,Paramètres!$A$1:$I$89,3,0)*VLOOKUP('Données projet'!$B$11,Paramètres!$A$1:$I$89,5,0)</f>
        <v>0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207.91763299672158</v>
      </c>
      <c r="BJ103" s="59">
        <f t="shared" si="92"/>
        <v>230.81096055024483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1.838832856715088</v>
      </c>
      <c r="BQ103" s="21">
        <f>EXP(-LN(2)/25)*BQ102+(1-EXP(-LN(2)/25))/(LN(2)/25)*Calculateur!BL103*Calculateur!BN103*VLOOKUP('Données projet'!$B$11,Paramètres!$A$1:$I$89,3,0)*0.475*44/12</f>
        <v>0.8647598980691924</v>
      </c>
      <c r="BR103" s="21">
        <f>EXP(-LN(2)/2)*BR102+(1-EXP(-LN(2)/2))/(LN(2)/2)*BL103*BO103*VLOOKUP('Données projet'!$B$11,Paramètres!$A$1:$I$89,3,0)*0.475*44/12</f>
        <v>8.6088287358626659E-11</v>
      </c>
      <c r="BS103" s="22">
        <f t="shared" si="63"/>
        <v>2.7035927548703689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-1.1368683772161603E-13</v>
      </c>
      <c r="O104" s="13">
        <f>N104*VLOOKUP('Données projet'!$B$9,Paramètres!$A$1:$I$89,3,0)*VLOOKUP('Données projet'!$B$9,Paramètres!$A$1:$I$89,5,0)</f>
        <v>-5.3205440053716299E-14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319.22903094674564</v>
      </c>
      <c r="T104" s="59">
        <f t="shared" si="88"/>
        <v>254.58690973142848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2.2245472583490948</v>
      </c>
      <c r="AA104" s="21">
        <f>EXP(-LN(2)/25)*AA103+(1-EXP(-LN(2)/25))/(LN(2)/25)*Calculateur!V104*Calculateur!X104*VLOOKUP('Données projet'!$B$9,Paramètres!$A$1:$I$89,3,0)*0.475*44/12</f>
        <v>1.5574033313290485</v>
      </c>
      <c r="AB104" s="21">
        <f>EXP(-LN(2)/2)*AB103+(1-EXP(-LN(2)/2))/(LN(2)/2)*V104*Y104*VLOOKUP('Données projet'!$B$9,Paramètres!$A$1:$I$89,3,0)*0.475*44/12</f>
        <v>2.272622412246372E-10</v>
      </c>
      <c r="AC104" s="22">
        <f t="shared" si="57"/>
        <v>3.7819505899054056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1.9895196601282805E-13</v>
      </c>
      <c r="AJ104" s="13">
        <f>AI104*VLOOKUP('Données projet'!$B$10,Paramètres!$A$1:$I$89,3,0)*VLOOKUP('Données projet'!$B$10,Paramètres!$A$1:$I$89,5,0)</f>
        <v>1.8001173884840681E-13</v>
      </c>
      <c r="AK104" s="13">
        <f t="shared" si="89"/>
        <v>2.5254331426407198E-12</v>
      </c>
      <c r="AL104" s="20">
        <f t="shared" si="58"/>
        <v>4.7119831685935622E-12</v>
      </c>
      <c r="AM104" s="59">
        <f t="shared" si="59"/>
        <v>293.33333333333803</v>
      </c>
      <c r="AN104" s="59">
        <f ca="1">AVERAGE(OFFSET($AM$3,0,0,'Données projet'!$E$10+1,1))-AVERAGE(OFFSET($H$3,0,0,'Données projet'!$E$10+1,1))</f>
        <v>302.6112905010138</v>
      </c>
      <c r="AO104" s="59">
        <f t="shared" si="90"/>
        <v>423.44006663873375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0.50286151858909867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6.1656306570777936E-11</v>
      </c>
      <c r="AX104" s="21">
        <f t="shared" si="60"/>
        <v>0.50286151865075501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>
        <f>BD104*VLOOKUP('Données projet'!$B$11,Paramètres!$A$1:$I$89,3,0)*VLOOKUP('Données projet'!$B$11,Paramètres!$A$1:$I$89,5,0)</f>
        <v>0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207.91763299672158</v>
      </c>
      <c r="BJ104" s="59">
        <f t="shared" si="92"/>
        <v>230.81096055024483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1.8027744659722011</v>
      </c>
      <c r="BQ104" s="21">
        <f>EXP(-LN(2)/25)*BQ103+(1-EXP(-LN(2)/25))/(LN(2)/25)*Calculateur!BL104*Calculateur!BN104*VLOOKUP('Données projet'!$B$11,Paramètres!$A$1:$I$89,3,0)*0.475*44/12</f>
        <v>0.84111299318074373</v>
      </c>
      <c r="BR104" s="21">
        <f>EXP(-LN(2)/2)*BR103+(1-EXP(-LN(2)/2))/(LN(2)/2)*BL104*BO104*VLOOKUP('Données projet'!$B$11,Paramètres!$A$1:$I$89,3,0)*0.475*44/12</f>
        <v>6.0873611772021045E-11</v>
      </c>
      <c r="BS104" s="22">
        <f t="shared" si="63"/>
        <v>2.6438874592138184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-1.1368683772161603E-13</v>
      </c>
      <c r="O105" s="13">
        <f>N105*VLOOKUP('Données projet'!$B$9,Paramètres!$A$1:$I$89,3,0)*VLOOKUP('Données projet'!$B$9,Paramètres!$A$1:$I$89,5,0)</f>
        <v>-5.3205440053716299E-14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319.22903094674564</v>
      </c>
      <c r="T105" s="59">
        <f t="shared" si="88"/>
        <v>254.58690973142848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2.18092524345272</v>
      </c>
      <c r="AA105" s="21">
        <f>EXP(-LN(2)/25)*AA104+(1-EXP(-LN(2)/25))/(LN(2)/25)*Calculateur!V105*Calculateur!X105*VLOOKUP('Données projet'!$B$9,Paramètres!$A$1:$I$89,3,0)*0.475*44/12</f>
        <v>1.5148160553335739</v>
      </c>
      <c r="AB105" s="21">
        <f>EXP(-LN(2)/2)*AB104+(1-EXP(-LN(2)/2))/(LN(2)/2)*V105*Y105*VLOOKUP('Données projet'!$B$9,Paramètres!$A$1:$I$89,3,0)*0.475*44/12</f>
        <v>1.6069867187759392E-10</v>
      </c>
      <c r="AC105" s="22">
        <f t="shared" si="57"/>
        <v>3.6957412989469924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1.9895196601282805E-13</v>
      </c>
      <c r="AJ105" s="13">
        <f>AI105*VLOOKUP('Données projet'!$B$10,Paramètres!$A$1:$I$89,3,0)*VLOOKUP('Données projet'!$B$10,Paramètres!$A$1:$I$89,5,0)</f>
        <v>1.8001173884840681E-13</v>
      </c>
      <c r="AK105" s="13">
        <f t="shared" si="89"/>
        <v>2.5254331426407198E-12</v>
      </c>
      <c r="AL105" s="20">
        <f t="shared" si="58"/>
        <v>4.7119831685935622E-12</v>
      </c>
      <c r="AM105" s="59">
        <f t="shared" si="59"/>
        <v>293.33333333333803</v>
      </c>
      <c r="AN105" s="59">
        <f ca="1">AVERAGE(OFFSET($AM$3,0,0,'Données projet'!$E$10+1,1))-AVERAGE(OFFSET($H$3,0,0,'Données projet'!$E$10+1,1))</f>
        <v>302.6112905010138</v>
      </c>
      <c r="AO105" s="59">
        <f t="shared" si="90"/>
        <v>423.44006663873375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0.49300071092480718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4.3597592479113767E-11</v>
      </c>
      <c r="AX105" s="21">
        <f t="shared" si="60"/>
        <v>0.49300071096840475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>
        <f>BD105*VLOOKUP('Données projet'!$B$11,Paramètres!$A$1:$I$89,3,0)*VLOOKUP('Données projet'!$B$11,Paramètres!$A$1:$I$89,5,0)</f>
        <v>0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207.91763299672158</v>
      </c>
      <c r="BJ105" s="59">
        <f t="shared" si="92"/>
        <v>230.81096055024483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1.7674231582783357</v>
      </c>
      <c r="BQ105" s="21">
        <f>EXP(-LN(2)/25)*BQ104+(1-EXP(-LN(2)/25))/(LN(2)/25)*Calculateur!BL105*Calculateur!BN105*VLOOKUP('Données projet'!$B$11,Paramètres!$A$1:$I$89,3,0)*0.475*44/12</f>
        <v>0.81811271415000641</v>
      </c>
      <c r="BR105" s="21">
        <f>EXP(-LN(2)/2)*BR104+(1-EXP(-LN(2)/2))/(LN(2)/2)*BL105*BO105*VLOOKUP('Données projet'!$B$11,Paramètres!$A$1:$I$89,3,0)*0.475*44/12</f>
        <v>4.3044143679313329E-11</v>
      </c>
      <c r="BS105" s="22">
        <f t="shared" si="63"/>
        <v>2.5855358724713864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-1.1368683772161603E-13</v>
      </c>
      <c r="O106" s="13">
        <f>N106*VLOOKUP('Données projet'!$B$9,Paramètres!$A$1:$I$89,3,0)*VLOOKUP('Données projet'!$B$9,Paramètres!$A$1:$I$89,5,0)</f>
        <v>-5.3205440053716299E-14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319.22903094674564</v>
      </c>
      <c r="T106" s="59">
        <f t="shared" si="88"/>
        <v>254.58690973142848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2.1381586296616613</v>
      </c>
      <c r="AA106" s="21">
        <f>EXP(-LN(2)/25)*AA105+(1-EXP(-LN(2)/25))/(LN(2)/25)*Calculateur!V106*Calculateur!X106*VLOOKUP('Données projet'!$B$9,Paramètres!$A$1:$I$89,3,0)*0.475*44/12</f>
        <v>1.4733933306397631</v>
      </c>
      <c r="AB106" s="21">
        <f>EXP(-LN(2)/2)*AB105+(1-EXP(-LN(2)/2))/(LN(2)/2)*V106*Y106*VLOOKUP('Données projet'!$B$9,Paramètres!$A$1:$I$89,3,0)*0.475*44/12</f>
        <v>1.1363112061231861E-10</v>
      </c>
      <c r="AC106" s="22">
        <f t="shared" si="57"/>
        <v>3.6115519604150559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1.9895196601282805E-13</v>
      </c>
      <c r="AJ106" s="13">
        <f>AI106*VLOOKUP('Données projet'!$B$10,Paramètres!$A$1:$I$89,3,0)*VLOOKUP('Données projet'!$B$10,Paramètres!$A$1:$I$89,5,0)</f>
        <v>1.8001173884840681E-13</v>
      </c>
      <c r="AK106" s="13">
        <f t="shared" si="89"/>
        <v>2.5254331426407198E-12</v>
      </c>
      <c r="AL106" s="20">
        <f t="shared" si="58"/>
        <v>4.7119831685935622E-12</v>
      </c>
      <c r="AM106" s="59">
        <f t="shared" si="59"/>
        <v>293.33333333333803</v>
      </c>
      <c r="AN106" s="59">
        <f ca="1">AVERAGE(OFFSET($AM$3,0,0,'Données projet'!$E$10+1,1))-AVERAGE(OFFSET($H$3,0,0,'Données projet'!$E$10+1,1))</f>
        <v>302.6112905010138</v>
      </c>
      <c r="AO106" s="59">
        <f t="shared" si="90"/>
        <v>423.44006663873375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0.48333326768431367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3.0828153285388968E-11</v>
      </c>
      <c r="AX106" s="21">
        <f t="shared" si="60"/>
        <v>0.48333326771514185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>
        <f>BD106*VLOOKUP('Données projet'!$B$11,Paramètres!$A$1:$I$89,3,0)*VLOOKUP('Données projet'!$B$11,Paramètres!$A$1:$I$89,5,0)</f>
        <v>0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207.91763299672158</v>
      </c>
      <c r="BJ106" s="59">
        <f t="shared" si="92"/>
        <v>230.81096055024483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1.7327650681661784</v>
      </c>
      <c r="BQ106" s="21">
        <f>EXP(-LN(2)/25)*BQ105+(1-EXP(-LN(2)/25))/(LN(2)/25)*Calculateur!BL106*Calculateur!BN106*VLOOKUP('Données projet'!$B$11,Paramètres!$A$1:$I$89,3,0)*0.475*44/12</f>
        <v>0.79574137895889663</v>
      </c>
      <c r="BR106" s="21">
        <f>EXP(-LN(2)/2)*BR105+(1-EXP(-LN(2)/2))/(LN(2)/2)*BL106*BO106*VLOOKUP('Données projet'!$B$11,Paramètres!$A$1:$I$89,3,0)*0.475*44/12</f>
        <v>3.0436805886010523E-11</v>
      </c>
      <c r="BS106" s="22">
        <f t="shared" si="63"/>
        <v>2.5285064471555119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-1.1368683772161603E-13</v>
      </c>
      <c r="O107" s="13">
        <f>N107*VLOOKUP('Données projet'!$B$9,Paramètres!$A$1:$I$89,3,0)*VLOOKUP('Données projet'!$B$9,Paramètres!$A$1:$I$89,5,0)</f>
        <v>-5.3205440053716299E-14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319.22903094674564</v>
      </c>
      <c r="T107" s="59">
        <f t="shared" si="88"/>
        <v>254.58690973142848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2.0962306430819861</v>
      </c>
      <c r="AA107" s="21">
        <f>EXP(-LN(2)/25)*AA106+(1-EXP(-LN(2)/25))/(LN(2)/25)*Calculateur!V107*Calculateur!X107*VLOOKUP('Données projet'!$B$9,Paramètres!$A$1:$I$89,3,0)*0.475*44/12</f>
        <v>1.4331033125310311</v>
      </c>
      <c r="AB107" s="21">
        <f>EXP(-LN(2)/2)*AB106+(1-EXP(-LN(2)/2))/(LN(2)/2)*V107*Y107*VLOOKUP('Données projet'!$B$9,Paramètres!$A$1:$I$89,3,0)*0.475*44/12</f>
        <v>8.0349335938796975E-11</v>
      </c>
      <c r="AC107" s="22">
        <f t="shared" si="57"/>
        <v>3.5293339556933669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1.9895196601282805E-13</v>
      </c>
      <c r="AJ107" s="13">
        <f>AI107*VLOOKUP('Données projet'!$B$10,Paramètres!$A$1:$I$89,3,0)*VLOOKUP('Données projet'!$B$10,Paramètres!$A$1:$I$89,5,0)</f>
        <v>1.8001173884840681E-13</v>
      </c>
      <c r="AK107" s="13">
        <f t="shared" si="89"/>
        <v>2.5254331426407198E-12</v>
      </c>
      <c r="AL107" s="20">
        <f t="shared" si="58"/>
        <v>4.7119831685935622E-12</v>
      </c>
      <c r="AM107" s="59">
        <f t="shared" si="59"/>
        <v>293.33333333333803</v>
      </c>
      <c r="AN107" s="59">
        <f ca="1">AVERAGE(OFFSET($AM$3,0,0,'Données projet'!$E$10+1,1))-AVERAGE(OFFSET($H$3,0,0,'Données projet'!$E$10+1,1))</f>
        <v>302.6112905010138</v>
      </c>
      <c r="AO107" s="59">
        <f t="shared" si="90"/>
        <v>423.44006663873375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0.4738553971092081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2.1798796239556883E-11</v>
      </c>
      <c r="AX107" s="21">
        <f t="shared" si="60"/>
        <v>0.47385539713100688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>
        <f>BD107*VLOOKUP('Données projet'!$B$11,Paramètres!$A$1:$I$89,3,0)*VLOOKUP('Données projet'!$B$11,Paramètres!$A$1:$I$89,5,0)</f>
        <v>0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207.91763299672158</v>
      </c>
      <c r="BJ107" s="59">
        <f t="shared" si="92"/>
        <v>230.81096055024483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1.6987866020617728</v>
      </c>
      <c r="BQ107" s="21">
        <f>EXP(-LN(2)/25)*BQ106+(1-EXP(-LN(2)/25))/(LN(2)/25)*Calculateur!BL107*Calculateur!BN107*VLOOKUP('Données projet'!$B$11,Paramètres!$A$1:$I$89,3,0)*0.475*44/12</f>
        <v>0.77398178910504523</v>
      </c>
      <c r="BR107" s="21">
        <f>EXP(-LN(2)/2)*BR106+(1-EXP(-LN(2)/2))/(LN(2)/2)*BL107*BO107*VLOOKUP('Données projet'!$B$11,Paramètres!$A$1:$I$89,3,0)*0.475*44/12</f>
        <v>2.1522071839656665E-11</v>
      </c>
      <c r="BS107" s="22">
        <f t="shared" si="63"/>
        <v>2.4727683911883398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-1.1368683772161603E-13</v>
      </c>
      <c r="O108" s="13">
        <f>N108*VLOOKUP('Données projet'!$B$9,Paramètres!$A$1:$I$89,3,0)*VLOOKUP('Données projet'!$B$9,Paramètres!$A$1:$I$89,5,0)</f>
        <v>-5.3205440053716299E-14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319.22903094674564</v>
      </c>
      <c r="T108" s="59">
        <f t="shared" si="88"/>
        <v>254.58690973142848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2.0551248387455918</v>
      </c>
      <c r="AA108" s="21">
        <f>EXP(-LN(2)/25)*AA107+(1-EXP(-LN(2)/25))/(LN(2)/25)*Calculateur!V108*Calculateur!X108*VLOOKUP('Données projet'!$B$9,Paramètres!$A$1:$I$89,3,0)*0.475*44/12</f>
        <v>1.3939150270862422</v>
      </c>
      <c r="AB108" s="21">
        <f>EXP(-LN(2)/2)*AB107+(1-EXP(-LN(2)/2))/(LN(2)/2)*V108*Y108*VLOOKUP('Données projet'!$B$9,Paramètres!$A$1:$I$89,3,0)*0.475*44/12</f>
        <v>5.6815560306159313E-11</v>
      </c>
      <c r="AC108" s="22">
        <f t="shared" si="57"/>
        <v>3.4490398658886492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1.9895196601282805E-13</v>
      </c>
      <c r="AJ108" s="13">
        <f>AI108*VLOOKUP('Données projet'!$B$10,Paramètres!$A$1:$I$89,3,0)*VLOOKUP('Données projet'!$B$10,Paramètres!$A$1:$I$89,5,0)</f>
        <v>1.8001173884840681E-13</v>
      </c>
      <c r="AK108" s="13">
        <f t="shared" si="89"/>
        <v>2.5254331426407198E-12</v>
      </c>
      <c r="AL108" s="20">
        <f t="shared" si="58"/>
        <v>4.7119831685935622E-12</v>
      </c>
      <c r="AM108" s="59">
        <f t="shared" si="59"/>
        <v>293.33333333333803</v>
      </c>
      <c r="AN108" s="59">
        <f ca="1">AVERAGE(OFFSET($AM$3,0,0,'Données projet'!$E$10+1,1))-AVERAGE(OFFSET($H$3,0,0,'Données projet'!$E$10+1,1))</f>
        <v>302.6112905010138</v>
      </c>
      <c r="AO108" s="59">
        <f t="shared" si="90"/>
        <v>423.44006663873375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0.46456338179515011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1.5414076642694484E-11</v>
      </c>
      <c r="AX108" s="21">
        <f t="shared" si="60"/>
        <v>0.46456338181056417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>
        <f>BD108*VLOOKUP('Données projet'!$B$11,Paramètres!$A$1:$I$89,3,0)*VLOOKUP('Données projet'!$B$11,Paramètres!$A$1:$I$89,5,0)</f>
        <v>0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207.91763299672158</v>
      </c>
      <c r="BJ108" s="59">
        <f t="shared" si="92"/>
        <v>230.81096055024483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1.6654744329528566</v>
      </c>
      <c r="BQ108" s="21">
        <f>EXP(-LN(2)/25)*BQ107+(1-EXP(-LN(2)/25))/(LN(2)/25)*Calculateur!BL108*Calculateur!BN108*VLOOKUP('Données projet'!$B$11,Paramètres!$A$1:$I$89,3,0)*0.475*44/12</f>
        <v>0.7528172163800344</v>
      </c>
      <c r="BR108" s="21">
        <f>EXP(-LN(2)/2)*BR107+(1-EXP(-LN(2)/2))/(LN(2)/2)*BL108*BO108*VLOOKUP('Données projet'!$B$11,Paramètres!$A$1:$I$89,3,0)*0.475*44/12</f>
        <v>1.5218402943005261E-11</v>
      </c>
      <c r="BS108" s="22">
        <f t="shared" si="63"/>
        <v>2.4182916493481095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-1.1368683772161603E-13</v>
      </c>
      <c r="O109" s="13">
        <f>N109*VLOOKUP('Données projet'!$B$9,Paramètres!$A$1:$I$89,3,0)*VLOOKUP('Données projet'!$B$9,Paramètres!$A$1:$I$89,5,0)</f>
        <v>-5.3205440053716299E-14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319.22903094674564</v>
      </c>
      <c r="T109" s="59">
        <f t="shared" si="88"/>
        <v>254.58690973142848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2.0148250941601695</v>
      </c>
      <c r="AA109" s="21">
        <f>EXP(-LN(2)/25)*AA108+(1-EXP(-LN(2)/25))/(LN(2)/25)*Calculateur!V109*Calculateur!X109*VLOOKUP('Données projet'!$B$9,Paramètres!$A$1:$I$89,3,0)*0.475*44/12</f>
        <v>1.3557983473677635</v>
      </c>
      <c r="AB109" s="21">
        <f>EXP(-LN(2)/2)*AB108+(1-EXP(-LN(2)/2))/(LN(2)/2)*V109*Y109*VLOOKUP('Données projet'!$B$9,Paramètres!$A$1:$I$89,3,0)*0.475*44/12</f>
        <v>4.0174667969398494E-11</v>
      </c>
      <c r="AC109" s="22">
        <f t="shared" si="57"/>
        <v>3.3706234415681076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1.9895196601282805E-13</v>
      </c>
      <c r="AJ109" s="13">
        <f>AI109*VLOOKUP('Données projet'!$B$10,Paramètres!$A$1:$I$89,3,0)*VLOOKUP('Données projet'!$B$10,Paramètres!$A$1:$I$89,5,0)</f>
        <v>1.8001173884840681E-13</v>
      </c>
      <c r="AK109" s="13">
        <f t="shared" si="89"/>
        <v>2.5254331426407198E-12</v>
      </c>
      <c r="AL109" s="20">
        <f t="shared" si="58"/>
        <v>4.7119831685935622E-12</v>
      </c>
      <c r="AM109" s="59">
        <f t="shared" si="59"/>
        <v>293.33333333333803</v>
      </c>
      <c r="AN109" s="59">
        <f ca="1">AVERAGE(OFFSET($AM$3,0,0,'Données projet'!$E$10+1,1))-AVERAGE(OFFSET($H$3,0,0,'Données projet'!$E$10+1,1))</f>
        <v>302.6112905010138</v>
      </c>
      <c r="AO109" s="59">
        <f t="shared" si="90"/>
        <v>423.44006663873375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0.45545357723383106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1.0899398119778442E-11</v>
      </c>
      <c r="AX109" s="21">
        <f t="shared" si="60"/>
        <v>0.45545357724473046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>
        <f>BD109*VLOOKUP('Données projet'!$B$11,Paramètres!$A$1:$I$89,3,0)*VLOOKUP('Données projet'!$B$11,Paramètres!$A$1:$I$89,5,0)</f>
        <v>0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207.91763299672158</v>
      </c>
      <c r="BJ109" s="59">
        <f t="shared" si="92"/>
        <v>230.81096055024483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1.6328154951617493</v>
      </c>
      <c r="BQ109" s="21">
        <f>EXP(-LN(2)/25)*BQ108+(1-EXP(-LN(2)/25))/(LN(2)/25)*Calculateur!BL109*Calculateur!BN109*VLOOKUP('Données projet'!$B$11,Paramètres!$A$1:$I$89,3,0)*0.475*44/12</f>
        <v>0.73223139000918558</v>
      </c>
      <c r="BR109" s="21">
        <f>EXP(-LN(2)/2)*BR108+(1-EXP(-LN(2)/2))/(LN(2)/2)*BL109*BO109*VLOOKUP('Données projet'!$B$11,Paramètres!$A$1:$I$89,3,0)*0.475*44/12</f>
        <v>1.0761035919828332E-11</v>
      </c>
      <c r="BS109" s="22">
        <f t="shared" si="63"/>
        <v>2.3650468851816959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-1.1368683772161603E-13</v>
      </c>
      <c r="O110" s="13">
        <f>N110*VLOOKUP('Données projet'!$B$9,Paramètres!$A$1:$I$89,3,0)*VLOOKUP('Données projet'!$B$9,Paramètres!$A$1:$I$89,5,0)</f>
        <v>-5.3205440053716299E-14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319.22903094674564</v>
      </c>
      <c r="T110" s="59">
        <f t="shared" si="88"/>
        <v>254.58690973142848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1.97531560298565</v>
      </c>
      <c r="AA110" s="21">
        <f>EXP(-LN(2)/25)*AA109+(1-EXP(-LN(2)/25))/(LN(2)/25)*Calculateur!V110*Calculateur!X110*VLOOKUP('Données projet'!$B$9,Paramètres!$A$1:$I$89,3,0)*0.475*44/12</f>
        <v>1.3187239702606557</v>
      </c>
      <c r="AB110" s="21">
        <f>EXP(-LN(2)/2)*AB109+(1-EXP(-LN(2)/2))/(LN(2)/2)*V110*Y110*VLOOKUP('Données projet'!$B$9,Paramètres!$A$1:$I$89,3,0)*0.475*44/12</f>
        <v>2.8407780153079663E-11</v>
      </c>
      <c r="AC110" s="22">
        <f t="shared" si="57"/>
        <v>3.2940395732747136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1.9895196601282805E-13</v>
      </c>
      <c r="AJ110" s="13">
        <f>AI110*VLOOKUP('Données projet'!$B$10,Paramètres!$A$1:$I$89,3,0)*VLOOKUP('Données projet'!$B$10,Paramètres!$A$1:$I$89,5,0)</f>
        <v>1.8001173884840681E-13</v>
      </c>
      <c r="AK110" s="13">
        <f t="shared" si="89"/>
        <v>2.5254331426407198E-12</v>
      </c>
      <c r="AL110" s="20">
        <f t="shared" si="58"/>
        <v>4.7119831685935622E-12</v>
      </c>
      <c r="AM110" s="59">
        <f t="shared" si="59"/>
        <v>293.33333333333803</v>
      </c>
      <c r="AN110" s="59">
        <f ca="1">AVERAGE(OFFSET($AM$3,0,0,'Données projet'!$E$10+1,1))-AVERAGE(OFFSET($H$3,0,0,'Données projet'!$E$10+1,1))</f>
        <v>302.6112905010138</v>
      </c>
      <c r="AO110" s="59">
        <f t="shared" si="90"/>
        <v>423.44006663873375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0.44652241038352736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7.707038321347242E-12</v>
      </c>
      <c r="AX110" s="21">
        <f t="shared" si="60"/>
        <v>0.44652241039123441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>
        <f>BD110*VLOOKUP('Données projet'!$B$11,Paramètres!$A$1:$I$89,3,0)*VLOOKUP('Données projet'!$B$11,Paramètres!$A$1:$I$89,5,0)</f>
        <v>0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207.91763299672158</v>
      </c>
      <c r="BJ110" s="59">
        <f t="shared" si="92"/>
        <v>230.81096055024483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1.6007969792207406</v>
      </c>
      <c r="BQ110" s="21">
        <f>EXP(-LN(2)/25)*BQ109+(1-EXP(-LN(2)/25))/(LN(2)/25)*Calculateur!BL110*Calculateur!BN110*VLOOKUP('Données projet'!$B$11,Paramètres!$A$1:$I$89,3,0)*0.475*44/12</f>
        <v>0.71220848414300919</v>
      </c>
      <c r="BR110" s="21">
        <f>EXP(-LN(2)/2)*BR109+(1-EXP(-LN(2)/2))/(LN(2)/2)*BL110*BO110*VLOOKUP('Données projet'!$B$11,Paramètres!$A$1:$I$89,3,0)*0.475*44/12</f>
        <v>7.6092014715026307E-12</v>
      </c>
      <c r="BS110" s="22">
        <f t="shared" si="63"/>
        <v>2.3130054633713586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-1.1368683772161603E-13</v>
      </c>
      <c r="O111" s="13">
        <f>N111*VLOOKUP('Données projet'!$B$9,Paramètres!$A$1:$I$89,3,0)*VLOOKUP('Données projet'!$B$9,Paramètres!$A$1:$I$89,5,0)</f>
        <v>-5.3205440053716299E-14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319.22903094674564</v>
      </c>
      <c r="T111" s="59">
        <f t="shared" si="88"/>
        <v>254.58690973142848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1.9365808688346529</v>
      </c>
      <c r="AA111" s="21">
        <f>EXP(-LN(2)/25)*AA110+(1-EXP(-LN(2)/25))/(LN(2)/25)*Calculateur!V111*Calculateur!X111*VLOOKUP('Données projet'!$B$9,Paramètres!$A$1:$I$89,3,0)*0.475*44/12</f>
        <v>1.2826633939451983</v>
      </c>
      <c r="AB111" s="21">
        <f>EXP(-LN(2)/2)*AB110+(1-EXP(-LN(2)/2))/(LN(2)/2)*V111*Y111*VLOOKUP('Données projet'!$B$9,Paramètres!$A$1:$I$89,3,0)*0.475*44/12</f>
        <v>2.008733398469925E-11</v>
      </c>
      <c r="AC111" s="22">
        <f t="shared" si="57"/>
        <v>3.2192442627999385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1.9895196601282805E-13</v>
      </c>
      <c r="AJ111" s="13">
        <f>AI111*VLOOKUP('Données projet'!$B$10,Paramètres!$A$1:$I$89,3,0)*VLOOKUP('Données projet'!$B$10,Paramètres!$A$1:$I$89,5,0)</f>
        <v>1.8001173884840681E-13</v>
      </c>
      <c r="AK111" s="13">
        <f t="shared" si="89"/>
        <v>2.5254331426407198E-12</v>
      </c>
      <c r="AL111" s="20">
        <f t="shared" si="58"/>
        <v>4.7119831685935622E-12</v>
      </c>
      <c r="AM111" s="59">
        <f t="shared" si="59"/>
        <v>293.33333333333803</v>
      </c>
      <c r="AN111" s="59">
        <f ca="1">AVERAGE(OFFSET($AM$3,0,0,'Données projet'!$E$10+1,1))-AVERAGE(OFFSET($H$3,0,0,'Données projet'!$E$10+1,1))</f>
        <v>302.6112905010138</v>
      </c>
      <c r="AO111" s="59">
        <f t="shared" si="90"/>
        <v>423.44006663873375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0.43776637826768422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5.4496990598892208E-12</v>
      </c>
      <c r="AX111" s="21">
        <f t="shared" si="60"/>
        <v>0.43776637827313392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>
        <f>BD111*VLOOKUP('Données projet'!$B$11,Paramètres!$A$1:$I$89,3,0)*VLOOKUP('Données projet'!$B$11,Paramètres!$A$1:$I$89,5,0)</f>
        <v>0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207.91763299672158</v>
      </c>
      <c r="BJ111" s="59">
        <f t="shared" si="92"/>
        <v>230.81096055024483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1.5694063268479688</v>
      </c>
      <c r="BQ111" s="21">
        <f>EXP(-LN(2)/25)*BQ110+(1-EXP(-LN(2)/25))/(LN(2)/25)*Calculateur!BL111*Calculateur!BN111*VLOOKUP('Données projet'!$B$11,Paramètres!$A$1:$I$89,3,0)*0.475*44/12</f>
        <v>0.69273310569070223</v>
      </c>
      <c r="BR111" s="21">
        <f>EXP(-LN(2)/2)*BR110+(1-EXP(-LN(2)/2))/(LN(2)/2)*BL111*BO111*VLOOKUP('Données projet'!$B$11,Paramètres!$A$1:$I$89,3,0)*0.475*44/12</f>
        <v>5.3805179599141662E-12</v>
      </c>
      <c r="BS111" s="22">
        <f t="shared" si="63"/>
        <v>2.2621394325440516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-1.1368683772161603E-13</v>
      </c>
      <c r="O112" s="13">
        <f>N112*VLOOKUP('Données projet'!$B$9,Paramètres!$A$1:$I$89,3,0)*VLOOKUP('Données projet'!$B$9,Paramètres!$A$1:$I$89,5,0)</f>
        <v>-5.3205440053716299E-14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319.22903094674564</v>
      </c>
      <c r="T112" s="59">
        <f t="shared" si="88"/>
        <v>254.58690973142848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1.8986056991945017</v>
      </c>
      <c r="AA112" s="21">
        <f>EXP(-LN(2)/25)*AA111+(1-EXP(-LN(2)/25))/(LN(2)/25)*Calculateur!V112*Calculateur!X112*VLOOKUP('Données projet'!$B$9,Paramètres!$A$1:$I$89,3,0)*0.475*44/12</f>
        <v>1.2475888959854307</v>
      </c>
      <c r="AB112" s="21">
        <f>EXP(-LN(2)/2)*AB111+(1-EXP(-LN(2)/2))/(LN(2)/2)*V112*Y112*VLOOKUP('Données projet'!$B$9,Paramètres!$A$1:$I$89,3,0)*0.475*44/12</f>
        <v>1.4203890076539833E-11</v>
      </c>
      <c r="AC112" s="22">
        <f t="shared" si="57"/>
        <v>3.1461945951941361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1.9895196601282805E-13</v>
      </c>
      <c r="AJ112" s="13">
        <f>AI112*VLOOKUP('Données projet'!$B$10,Paramètres!$A$1:$I$89,3,0)*VLOOKUP('Données projet'!$B$10,Paramètres!$A$1:$I$89,5,0)</f>
        <v>1.8001173884840681E-13</v>
      </c>
      <c r="AK112" s="13">
        <f t="shared" si="89"/>
        <v>2.5254331426407198E-12</v>
      </c>
      <c r="AL112" s="20">
        <f t="shared" si="58"/>
        <v>4.7119831685935622E-12</v>
      </c>
      <c r="AM112" s="59">
        <f t="shared" si="59"/>
        <v>293.33333333333803</v>
      </c>
      <c r="AN112" s="59">
        <f ca="1">AVERAGE(OFFSET($AM$3,0,0,'Données projet'!$E$10+1,1))-AVERAGE(OFFSET($H$3,0,0,'Données projet'!$E$10+1,1))</f>
        <v>302.6112905010138</v>
      </c>
      <c r="AO112" s="59">
        <f t="shared" si="90"/>
        <v>423.44006663873375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0.42918204660098053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3.853519160673621E-12</v>
      </c>
      <c r="AX112" s="21">
        <f t="shared" si="60"/>
        <v>0.42918204660483406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>
        <f>BD112*VLOOKUP('Données projet'!$B$11,Paramètres!$A$1:$I$89,3,0)*VLOOKUP('Données projet'!$B$11,Paramètres!$A$1:$I$89,5,0)</f>
        <v>0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207.91763299672158</v>
      </c>
      <c r="BJ112" s="59">
        <f t="shared" si="92"/>
        <v>230.81096055024483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1.5386312260218196</v>
      </c>
      <c r="BQ112" s="21">
        <f>EXP(-LN(2)/25)*BQ111+(1-EXP(-LN(2)/25))/(LN(2)/25)*Calculateur!BL112*Calculateur!BN112*VLOOKUP('Données projet'!$B$11,Paramètres!$A$1:$I$89,3,0)*0.475*44/12</f>
        <v>0.67379028248633921</v>
      </c>
      <c r="BR112" s="21">
        <f>EXP(-LN(2)/2)*BR111+(1-EXP(-LN(2)/2))/(LN(2)/2)*BL112*BO112*VLOOKUP('Données projet'!$B$11,Paramètres!$A$1:$I$89,3,0)*0.475*44/12</f>
        <v>3.8046007357513153E-12</v>
      </c>
      <c r="BS112" s="22">
        <f t="shared" si="63"/>
        <v>2.2124215085119632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-1.1368683772161603E-13</v>
      </c>
      <c r="O113" s="13">
        <f>N113*VLOOKUP('Données projet'!$B$9,Paramètres!$A$1:$I$89,3,0)*VLOOKUP('Données projet'!$B$9,Paramètres!$A$1:$I$89,5,0)</f>
        <v>-5.3205440053716299E-14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319.22903094674564</v>
      </c>
      <c r="T113" s="59">
        <f t="shared" si="88"/>
        <v>254.58690973142848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1.8613751994684276</v>
      </c>
      <c r="AA113" s="21">
        <f>EXP(-LN(2)/25)*AA112+(1-EXP(-LN(2)/25))/(LN(2)/25)*Calculateur!V113*Calculateur!X113*VLOOKUP('Données projet'!$B$9,Paramètres!$A$1:$I$89,3,0)*0.475*44/12</f>
        <v>1.2134735120168605</v>
      </c>
      <c r="AB113" s="21">
        <f>EXP(-LN(2)/2)*AB112+(1-EXP(-LN(2)/2))/(LN(2)/2)*V113*Y113*VLOOKUP('Données projet'!$B$9,Paramètres!$A$1:$I$89,3,0)*0.475*44/12</f>
        <v>1.0043666992349627E-11</v>
      </c>
      <c r="AC113" s="22">
        <f t="shared" si="57"/>
        <v>3.0748487114953313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1.9895196601282805E-13</v>
      </c>
      <c r="AJ113" s="13">
        <f>AI113*VLOOKUP('Données projet'!$B$10,Paramètres!$A$1:$I$89,3,0)*VLOOKUP('Données projet'!$B$10,Paramètres!$A$1:$I$89,5,0)</f>
        <v>1.8001173884840681E-13</v>
      </c>
      <c r="AK113" s="13">
        <f t="shared" si="89"/>
        <v>2.5254331426407198E-12</v>
      </c>
      <c r="AL113" s="20">
        <f t="shared" si="58"/>
        <v>4.7119831685935622E-12</v>
      </c>
      <c r="AM113" s="59">
        <f t="shared" si="59"/>
        <v>293.33333333333803</v>
      </c>
      <c r="AN113" s="59">
        <f ca="1">AVERAGE(OFFSET($AM$3,0,0,'Données projet'!$E$10+1,1))-AVERAGE(OFFSET($H$3,0,0,'Données projet'!$E$10+1,1))</f>
        <v>302.6112905010138</v>
      </c>
      <c r="AO113" s="59">
        <f t="shared" si="90"/>
        <v>423.44006663873375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0.42076604844233556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2.7248495299446104E-12</v>
      </c>
      <c r="AX113" s="21">
        <f t="shared" si="60"/>
        <v>0.42076604844506044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>
        <f>BD113*VLOOKUP('Données projet'!$B$11,Paramètres!$A$1:$I$89,3,0)*VLOOKUP('Données projet'!$B$11,Paramètres!$A$1:$I$89,5,0)</f>
        <v>0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207.91763299672158</v>
      </c>
      <c r="BJ113" s="59">
        <f t="shared" si="92"/>
        <v>230.81096055024483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1.5084596061519131</v>
      </c>
      <c r="BQ113" s="21">
        <f>EXP(-LN(2)/25)*BQ112+(1-EXP(-LN(2)/25))/(LN(2)/25)*Calculateur!BL113*Calculateur!BN113*VLOOKUP('Données projet'!$B$11,Paramètres!$A$1:$I$89,3,0)*0.475*44/12</f>
        <v>0.65536545177865924</v>
      </c>
      <c r="BR113" s="21">
        <f>EXP(-LN(2)/2)*BR112+(1-EXP(-LN(2)/2))/(LN(2)/2)*BL113*BO113*VLOOKUP('Données projet'!$B$11,Paramètres!$A$1:$I$89,3,0)*0.475*44/12</f>
        <v>2.6902589799570831E-12</v>
      </c>
      <c r="BS113" s="22">
        <f t="shared" si="63"/>
        <v>2.1638250579332627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-1.1368683772161603E-13</v>
      </c>
      <c r="O114" s="13">
        <f>N114*VLOOKUP('Données projet'!$B$9,Paramètres!$A$1:$I$89,3,0)*VLOOKUP('Données projet'!$B$9,Paramètres!$A$1:$I$89,5,0)</f>
        <v>-5.3205440053716299E-14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319.22903094674564</v>
      </c>
      <c r="T114" s="59">
        <f t="shared" si="88"/>
        <v>254.58690973142848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1.8248747671336192</v>
      </c>
      <c r="AA114" s="21">
        <f>EXP(-LN(2)/25)*AA113+(1-EXP(-LN(2)/25))/(LN(2)/25)*Calculateur!V114*Calculateur!X114*VLOOKUP('Données projet'!$B$9,Paramètres!$A$1:$I$89,3,0)*0.475*44/12</f>
        <v>1.1802910150169608</v>
      </c>
      <c r="AB114" s="21">
        <f>EXP(-LN(2)/2)*AB113+(1-EXP(-LN(2)/2))/(LN(2)/2)*V114*Y114*VLOOKUP('Données projet'!$B$9,Paramètres!$A$1:$I$89,3,0)*0.475*44/12</f>
        <v>7.1019450382699182E-12</v>
      </c>
      <c r="AC114" s="22">
        <f t="shared" si="57"/>
        <v>3.0051657821576816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1.9895196601282805E-13</v>
      </c>
      <c r="AJ114" s="13">
        <f>AI114*VLOOKUP('Données projet'!$B$10,Paramètres!$A$1:$I$89,3,0)*VLOOKUP('Données projet'!$B$10,Paramètres!$A$1:$I$89,5,0)</f>
        <v>1.8001173884840681E-13</v>
      </c>
      <c r="AK114" s="13">
        <f t="shared" si="89"/>
        <v>2.5254331426407198E-12</v>
      </c>
      <c r="AL114" s="20">
        <f t="shared" si="58"/>
        <v>4.7119831685935622E-12</v>
      </c>
      <c r="AM114" s="59">
        <f t="shared" si="59"/>
        <v>293.33333333333803</v>
      </c>
      <c r="AN114" s="59">
        <f ca="1">AVERAGE(OFFSET($AM$3,0,0,'Données projet'!$E$10+1,1))-AVERAGE(OFFSET($H$3,0,0,'Données projet'!$E$10+1,1))</f>
        <v>302.6112905010138</v>
      </c>
      <c r="AO114" s="59">
        <f t="shared" si="90"/>
        <v>423.44006663873375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0.41251508287432964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1.9267595803368105E-12</v>
      </c>
      <c r="AX114" s="21">
        <f t="shared" si="60"/>
        <v>0.41251508287625638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>
        <f>BD114*VLOOKUP('Données projet'!$B$11,Paramètres!$A$1:$I$89,3,0)*VLOOKUP('Données projet'!$B$11,Paramètres!$A$1:$I$89,5,0)</f>
        <v>0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207.91763299672158</v>
      </c>
      <c r="BJ114" s="59">
        <f t="shared" si="92"/>
        <v>230.81096055024483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1.4788796333447844</v>
      </c>
      <c r="BQ114" s="21">
        <f>EXP(-LN(2)/25)*BQ113+(1-EXP(-LN(2)/25))/(LN(2)/25)*Calculateur!BL114*Calculateur!BN114*VLOOKUP('Données projet'!$B$11,Paramètres!$A$1:$I$89,3,0)*0.475*44/12</f>
        <v>0.6374444490356006</v>
      </c>
      <c r="BR114" s="21">
        <f>EXP(-LN(2)/2)*BR113+(1-EXP(-LN(2)/2))/(LN(2)/2)*BL114*BO114*VLOOKUP('Données projet'!$B$11,Paramètres!$A$1:$I$89,3,0)*0.475*44/12</f>
        <v>1.9023003678756577E-12</v>
      </c>
      <c r="BS114" s="22">
        <f t="shared" si="63"/>
        <v>2.1163240823822873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-1.1368683772161603E-13</v>
      </c>
      <c r="O115" s="13">
        <f>N115*VLOOKUP('Données projet'!$B$9,Paramètres!$A$1:$I$89,3,0)*VLOOKUP('Données projet'!$B$9,Paramètres!$A$1:$I$89,5,0)</f>
        <v>-5.3205440053716299E-14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319.22903094674564</v>
      </c>
      <c r="T115" s="59">
        <f t="shared" si="88"/>
        <v>254.58690973142848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1.789090086013831</v>
      </c>
      <c r="AA115" s="21">
        <f>EXP(-LN(2)/25)*AA114+(1-EXP(-LN(2)/25))/(LN(2)/25)*Calculateur!V115*Calculateur!X115*VLOOKUP('Données projet'!$B$9,Paramètres!$A$1:$I$89,3,0)*0.475*44/12</f>
        <v>1.148015895142515</v>
      </c>
      <c r="AB115" s="21">
        <f>EXP(-LN(2)/2)*AB114+(1-EXP(-LN(2)/2))/(LN(2)/2)*V115*Y115*VLOOKUP('Données projet'!$B$9,Paramètres!$A$1:$I$89,3,0)*0.475*44/12</f>
        <v>5.0218334961748141E-12</v>
      </c>
      <c r="AC115" s="22">
        <f t="shared" si="57"/>
        <v>2.937105981161368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1.9895196601282805E-13</v>
      </c>
      <c r="AJ115" s="13">
        <f>AI115*VLOOKUP('Données projet'!$B$10,Paramètres!$A$1:$I$89,3,0)*VLOOKUP('Données projet'!$B$10,Paramètres!$A$1:$I$89,5,0)</f>
        <v>1.8001173884840681E-13</v>
      </c>
      <c r="AK115" s="13">
        <f t="shared" si="89"/>
        <v>2.5254331426407198E-12</v>
      </c>
      <c r="AL115" s="20">
        <f t="shared" si="58"/>
        <v>4.7119831685935622E-12</v>
      </c>
      <c r="AM115" s="59">
        <f t="shared" si="59"/>
        <v>293.33333333333803</v>
      </c>
      <c r="AN115" s="59">
        <f ca="1">AVERAGE(OFFSET($AM$3,0,0,'Données projet'!$E$10+1,1))-AVERAGE(OFFSET($H$3,0,0,'Données projet'!$E$10+1,1))</f>
        <v>302.6112905010138</v>
      </c>
      <c r="AO115" s="59">
        <f t="shared" si="90"/>
        <v>423.44006663873375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0.40442591370852021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1.3624247649723052E-12</v>
      </c>
      <c r="AX115" s="21">
        <f t="shared" si="60"/>
        <v>0.40442591370988262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>
        <f>BD115*VLOOKUP('Données projet'!$B$11,Paramètres!$A$1:$I$89,3,0)*VLOOKUP('Données projet'!$B$11,Paramètres!$A$1:$I$89,5,0)</f>
        <v>0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207.91763299672158</v>
      </c>
      <c r="BJ115" s="59">
        <f t="shared" si="92"/>
        <v>230.81096055024483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1.4498797057624018</v>
      </c>
      <c r="BQ115" s="21">
        <f>EXP(-LN(2)/25)*BQ114+(1-EXP(-LN(2)/25))/(LN(2)/25)*Calculateur!BL115*Calculateur!BN115*VLOOKUP('Données projet'!$B$11,Paramètres!$A$1:$I$89,3,0)*0.475*44/12</f>
        <v>0.62001349705497544</v>
      </c>
      <c r="BR115" s="21">
        <f>EXP(-LN(2)/2)*BR114+(1-EXP(-LN(2)/2))/(LN(2)/2)*BL115*BO115*VLOOKUP('Données projet'!$B$11,Paramètres!$A$1:$I$89,3,0)*0.475*44/12</f>
        <v>1.3451294899785415E-12</v>
      </c>
      <c r="BS115" s="22">
        <f t="shared" si="63"/>
        <v>2.0698932028187222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-1.1368683772161603E-13</v>
      </c>
      <c r="O116" s="13">
        <f>N116*VLOOKUP('Données projet'!$B$9,Paramètres!$A$1:$I$89,3,0)*VLOOKUP('Données projet'!$B$9,Paramètres!$A$1:$I$89,5,0)</f>
        <v>-5.3205440053716299E-14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319.22903094674564</v>
      </c>
      <c r="T116" s="59">
        <f t="shared" si="88"/>
        <v>254.58690973142848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1.7540071206643015</v>
      </c>
      <c r="AA116" s="21">
        <f>EXP(-LN(2)/25)*AA115+(1-EXP(-LN(2)/25))/(LN(2)/25)*Calculateur!V116*Calculateur!X116*VLOOKUP('Données projet'!$B$9,Paramètres!$A$1:$I$89,3,0)*0.475*44/12</f>
        <v>1.1166233401183108</v>
      </c>
      <c r="AB116" s="21">
        <f>EXP(-LN(2)/2)*AB115+(1-EXP(-LN(2)/2))/(LN(2)/2)*V116*Y116*VLOOKUP('Données projet'!$B$9,Paramètres!$A$1:$I$89,3,0)*0.475*44/12</f>
        <v>3.5509725191349595E-12</v>
      </c>
      <c r="AC116" s="22">
        <f t="shared" si="57"/>
        <v>2.8706304607861632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1.9895196601282805E-13</v>
      </c>
      <c r="AJ116" s="13">
        <f>AI116*VLOOKUP('Données projet'!$B$10,Paramètres!$A$1:$I$89,3,0)*VLOOKUP('Données projet'!$B$10,Paramètres!$A$1:$I$89,5,0)</f>
        <v>1.8001173884840681E-13</v>
      </c>
      <c r="AK116" s="13">
        <f t="shared" si="89"/>
        <v>2.5254331426407198E-12</v>
      </c>
      <c r="AL116" s="20">
        <f t="shared" si="58"/>
        <v>4.7119831685935622E-12</v>
      </c>
      <c r="AM116" s="59">
        <f t="shared" si="59"/>
        <v>293.33333333333803</v>
      </c>
      <c r="AN116" s="59">
        <f ca="1">AVERAGE(OFFSET($AM$3,0,0,'Données projet'!$E$10+1,1))-AVERAGE(OFFSET($H$3,0,0,'Données projet'!$E$10+1,1))</f>
        <v>302.6112905010138</v>
      </c>
      <c r="AO116" s="59">
        <f t="shared" si="90"/>
        <v>423.44006663873375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0.39649536821614634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9.6337979016840525E-13</v>
      </c>
      <c r="AX116" s="21">
        <f t="shared" si="60"/>
        <v>0.39649536821710973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>
        <f>BD116*VLOOKUP('Données projet'!$B$11,Paramètres!$A$1:$I$89,3,0)*VLOOKUP('Données projet'!$B$11,Paramètres!$A$1:$I$89,5,0)</f>
        <v>0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207.91763299672158</v>
      </c>
      <c r="BJ116" s="59">
        <f t="shared" si="92"/>
        <v>230.81096055024483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1.4214484490717003</v>
      </c>
      <c r="BQ116" s="21">
        <f>EXP(-LN(2)/25)*BQ115+(1-EXP(-LN(2)/25))/(LN(2)/25)*Calculateur!BL116*Calculateur!BN116*VLOOKUP('Données projet'!$B$11,Paramètres!$A$1:$I$89,3,0)*0.475*44/12</f>
        <v>0.60305919537291441</v>
      </c>
      <c r="BR116" s="21">
        <f>EXP(-LN(2)/2)*BR115+(1-EXP(-LN(2)/2))/(LN(2)/2)*BL116*BO116*VLOOKUP('Données projet'!$B$11,Paramètres!$A$1:$I$89,3,0)*0.475*44/12</f>
        <v>9.5115018393782883E-13</v>
      </c>
      <c r="BS116" s="22">
        <f t="shared" si="63"/>
        <v>2.0245076444455661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-1.1368683772161603E-13</v>
      </c>
      <c r="O117" s="13">
        <f>N117*VLOOKUP('Données projet'!$B$9,Paramètres!$A$1:$I$89,3,0)*VLOOKUP('Données projet'!$B$9,Paramètres!$A$1:$I$89,5,0)</f>
        <v>-5.3205440053716299E-14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319.22903094674564</v>
      </c>
      <c r="T117" s="59">
        <f t="shared" si="88"/>
        <v>254.58690973142848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1.7196121108667803</v>
      </c>
      <c r="AA117" s="21">
        <f>EXP(-LN(2)/25)*AA116+(1-EXP(-LN(2)/25))/(LN(2)/25)*Calculateur!V117*Calculateur!X117*VLOOKUP('Données projet'!$B$9,Paramètres!$A$1:$I$89,3,0)*0.475*44/12</f>
        <v>1.0860892161621061</v>
      </c>
      <c r="AB117" s="21">
        <f>EXP(-LN(2)/2)*AB116+(1-EXP(-LN(2)/2))/(LN(2)/2)*V117*Y117*VLOOKUP('Données projet'!$B$9,Paramètres!$A$1:$I$89,3,0)*0.475*44/12</f>
        <v>2.5109167480874075E-12</v>
      </c>
      <c r="AC117" s="22">
        <f t="shared" si="57"/>
        <v>2.8057013270313975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1.9895196601282805E-13</v>
      </c>
      <c r="AJ117" s="13">
        <f>AI117*VLOOKUP('Données projet'!$B$10,Paramètres!$A$1:$I$89,3,0)*VLOOKUP('Données projet'!$B$10,Paramètres!$A$1:$I$89,5,0)</f>
        <v>1.8001173884840681E-13</v>
      </c>
      <c r="AK117" s="13">
        <f t="shared" si="89"/>
        <v>2.5254331426407198E-12</v>
      </c>
      <c r="AL117" s="20">
        <f t="shared" si="58"/>
        <v>4.7119831685935622E-12</v>
      </c>
      <c r="AM117" s="59">
        <f t="shared" si="59"/>
        <v>293.33333333333803</v>
      </c>
      <c r="AN117" s="59">
        <f ca="1">AVERAGE(OFFSET($AM$3,0,0,'Données projet'!$E$10+1,1))-AVERAGE(OFFSET($H$3,0,0,'Données projet'!$E$10+1,1))</f>
        <v>302.6112905010138</v>
      </c>
      <c r="AO117" s="59">
        <f t="shared" si="90"/>
        <v>423.44006663873375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0.38872033588372279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6.8121238248615261E-13</v>
      </c>
      <c r="AX117" s="21">
        <f t="shared" si="60"/>
        <v>0.38872033588440402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>
        <f>BD117*VLOOKUP('Données projet'!$B$11,Paramètres!$A$1:$I$89,3,0)*VLOOKUP('Données projet'!$B$11,Paramètres!$A$1:$I$89,5,0)</f>
        <v>0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207.91763299672158</v>
      </c>
      <c r="BJ117" s="59">
        <f t="shared" si="92"/>
        <v>230.81096055024483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1.3935747119833493</v>
      </c>
      <c r="BQ117" s="21">
        <f>EXP(-LN(2)/25)*BQ116+(1-EXP(-LN(2)/25))/(LN(2)/25)*Calculateur!BL117*Calculateur!BN117*VLOOKUP('Données projet'!$B$11,Paramètres!$A$1:$I$89,3,0)*0.475*44/12</f>
        <v>0.58656850996193732</v>
      </c>
      <c r="BR117" s="21">
        <f>EXP(-LN(2)/2)*BR116+(1-EXP(-LN(2)/2))/(LN(2)/2)*BL117*BO117*VLOOKUP('Données projet'!$B$11,Paramètres!$A$1:$I$89,3,0)*0.475*44/12</f>
        <v>6.7256474498927077E-13</v>
      </c>
      <c r="BS117" s="22">
        <f t="shared" si="63"/>
        <v>1.9801432219459592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-1.1368683772161603E-13</v>
      </c>
      <c r="O118" s="13">
        <f>N118*VLOOKUP('Données projet'!$B$9,Paramètres!$A$1:$I$89,3,0)*VLOOKUP('Données projet'!$B$9,Paramètres!$A$1:$I$89,5,0)</f>
        <v>-5.3205440053716299E-14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319.22903094674564</v>
      </c>
      <c r="T118" s="59">
        <f t="shared" si="88"/>
        <v>254.58690973142848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1.685891566232504</v>
      </c>
      <c r="AA118" s="21">
        <f>EXP(-LN(2)/25)*AA117+(1-EXP(-LN(2)/25))/(LN(2)/25)*Calculateur!V118*Calculateur!X118*VLOOKUP('Données projet'!$B$9,Paramètres!$A$1:$I$89,3,0)*0.475*44/12</f>
        <v>1.0563900494312037</v>
      </c>
      <c r="AB118" s="21">
        <f>EXP(-LN(2)/2)*AB117+(1-EXP(-LN(2)/2))/(LN(2)/2)*V118*Y118*VLOOKUP('Données projet'!$B$9,Paramètres!$A$1:$I$89,3,0)*0.475*44/12</f>
        <v>1.7754862595674799E-12</v>
      </c>
      <c r="AC118" s="22">
        <f t="shared" si="57"/>
        <v>2.7422816156654832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1.9895196601282805E-13</v>
      </c>
      <c r="AJ118" s="13">
        <f>AI118*VLOOKUP('Données projet'!$B$10,Paramètres!$A$1:$I$89,3,0)*VLOOKUP('Données projet'!$B$10,Paramètres!$A$1:$I$89,5,0)</f>
        <v>1.8001173884840681E-13</v>
      </c>
      <c r="AK118" s="13">
        <f t="shared" si="89"/>
        <v>2.5254331426407198E-12</v>
      </c>
      <c r="AL118" s="20">
        <f t="shared" si="58"/>
        <v>4.7119831685935622E-12</v>
      </c>
      <c r="AM118" s="59">
        <f t="shared" si="59"/>
        <v>293.33333333333803</v>
      </c>
      <c r="AN118" s="59">
        <f ca="1">AVERAGE(OFFSET($AM$3,0,0,'Données projet'!$E$10+1,1))-AVERAGE(OFFSET($H$3,0,0,'Données projet'!$E$10+1,1))</f>
        <v>302.6112905010138</v>
      </c>
      <c r="AO118" s="59">
        <f t="shared" si="90"/>
        <v>423.44006663873375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0.38109776719303656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4.8168989508420262E-13</v>
      </c>
      <c r="AX118" s="21">
        <f t="shared" si="60"/>
        <v>0.38109776719351823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>
        <f>BD118*VLOOKUP('Données projet'!$B$11,Paramètres!$A$1:$I$89,3,0)*VLOOKUP('Données projet'!$B$11,Paramètres!$A$1:$I$89,5,0)</f>
        <v>0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207.91763299672158</v>
      </c>
      <c r="BJ118" s="59">
        <f t="shared" si="92"/>
        <v>230.81096055024483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1.3662475618779999</v>
      </c>
      <c r="BQ118" s="21">
        <f>EXP(-LN(2)/25)*BQ117+(1-EXP(-LN(2)/25))/(LN(2)/25)*Calculateur!BL118*Calculateur!BN118*VLOOKUP('Données projet'!$B$11,Paramètres!$A$1:$I$89,3,0)*0.475*44/12</f>
        <v>0.57052876321073087</v>
      </c>
      <c r="BR118" s="21">
        <f>EXP(-LN(2)/2)*BR117+(1-EXP(-LN(2)/2))/(LN(2)/2)*BL118*BO118*VLOOKUP('Données projet'!$B$11,Paramètres!$A$1:$I$89,3,0)*0.475*44/12</f>
        <v>4.7557509196891442E-13</v>
      </c>
      <c r="BS118" s="22">
        <f t="shared" si="63"/>
        <v>1.9367763250892063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-1.1368683772161603E-13</v>
      </c>
      <c r="O119" s="13">
        <f>N119*VLOOKUP('Données projet'!$B$9,Paramètres!$A$1:$I$89,3,0)*VLOOKUP('Données projet'!$B$9,Paramètres!$A$1:$I$89,5,0)</f>
        <v>-5.3205440053716299E-14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319.22903094674564</v>
      </c>
      <c r="T119" s="59">
        <f t="shared" si="88"/>
        <v>254.58690973142848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1.6528322609110047</v>
      </c>
      <c r="AA119" s="21">
        <f>EXP(-LN(2)/25)*AA118+(1-EXP(-LN(2)/25))/(LN(2)/25)*Calculateur!V119*Calculateur!X119*VLOOKUP('Données projet'!$B$9,Paramètres!$A$1:$I$89,3,0)*0.475*44/12</f>
        <v>1.0275030079763692</v>
      </c>
      <c r="AB119" s="21">
        <f>EXP(-LN(2)/2)*AB118+(1-EXP(-LN(2)/2))/(LN(2)/2)*V119*Y119*VLOOKUP('Données projet'!$B$9,Paramètres!$A$1:$I$89,3,0)*0.475*44/12</f>
        <v>1.2554583740437039E-12</v>
      </c>
      <c r="AC119" s="22">
        <f t="shared" si="57"/>
        <v>2.6803352688886295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1.9895196601282805E-13</v>
      </c>
      <c r="AJ119" s="13">
        <f>AI119*VLOOKUP('Données projet'!$B$10,Paramètres!$A$1:$I$89,3,0)*VLOOKUP('Données projet'!$B$10,Paramètres!$A$1:$I$89,5,0)</f>
        <v>1.8001173884840681E-13</v>
      </c>
      <c r="AK119" s="13">
        <f t="shared" si="89"/>
        <v>2.5254331426407198E-12</v>
      </c>
      <c r="AL119" s="20">
        <f t="shared" si="58"/>
        <v>4.7119831685935622E-12</v>
      </c>
      <c r="AM119" s="59">
        <f t="shared" si="59"/>
        <v>293.33333333333803</v>
      </c>
      <c r="AN119" s="59">
        <f ca="1">AVERAGE(OFFSET($AM$3,0,0,'Données projet'!$E$10+1,1))-AVERAGE(OFFSET($H$3,0,0,'Données projet'!$E$10+1,1))</f>
        <v>302.6112905010138</v>
      </c>
      <c r="AO119" s="59">
        <f t="shared" si="90"/>
        <v>423.44006663873375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0.37362467242506692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3.406061912430763E-13</v>
      </c>
      <c r="AX119" s="21">
        <f t="shared" si="60"/>
        <v>0.37362467242540753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>
        <f>BD119*VLOOKUP('Données projet'!$B$11,Paramètres!$A$1:$I$89,3,0)*VLOOKUP('Données projet'!$B$11,Paramètres!$A$1:$I$89,5,0)</f>
        <v>0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207.91763299672158</v>
      </c>
      <c r="BJ119" s="59">
        <f t="shared" si="92"/>
        <v>230.81096055024483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1.3394562805183008</v>
      </c>
      <c r="BQ119" s="21">
        <f>EXP(-LN(2)/25)*BQ118+(1-EXP(-LN(2)/25))/(LN(2)/25)*Calculateur!BL119*Calculateur!BN119*VLOOKUP('Données projet'!$B$11,Paramètres!$A$1:$I$89,3,0)*0.475*44/12</f>
        <v>0.55492762417792973</v>
      </c>
      <c r="BR119" s="21">
        <f>EXP(-LN(2)/2)*BR118+(1-EXP(-LN(2)/2))/(LN(2)/2)*BL119*BO119*VLOOKUP('Données projet'!$B$11,Paramètres!$A$1:$I$89,3,0)*0.475*44/12</f>
        <v>3.3628237249463539E-13</v>
      </c>
      <c r="BS119" s="22">
        <f t="shared" si="63"/>
        <v>1.8943839046965667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-1.1368683772161603E-13</v>
      </c>
      <c r="O120" s="13">
        <f>N120*VLOOKUP('Données projet'!$B$9,Paramètres!$A$1:$I$89,3,0)*VLOOKUP('Données projet'!$B$9,Paramètres!$A$1:$I$89,5,0)</f>
        <v>-5.3205440053716299E-14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319.22903094674564</v>
      </c>
      <c r="T120" s="59">
        <f t="shared" si="88"/>
        <v>254.58690973142848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1.6204212284026747</v>
      </c>
      <c r="AA120" s="21">
        <f>EXP(-LN(2)/25)*AA119+(1-EXP(-LN(2)/25))/(LN(2)/25)*Calculateur!V120*Calculateur!X120*VLOOKUP('Données projet'!$B$9,Paramètres!$A$1:$I$89,3,0)*0.475*44/12</f>
        <v>0.99940588418922061</v>
      </c>
      <c r="AB120" s="21">
        <f>EXP(-LN(2)/2)*AB119+(1-EXP(-LN(2)/2))/(LN(2)/2)*V120*Y120*VLOOKUP('Données projet'!$B$9,Paramètres!$A$1:$I$89,3,0)*0.475*44/12</f>
        <v>8.8774312978374017E-13</v>
      </c>
      <c r="AC120" s="22">
        <f t="shared" si="57"/>
        <v>2.619827112592783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1.9895196601282805E-13</v>
      </c>
      <c r="AJ120" s="13">
        <f>AI120*VLOOKUP('Données projet'!$B$10,Paramètres!$A$1:$I$89,3,0)*VLOOKUP('Données projet'!$B$10,Paramètres!$A$1:$I$89,5,0)</f>
        <v>1.8001173884840681E-13</v>
      </c>
      <c r="AK120" s="13">
        <f t="shared" si="89"/>
        <v>2.5254331426407198E-12</v>
      </c>
      <c r="AL120" s="20">
        <f t="shared" si="58"/>
        <v>4.7119831685935622E-12</v>
      </c>
      <c r="AM120" s="59">
        <f t="shared" si="59"/>
        <v>293.33333333333803</v>
      </c>
      <c r="AN120" s="59">
        <f ca="1">AVERAGE(OFFSET($AM$3,0,0,'Données projet'!$E$10+1,1))-AVERAGE(OFFSET($H$3,0,0,'Données projet'!$E$10+1,1))</f>
        <v>302.6112905010138</v>
      </c>
      <c r="AO120" s="59">
        <f t="shared" si="90"/>
        <v>423.44006663873375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0.36629812048735944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2.4084494754210131E-13</v>
      </c>
      <c r="AX120" s="21">
        <f t="shared" si="60"/>
        <v>0.3662981204876003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>
        <f>BD120*VLOOKUP('Données projet'!$B$11,Paramètres!$A$1:$I$89,3,0)*VLOOKUP('Données projet'!$B$11,Paramètres!$A$1:$I$89,5,0)</f>
        <v>0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207.91763299672158</v>
      </c>
      <c r="BJ120" s="59">
        <f t="shared" si="92"/>
        <v>230.81096055024483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1.3131903598449972</v>
      </c>
      <c r="BQ120" s="21">
        <f>EXP(-LN(2)/25)*BQ119+(1-EXP(-LN(2)/25))/(LN(2)/25)*Calculateur!BL120*Calculateur!BN120*VLOOKUP('Données projet'!$B$11,Paramètres!$A$1:$I$89,3,0)*0.475*44/12</f>
        <v>0.53975309911240876</v>
      </c>
      <c r="BR120" s="21">
        <f>EXP(-LN(2)/2)*BR119+(1-EXP(-LN(2)/2))/(LN(2)/2)*BL120*BO120*VLOOKUP('Données projet'!$B$11,Paramètres!$A$1:$I$89,3,0)*0.475*44/12</f>
        <v>2.3778754598445721E-13</v>
      </c>
      <c r="BS120" s="22">
        <f t="shared" si="63"/>
        <v>1.8529434589576439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-1.1368683772161603E-13</v>
      </c>
      <c r="O121" s="13">
        <f>N121*VLOOKUP('Données projet'!$B$9,Paramètres!$A$1:$I$89,3,0)*VLOOKUP('Données projet'!$B$9,Paramètres!$A$1:$I$89,5,0)</f>
        <v>-5.3205440053716299E-14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319.22903094674564</v>
      </c>
      <c r="T121" s="59">
        <f t="shared" si="88"/>
        <v>254.58690973142848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1.5886457564730552</v>
      </c>
      <c r="AA121" s="21">
        <f>EXP(-LN(2)/25)*AA120+(1-EXP(-LN(2)/25))/(LN(2)/25)*Calculateur!V121*Calculateur!X121*VLOOKUP('Données projet'!$B$9,Paramètres!$A$1:$I$89,3,0)*0.475*44/12</f>
        <v>0.97207707772959506</v>
      </c>
      <c r="AB121" s="21">
        <f>EXP(-LN(2)/2)*AB120+(1-EXP(-LN(2)/2))/(LN(2)/2)*V121*Y121*VLOOKUP('Données projet'!$B$9,Paramètres!$A$1:$I$89,3,0)*0.475*44/12</f>
        <v>6.2772918702185207E-13</v>
      </c>
      <c r="AC121" s="22">
        <f t="shared" si="57"/>
        <v>2.5607228342032782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1.9895196601282805E-13</v>
      </c>
      <c r="AJ121" s="13">
        <f>AI121*VLOOKUP('Données projet'!$B$10,Paramètres!$A$1:$I$89,3,0)*VLOOKUP('Données projet'!$B$10,Paramètres!$A$1:$I$89,5,0)</f>
        <v>1.8001173884840681E-13</v>
      </c>
      <c r="AK121" s="13">
        <f t="shared" si="89"/>
        <v>2.5254331426407198E-12</v>
      </c>
      <c r="AL121" s="20">
        <f t="shared" si="58"/>
        <v>4.7119831685935622E-12</v>
      </c>
      <c r="AM121" s="59">
        <f t="shared" si="59"/>
        <v>293.33333333333803</v>
      </c>
      <c r="AN121" s="59">
        <f ca="1">AVERAGE(OFFSET($AM$3,0,0,'Données projet'!$E$10+1,1))-AVERAGE(OFFSET($H$3,0,0,'Données projet'!$E$10+1,1))</f>
        <v>302.6112905010138</v>
      </c>
      <c r="AO121" s="59">
        <f t="shared" si="90"/>
        <v>423.44006663873375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0.35911523776439497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1.7030309562153815E-13</v>
      </c>
      <c r="AX121" s="21">
        <f t="shared" si="60"/>
        <v>0.35911523776456528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>
        <f>BD121*VLOOKUP('Données projet'!$B$11,Paramètres!$A$1:$I$89,3,0)*VLOOKUP('Données projet'!$B$11,Paramètres!$A$1:$I$89,5,0)</f>
        <v>0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207.91763299672158</v>
      </c>
      <c r="BJ121" s="59">
        <f t="shared" si="92"/>
        <v>230.81096055024483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1.2874394978554673</v>
      </c>
      <c r="BQ121" s="21">
        <f>EXP(-LN(2)/25)*BQ120+(1-EXP(-LN(2)/25))/(LN(2)/25)*Calculateur!BL121*Calculateur!BN121*VLOOKUP('Données projet'!$B$11,Paramètres!$A$1:$I$89,3,0)*0.475*44/12</f>
        <v>0.52499352223279805</v>
      </c>
      <c r="BR121" s="21">
        <f>EXP(-LN(2)/2)*BR120+(1-EXP(-LN(2)/2))/(LN(2)/2)*BL121*BO121*VLOOKUP('Données projet'!$B$11,Paramètres!$A$1:$I$89,3,0)*0.475*44/12</f>
        <v>1.6814118624731769E-13</v>
      </c>
      <c r="BS121" s="22">
        <f t="shared" si="63"/>
        <v>1.8124330200884333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-1.1368683772161603E-13</v>
      </c>
      <c r="O122" s="13">
        <f>N122*VLOOKUP('Données projet'!$B$9,Paramètres!$A$1:$I$89,3,0)*VLOOKUP('Données projet'!$B$9,Paramètres!$A$1:$I$89,5,0)</f>
        <v>-5.3205440053716299E-14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319.22903094674564</v>
      </c>
      <c r="T122" s="59">
        <f t="shared" si="88"/>
        <v>254.58690973142848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1.5574933821668513</v>
      </c>
      <c r="AA122" s="21">
        <f>EXP(-LN(2)/25)*AA121+(1-EXP(-LN(2)/25))/(LN(2)/25)*Calculateur!V122*Calculateur!X122*VLOOKUP('Données projet'!$B$9,Paramètres!$A$1:$I$89,3,0)*0.475*44/12</f>
        <v>0.94549557891976743</v>
      </c>
      <c r="AB122" s="21">
        <f>EXP(-LN(2)/2)*AB121+(1-EXP(-LN(2)/2))/(LN(2)/2)*V122*Y122*VLOOKUP('Données projet'!$B$9,Paramètres!$A$1:$I$89,3,0)*0.475*44/12</f>
        <v>4.4387156489187014E-13</v>
      </c>
      <c r="AC122" s="22">
        <f t="shared" si="57"/>
        <v>2.5029889610870626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1.9895196601282805E-13</v>
      </c>
      <c r="AJ122" s="13">
        <f>AI122*VLOOKUP('Données projet'!$B$10,Paramètres!$A$1:$I$89,3,0)*VLOOKUP('Données projet'!$B$10,Paramètres!$A$1:$I$89,5,0)</f>
        <v>1.8001173884840681E-13</v>
      </c>
      <c r="AK122" s="13">
        <f t="shared" si="89"/>
        <v>2.5254331426407198E-12</v>
      </c>
      <c r="AL122" s="20">
        <f t="shared" si="58"/>
        <v>4.7119831685935622E-12</v>
      </c>
      <c r="AM122" s="59">
        <f t="shared" si="59"/>
        <v>293.33333333333803</v>
      </c>
      <c r="AN122" s="59">
        <f ca="1">AVERAGE(OFFSET($AM$3,0,0,'Données projet'!$E$10+1,1))-AVERAGE(OFFSET($H$3,0,0,'Données projet'!$E$10+1,1))</f>
        <v>302.6112905010138</v>
      </c>
      <c r="AO122" s="59">
        <f t="shared" si="90"/>
        <v>423.44006663873375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0.35207320699050193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1.2042247377105066E-13</v>
      </c>
      <c r="AX122" s="21">
        <f t="shared" si="60"/>
        <v>0.35207320699062233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>
        <f>BD122*VLOOKUP('Données projet'!$B$11,Paramètres!$A$1:$I$89,3,0)*VLOOKUP('Données projet'!$B$11,Paramètres!$A$1:$I$89,5,0)</f>
        <v>0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207.91763299672158</v>
      </c>
      <c r="BJ122" s="59">
        <f t="shared" si="92"/>
        <v>230.81096055024483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1.2621935945630773</v>
      </c>
      <c r="BQ122" s="21">
        <f>EXP(-LN(2)/25)*BQ121+(1-EXP(-LN(2)/25))/(LN(2)/25)*Calculateur!BL122*Calculateur!BN122*VLOOKUP('Données projet'!$B$11,Paramètres!$A$1:$I$89,3,0)*0.475*44/12</f>
        <v>0.51063754675913275</v>
      </c>
      <c r="BR122" s="21">
        <f>EXP(-LN(2)/2)*BR121+(1-EXP(-LN(2)/2))/(LN(2)/2)*BL122*BO122*VLOOKUP('Données projet'!$B$11,Paramètres!$A$1:$I$89,3,0)*0.475*44/12</f>
        <v>1.188937729922286E-13</v>
      </c>
      <c r="BS122" s="22">
        <f t="shared" si="63"/>
        <v>1.7728311413223288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-1.1368683772161603E-13</v>
      </c>
      <c r="O123" s="13">
        <f>N123*VLOOKUP('Données projet'!$B$9,Paramètres!$A$1:$I$89,3,0)*VLOOKUP('Données projet'!$B$9,Paramètres!$A$1:$I$89,5,0)</f>
        <v>-5.3205440053716299E-14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319.22903094674564</v>
      </c>
      <c r="T123" s="59">
        <f t="shared" si="88"/>
        <v>254.58690973142848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1.5269518869197201</v>
      </c>
      <c r="AA123" s="21">
        <f>EXP(-LN(2)/25)*AA122+(1-EXP(-LN(2)/25))/(LN(2)/25)*Calculateur!V123*Calculateur!X123*VLOOKUP('Données projet'!$B$9,Paramètres!$A$1:$I$89,3,0)*0.475*44/12</f>
        <v>0.9196409525927548</v>
      </c>
      <c r="AB123" s="21">
        <f>EXP(-LN(2)/2)*AB122+(1-EXP(-LN(2)/2))/(LN(2)/2)*V123*Y123*VLOOKUP('Données projet'!$B$9,Paramètres!$A$1:$I$89,3,0)*0.475*44/12</f>
        <v>3.1386459351092609E-13</v>
      </c>
      <c r="AC123" s="22">
        <f t="shared" si="57"/>
        <v>2.4465928395127889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1.9895196601282805E-13</v>
      </c>
      <c r="AJ123" s="13">
        <f>AI123*VLOOKUP('Données projet'!$B$10,Paramètres!$A$1:$I$89,3,0)*VLOOKUP('Données projet'!$B$10,Paramètres!$A$1:$I$89,5,0)</f>
        <v>1.8001173884840681E-13</v>
      </c>
      <c r="AK123" s="13">
        <f t="shared" si="89"/>
        <v>2.5254331426407198E-12</v>
      </c>
      <c r="AL123" s="20">
        <f t="shared" si="58"/>
        <v>4.7119831685935622E-12</v>
      </c>
      <c r="AM123" s="59">
        <f t="shared" si="59"/>
        <v>293.33333333333803</v>
      </c>
      <c r="AN123" s="59">
        <f ca="1">AVERAGE(OFFSET($AM$3,0,0,'Données projet'!$E$10+1,1))-AVERAGE(OFFSET($H$3,0,0,'Données projet'!$E$10+1,1))</f>
        <v>302.6112905010138</v>
      </c>
      <c r="AO123" s="59">
        <f t="shared" si="90"/>
        <v>423.44006663873375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0.34516926614487031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8.5151547810769076E-14</v>
      </c>
      <c r="AX123" s="21">
        <f t="shared" si="60"/>
        <v>0.34516926614495547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>
        <f>BD123*VLOOKUP('Données projet'!$B$11,Paramètres!$A$1:$I$89,3,0)*VLOOKUP('Données projet'!$B$11,Paramètres!$A$1:$I$89,5,0)</f>
        <v>0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207.91763299672158</v>
      </c>
      <c r="BJ123" s="59">
        <f t="shared" si="92"/>
        <v>230.81096055024483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1.2374427480357706</v>
      </c>
      <c r="BQ123" s="21">
        <f>EXP(-LN(2)/25)*BQ122+(1-EXP(-LN(2)/25))/(LN(2)/25)*Calculateur!BL123*Calculateur!BN123*VLOOKUP('Données projet'!$B$11,Paramètres!$A$1:$I$89,3,0)*0.475*44/12</f>
        <v>0.49667413618974277</v>
      </c>
      <c r="BR123" s="21">
        <f>EXP(-LN(2)/2)*BR122+(1-EXP(-LN(2)/2))/(LN(2)/2)*BL123*BO123*VLOOKUP('Données projet'!$B$11,Paramètres!$A$1:$I$89,3,0)*0.475*44/12</f>
        <v>8.4070593123658846E-14</v>
      </c>
      <c r="BS123" s="22">
        <f t="shared" si="63"/>
        <v>1.7341168842255976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-1.1368683772161603E-13</v>
      </c>
      <c r="O124" s="13">
        <f>N124*VLOOKUP('Données projet'!$B$9,Paramètres!$A$1:$I$89,3,0)*VLOOKUP('Données projet'!$B$9,Paramètres!$A$1:$I$89,5,0)</f>
        <v>-5.3205440053716299E-14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319.22903094674564</v>
      </c>
      <c r="T124" s="59">
        <f t="shared" si="88"/>
        <v>254.58690973142848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1.4970092917659124</v>
      </c>
      <c r="AA124" s="21">
        <f>EXP(-LN(2)/25)*AA123+(1-EXP(-LN(2)/25))/(LN(2)/25)*Calculateur!V124*Calculateur!X124*VLOOKUP('Données projet'!$B$9,Paramètres!$A$1:$I$89,3,0)*0.475*44/12</f>
        <v>0.89449332238229007</v>
      </c>
      <c r="AB124" s="21">
        <f>EXP(-LN(2)/2)*AB123+(1-EXP(-LN(2)/2))/(LN(2)/2)*V124*Y124*VLOOKUP('Données projet'!$B$9,Paramètres!$A$1:$I$89,3,0)*0.475*44/12</f>
        <v>2.2193578244593512E-13</v>
      </c>
      <c r="AC124" s="22">
        <f t="shared" si="57"/>
        <v>2.3915026141484246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1.9895196601282805E-13</v>
      </c>
      <c r="AJ124" s="13">
        <f>AI124*VLOOKUP('Données projet'!$B$10,Paramètres!$A$1:$I$89,3,0)*VLOOKUP('Données projet'!$B$10,Paramètres!$A$1:$I$89,5,0)</f>
        <v>1.8001173884840681E-13</v>
      </c>
      <c r="AK124" s="13">
        <f t="shared" si="89"/>
        <v>2.5254331426407198E-12</v>
      </c>
      <c r="AL124" s="20">
        <f t="shared" si="58"/>
        <v>4.7119831685935622E-12</v>
      </c>
      <c r="AM124" s="59">
        <f t="shared" si="59"/>
        <v>293.33333333333803</v>
      </c>
      <c r="AN124" s="59">
        <f ca="1">AVERAGE(OFFSET($AM$3,0,0,'Données projet'!$E$10+1,1))-AVERAGE(OFFSET($H$3,0,0,'Données projet'!$E$10+1,1))</f>
        <v>302.6112905010138</v>
      </c>
      <c r="AO124" s="59">
        <f t="shared" si="90"/>
        <v>423.44006663873375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0.33840070736823341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6.0211236885525328E-14</v>
      </c>
      <c r="AX124" s="21">
        <f t="shared" si="60"/>
        <v>0.33840070736829364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>
        <f>BD124*VLOOKUP('Données projet'!$B$11,Paramètres!$A$1:$I$89,3,0)*VLOOKUP('Données projet'!$B$11,Paramètres!$A$1:$I$89,5,0)</f>
        <v>0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207.91763299672158</v>
      </c>
      <c r="BJ124" s="59">
        <f t="shared" si="92"/>
        <v>230.81096055024483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1.2131772505123386</v>
      </c>
      <c r="BQ124" s="21">
        <f>EXP(-LN(2)/25)*BQ123+(1-EXP(-LN(2)/25))/(LN(2)/25)*Calculateur!BL124*Calculateur!BN124*VLOOKUP('Données projet'!$B$11,Paramètres!$A$1:$I$89,3,0)*0.475*44/12</f>
        <v>0.48309255581667659</v>
      </c>
      <c r="BR124" s="21">
        <f>EXP(-LN(2)/2)*BR123+(1-EXP(-LN(2)/2))/(LN(2)/2)*BL124*BO124*VLOOKUP('Données projet'!$B$11,Paramètres!$A$1:$I$89,3,0)*0.475*44/12</f>
        <v>5.9446886496114302E-14</v>
      </c>
      <c r="BS124" s="22">
        <f t="shared" si="63"/>
        <v>1.6962698063290746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-1.1368683772161603E-13</v>
      </c>
      <c r="O125" s="13">
        <f>N125*VLOOKUP('Données projet'!$B$9,Paramètres!$A$1:$I$89,3,0)*VLOOKUP('Données projet'!$B$9,Paramètres!$A$1:$I$89,5,0)</f>
        <v>-5.3205440053716299E-14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319.22903094674564</v>
      </c>
      <c r="T125" s="59">
        <f t="shared" si="88"/>
        <v>254.58690973142848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1.467653852639891</v>
      </c>
      <c r="AA125" s="21">
        <f>EXP(-LN(2)/25)*AA124+(1-EXP(-LN(2)/25))/(LN(2)/25)*Calculateur!V125*Calculateur!X125*VLOOKUP('Données projet'!$B$9,Paramètres!$A$1:$I$89,3,0)*0.475*44/12</f>
        <v>0.87003335544238691</v>
      </c>
      <c r="AB125" s="21">
        <f>EXP(-LN(2)/2)*AB124+(1-EXP(-LN(2)/2))/(LN(2)/2)*V125*Y125*VLOOKUP('Données projet'!$B$9,Paramètres!$A$1:$I$89,3,0)*0.475*44/12</f>
        <v>1.5693229675546307E-13</v>
      </c>
      <c r="AC125" s="22">
        <f t="shared" si="57"/>
        <v>2.3376872080824347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1.9895196601282805E-13</v>
      </c>
      <c r="AJ125" s="13">
        <f>AI125*VLOOKUP('Données projet'!$B$10,Paramètres!$A$1:$I$89,3,0)*VLOOKUP('Données projet'!$B$10,Paramètres!$A$1:$I$89,5,0)</f>
        <v>1.8001173884840681E-13</v>
      </c>
      <c r="AK125" s="13">
        <f t="shared" si="89"/>
        <v>2.5254331426407198E-12</v>
      </c>
      <c r="AL125" s="20">
        <f t="shared" si="58"/>
        <v>4.7119831685935622E-12</v>
      </c>
      <c r="AM125" s="59">
        <f t="shared" si="59"/>
        <v>293.33333333333803</v>
      </c>
      <c r="AN125" s="59">
        <f ca="1">AVERAGE(OFFSET($AM$3,0,0,'Données projet'!$E$10+1,1))-AVERAGE(OFFSET($H$3,0,0,'Données projet'!$E$10+1,1))</f>
        <v>302.6112905010138</v>
      </c>
      <c r="AO125" s="59">
        <f t="shared" si="90"/>
        <v>423.44006663873375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0.33176487590079312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4.2575773905384538E-14</v>
      </c>
      <c r="AX125" s="21">
        <f t="shared" si="60"/>
        <v>0.3317648759008357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>
        <f>BD125*VLOOKUP('Données projet'!$B$11,Paramètres!$A$1:$I$89,3,0)*VLOOKUP('Données projet'!$B$11,Paramètres!$A$1:$I$89,5,0)</f>
        <v>0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207.91763299672158</v>
      </c>
      <c r="BJ125" s="59">
        <f t="shared" si="92"/>
        <v>230.81096055024483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1.1893875845948489</v>
      </c>
      <c r="BQ125" s="21">
        <f>EXP(-LN(2)/25)*BQ124+(1-EXP(-LN(2)/25))/(LN(2)/25)*Calculateur!BL125*Calculateur!BN125*VLOOKUP('Données projet'!$B$11,Paramètres!$A$1:$I$89,3,0)*0.475*44/12</f>
        <v>0.46988236447313619</v>
      </c>
      <c r="BR125" s="21">
        <f>EXP(-LN(2)/2)*BR124+(1-EXP(-LN(2)/2))/(LN(2)/2)*BL125*BO125*VLOOKUP('Données projet'!$B$11,Paramètres!$A$1:$I$89,3,0)*0.475*44/12</f>
        <v>4.2035296561829423E-14</v>
      </c>
      <c r="BS125" s="22">
        <f t="shared" si="63"/>
        <v>1.6592699490680272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-1.1368683772161603E-13</v>
      </c>
      <c r="O126" s="13">
        <f>N126*VLOOKUP('Données projet'!$B$9,Paramètres!$A$1:$I$89,3,0)*VLOOKUP('Données projet'!$B$9,Paramètres!$A$1:$I$89,5,0)</f>
        <v>-5.3205440053716299E-14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319.22903094674564</v>
      </c>
      <c r="T126" s="59">
        <f t="shared" si="88"/>
        <v>254.58690973142848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1.4388740557700812</v>
      </c>
      <c r="AA126" s="21">
        <f>EXP(-LN(2)/25)*AA125+(1-EXP(-LN(2)/25))/(LN(2)/25)*Calculateur!V126*Calculateur!X126*VLOOKUP('Données projet'!$B$9,Paramètres!$A$1:$I$89,3,0)*0.475*44/12</f>
        <v>0.8462422475847492</v>
      </c>
      <c r="AB126" s="21">
        <f>EXP(-LN(2)/2)*AB125+(1-EXP(-LN(2)/2))/(LN(2)/2)*V126*Y126*VLOOKUP('Données projet'!$B$9,Paramètres!$A$1:$I$89,3,0)*0.475*44/12</f>
        <v>1.1096789122296757E-13</v>
      </c>
      <c r="AC126" s="22">
        <f t="shared" si="57"/>
        <v>2.2851163033549415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1.9895196601282805E-13</v>
      </c>
      <c r="AJ126" s="13">
        <f>AI126*VLOOKUP('Données projet'!$B$10,Paramètres!$A$1:$I$89,3,0)*VLOOKUP('Données projet'!$B$10,Paramètres!$A$1:$I$89,5,0)</f>
        <v>1.8001173884840681E-13</v>
      </c>
      <c r="AK126" s="13">
        <f t="shared" si="89"/>
        <v>2.5254331426407198E-12</v>
      </c>
      <c r="AL126" s="20">
        <f t="shared" si="58"/>
        <v>4.7119831685935622E-12</v>
      </c>
      <c r="AM126" s="59">
        <f t="shared" si="59"/>
        <v>293.33333333333803</v>
      </c>
      <c r="AN126" s="59">
        <f ca="1">AVERAGE(OFFSET($AM$3,0,0,'Données projet'!$E$10+1,1))-AVERAGE(OFFSET($H$3,0,0,'Données projet'!$E$10+1,1))</f>
        <v>302.6112905010138</v>
      </c>
      <c r="AO126" s="59">
        <f t="shared" si="90"/>
        <v>423.44006663873375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0.3252591690409718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3.0105618442762664E-14</v>
      </c>
      <c r="AX126" s="21">
        <f t="shared" si="60"/>
        <v>0.32525916904100188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>
        <f>BD126*VLOOKUP('Données projet'!$B$11,Paramètres!$A$1:$I$89,3,0)*VLOOKUP('Données projet'!$B$11,Paramètres!$A$1:$I$89,5,0)</f>
        <v>0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207.91763299672158</v>
      </c>
      <c r="BJ126" s="59">
        <f t="shared" si="92"/>
        <v>230.81096055024483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1.1660644195157379</v>
      </c>
      <c r="BQ126" s="21">
        <f>EXP(-LN(2)/25)*BQ125+(1-EXP(-LN(2)/25))/(LN(2)/25)*Calculateur!BL126*Calculateur!BN126*VLOOKUP('Données projet'!$B$11,Paramètres!$A$1:$I$89,3,0)*0.475*44/12</f>
        <v>0.45703340650657864</v>
      </c>
      <c r="BR126" s="21">
        <f>EXP(-LN(2)/2)*BR125+(1-EXP(-LN(2)/2))/(LN(2)/2)*BL126*BO126*VLOOKUP('Données projet'!$B$11,Paramètres!$A$1:$I$89,3,0)*0.475*44/12</f>
        <v>2.9723443248057151E-14</v>
      </c>
      <c r="BS126" s="22">
        <f t="shared" si="63"/>
        <v>1.6230978260223463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-1.1368683772161603E-13</v>
      </c>
      <c r="O127" s="13">
        <f>N127*VLOOKUP('Données projet'!$B$9,Paramètres!$A$1:$I$89,3,0)*VLOOKUP('Données projet'!$B$9,Paramètres!$A$1:$I$89,5,0)</f>
        <v>-5.3205440053716299E-14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319.22903094674564</v>
      </c>
      <c r="T127" s="59">
        <f t="shared" si="88"/>
        <v>254.58690973142848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1.4106586131629455</v>
      </c>
      <c r="AA127" s="21">
        <f>EXP(-LN(2)/25)*AA126+(1-EXP(-LN(2)/25))/(LN(2)/25)*Calculateur!V127*Calculateur!X127*VLOOKUP('Données projet'!$B$9,Paramètres!$A$1:$I$89,3,0)*0.475*44/12</f>
        <v>0.82310170882259859</v>
      </c>
      <c r="AB127" s="21">
        <f>EXP(-LN(2)/2)*AB126+(1-EXP(-LN(2)/2))/(LN(2)/2)*V127*Y127*VLOOKUP('Données projet'!$B$9,Paramètres!$A$1:$I$89,3,0)*0.475*44/12</f>
        <v>7.8466148377731547E-14</v>
      </c>
      <c r="AC127" s="22">
        <f t="shared" si="57"/>
        <v>2.2337603219856228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1.9895196601282805E-13</v>
      </c>
      <c r="AJ127" s="13">
        <f>AI127*VLOOKUP('Données projet'!$B$10,Paramètres!$A$1:$I$89,3,0)*VLOOKUP('Données projet'!$B$10,Paramètres!$A$1:$I$89,5,0)</f>
        <v>1.8001173884840681E-13</v>
      </c>
      <c r="AK127" s="13">
        <f t="shared" si="89"/>
        <v>2.5254331426407198E-12</v>
      </c>
      <c r="AL127" s="20">
        <f t="shared" si="58"/>
        <v>4.7119831685935622E-12</v>
      </c>
      <c r="AM127" s="59">
        <f t="shared" si="59"/>
        <v>293.33333333333803</v>
      </c>
      <c r="AN127" s="59">
        <f ca="1">AVERAGE(OFFSET($AM$3,0,0,'Données projet'!$E$10+1,1))-AVERAGE(OFFSET($H$3,0,0,'Données projet'!$E$10+1,1))</f>
        <v>302.6112905010138</v>
      </c>
      <c r="AO127" s="59">
        <f t="shared" si="90"/>
        <v>423.44006663873375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0.31888103512458221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2.1287886952692269E-14</v>
      </c>
      <c r="AX127" s="21">
        <f t="shared" si="60"/>
        <v>0.31888103512460347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>
        <f>BD127*VLOOKUP('Données projet'!$B$11,Paramètres!$A$1:$I$89,3,0)*VLOOKUP('Données projet'!$B$11,Paramètres!$A$1:$I$89,5,0)</f>
        <v>0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207.91763299672158</v>
      </c>
      <c r="BJ127" s="59">
        <f t="shared" si="92"/>
        <v>230.81096055024483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1.1431986074781022</v>
      </c>
      <c r="BQ127" s="21">
        <f>EXP(-LN(2)/25)*BQ126+(1-EXP(-LN(2)/25))/(LN(2)/25)*Calculateur!BL127*Calculateur!BN127*VLOOKUP('Données projet'!$B$11,Paramètres!$A$1:$I$89,3,0)*0.475*44/12</f>
        <v>0.44453580397131398</v>
      </c>
      <c r="BR127" s="21">
        <f>EXP(-LN(2)/2)*BR126+(1-EXP(-LN(2)/2))/(LN(2)/2)*BL127*BO127*VLOOKUP('Données projet'!$B$11,Paramètres!$A$1:$I$89,3,0)*0.475*44/12</f>
        <v>2.1017648280914712E-14</v>
      </c>
      <c r="BS127" s="22">
        <f t="shared" si="63"/>
        <v>1.5877344114494372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-1.1368683772161603E-13</v>
      </c>
      <c r="O128" s="13">
        <f>N128*VLOOKUP('Données projet'!$B$9,Paramètres!$A$1:$I$89,3,0)*VLOOKUP('Données projet'!$B$9,Paramètres!$A$1:$I$89,5,0)</f>
        <v>-5.3205440053716299E-14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319.22903094674564</v>
      </c>
      <c r="T128" s="59">
        <f t="shared" si="88"/>
        <v>254.58690973142848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1.3829964581756151</v>
      </c>
      <c r="AA128" s="21">
        <f>EXP(-LN(2)/25)*AA127+(1-EXP(-LN(2)/25))/(LN(2)/25)*Calculateur!V128*Calculateur!X128*VLOOKUP('Données projet'!$B$9,Paramètres!$A$1:$I$89,3,0)*0.475*44/12</f>
        <v>0.80059394930980698</v>
      </c>
      <c r="AB128" s="21">
        <f>EXP(-LN(2)/2)*AB127+(1-EXP(-LN(2)/2))/(LN(2)/2)*V128*Y128*VLOOKUP('Données projet'!$B$9,Paramètres!$A$1:$I$89,3,0)*0.475*44/12</f>
        <v>5.5483945611483799E-14</v>
      </c>
      <c r="AC128" s="22">
        <f t="shared" si="57"/>
        <v>2.1835904074854775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1.9895196601282805E-13</v>
      </c>
      <c r="AJ128" s="13">
        <f>AI128*VLOOKUP('Données projet'!$B$10,Paramètres!$A$1:$I$89,3,0)*VLOOKUP('Données projet'!$B$10,Paramètres!$A$1:$I$89,5,0)</f>
        <v>1.8001173884840681E-13</v>
      </c>
      <c r="AK128" s="13">
        <f t="shared" si="89"/>
        <v>2.5254331426407198E-12</v>
      </c>
      <c r="AL128" s="20">
        <f t="shared" si="58"/>
        <v>4.7119831685935622E-12</v>
      </c>
      <c r="AM128" s="59">
        <f t="shared" si="59"/>
        <v>293.33333333333803</v>
      </c>
      <c r="AN128" s="59">
        <f ca="1">AVERAGE(OFFSET($AM$3,0,0,'Données projet'!$E$10+1,1))-AVERAGE(OFFSET($H$3,0,0,'Données projet'!$E$10+1,1))</f>
        <v>302.6112905010138</v>
      </c>
      <c r="AO128" s="59">
        <f t="shared" si="90"/>
        <v>423.44006663873375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0.31262797252401547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1.5052809221381332E-14</v>
      </c>
      <c r="AX128" s="21">
        <f t="shared" si="60"/>
        <v>0.31262797252403052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>
        <f>BD128*VLOOKUP('Données projet'!$B$11,Paramètres!$A$1:$I$89,3,0)*VLOOKUP('Données projet'!$B$11,Paramètres!$A$1:$I$89,5,0)</f>
        <v>0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207.91763299672158</v>
      </c>
      <c r="BJ128" s="59">
        <f t="shared" si="92"/>
        <v>230.81096055024483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1.1207811800677563</v>
      </c>
      <c r="BQ128" s="21">
        <f>EXP(-LN(2)/25)*BQ127+(1-EXP(-LN(2)/25))/(LN(2)/25)*Calculateur!BL128*Calculateur!BN128*VLOOKUP('Données projet'!$B$11,Paramètres!$A$1:$I$89,3,0)*0.475*44/12</f>
        <v>0.43237994903459648</v>
      </c>
      <c r="BR128" s="21">
        <f>EXP(-LN(2)/2)*BR127+(1-EXP(-LN(2)/2))/(LN(2)/2)*BL128*BO128*VLOOKUP('Données projet'!$B$11,Paramètres!$A$1:$I$89,3,0)*0.475*44/12</f>
        <v>1.4861721624028576E-14</v>
      </c>
      <c r="BS128" s="22">
        <f t="shared" si="63"/>
        <v>1.5531611291023677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-1.1368683772161603E-13</v>
      </c>
      <c r="O129" s="13">
        <f>N129*VLOOKUP('Données projet'!$B$9,Paramètres!$A$1:$I$89,3,0)*VLOOKUP('Données projet'!$B$9,Paramètres!$A$1:$I$89,5,0)</f>
        <v>-5.3205440053716299E-14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319.22903094674564</v>
      </c>
      <c r="T129" s="59">
        <f t="shared" si="88"/>
        <v>254.58690973142848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1.3558767411753376</v>
      </c>
      <c r="AA129" s="21">
        <f>EXP(-LN(2)/25)*AA128+(1-EXP(-LN(2)/25))/(LN(2)/25)*Calculateur!V129*Calculateur!X129*VLOOKUP('Données projet'!$B$9,Paramètres!$A$1:$I$89,3,0)*0.475*44/12</f>
        <v>0.77870166566452426</v>
      </c>
      <c r="AB129" s="21">
        <f>EXP(-LN(2)/2)*AB128+(1-EXP(-LN(2)/2))/(LN(2)/2)*V129*Y129*VLOOKUP('Données projet'!$B$9,Paramètres!$A$1:$I$89,3,0)*0.475*44/12</f>
        <v>3.923307418886578E-14</v>
      </c>
      <c r="AC129" s="22">
        <f t="shared" si="57"/>
        <v>2.1345784068399007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1.9895196601282805E-13</v>
      </c>
      <c r="AJ129" s="13">
        <f>AI129*VLOOKUP('Données projet'!$B$10,Paramètres!$A$1:$I$89,3,0)*VLOOKUP('Données projet'!$B$10,Paramètres!$A$1:$I$89,5,0)</f>
        <v>1.8001173884840681E-13</v>
      </c>
      <c r="AK129" s="13">
        <f t="shared" si="89"/>
        <v>2.5254331426407198E-12</v>
      </c>
      <c r="AL129" s="20">
        <f t="shared" si="58"/>
        <v>4.7119831685935622E-12</v>
      </c>
      <c r="AM129" s="59">
        <f t="shared" si="59"/>
        <v>293.33333333333803</v>
      </c>
      <c r="AN129" s="59">
        <f ca="1">AVERAGE(OFFSET($AM$3,0,0,'Données projet'!$E$10+1,1))-AVERAGE(OFFSET($H$3,0,0,'Données projet'!$E$10+1,1))</f>
        <v>302.6112905010138</v>
      </c>
      <c r="AO129" s="59">
        <f t="shared" si="90"/>
        <v>423.44006663873375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0.30649752866705426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1.0643943476346134E-14</v>
      </c>
      <c r="AX129" s="21">
        <f t="shared" si="60"/>
        <v>0.30649752866706492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>
        <f>BD129*VLOOKUP('Données projet'!$B$11,Paramètres!$A$1:$I$89,3,0)*VLOOKUP('Données projet'!$B$11,Paramètres!$A$1:$I$89,5,0)</f>
        <v>0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207.91763299672158</v>
      </c>
      <c r="BJ129" s="59">
        <f t="shared" si="92"/>
        <v>230.81096055024483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1.0988033447356467</v>
      </c>
      <c r="BQ129" s="21">
        <f>EXP(-LN(2)/25)*BQ128+(1-EXP(-LN(2)/25))/(LN(2)/25)*Calculateur!BL129*Calculateur!BN129*VLOOKUP('Données projet'!$B$11,Paramètres!$A$1:$I$89,3,0)*0.475*44/12</f>
        <v>0.42055649659037214</v>
      </c>
      <c r="BR129" s="21">
        <f>EXP(-LN(2)/2)*BR128+(1-EXP(-LN(2)/2))/(LN(2)/2)*BL129*BO129*VLOOKUP('Données projet'!$B$11,Paramètres!$A$1:$I$89,3,0)*0.475*44/12</f>
        <v>1.0508824140457356E-14</v>
      </c>
      <c r="BS129" s="22">
        <f t="shared" si="63"/>
        <v>1.5193598413260292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-1.1368683772161603E-13</v>
      </c>
      <c r="O130" s="13">
        <f>N130*VLOOKUP('Données projet'!$B$9,Paramètres!$A$1:$I$89,3,0)*VLOOKUP('Données projet'!$B$9,Paramètres!$A$1:$I$89,5,0)</f>
        <v>-5.3205440053716299E-14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319.22903094674564</v>
      </c>
      <c r="T130" s="59">
        <f t="shared" si="88"/>
        <v>254.58690973142848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1.3292888252840416</v>
      </c>
      <c r="AA130" s="21">
        <f>EXP(-LN(2)/25)*AA129+(1-EXP(-LN(2)/25))/(LN(2)/25)*Calculateur!V130*Calculateur!X130*VLOOKUP('Données projet'!$B$9,Paramètres!$A$1:$I$89,3,0)*0.475*44/12</f>
        <v>0.75740802766678694</v>
      </c>
      <c r="AB130" s="21">
        <f>EXP(-LN(2)/2)*AB129+(1-EXP(-LN(2)/2))/(LN(2)/2)*V130*Y130*VLOOKUP('Données projet'!$B$9,Paramètres!$A$1:$I$89,3,0)*0.475*44/12</f>
        <v>2.7741972805741903E-14</v>
      </c>
      <c r="AC130" s="22">
        <f t="shared" si="57"/>
        <v>2.0866968529508561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1.9895196601282805E-13</v>
      </c>
      <c r="AJ130" s="13">
        <f>AI130*VLOOKUP('Données projet'!$B$10,Paramètres!$A$1:$I$89,3,0)*VLOOKUP('Données projet'!$B$10,Paramètres!$A$1:$I$89,5,0)</f>
        <v>1.8001173884840681E-13</v>
      </c>
      <c r="AK130" s="13">
        <f t="shared" si="89"/>
        <v>2.5254331426407198E-12</v>
      </c>
      <c r="AL130" s="20">
        <f t="shared" si="58"/>
        <v>4.7119831685935622E-12</v>
      </c>
      <c r="AM130" s="59">
        <f t="shared" si="59"/>
        <v>293.33333333333803</v>
      </c>
      <c r="AN130" s="59">
        <f ca="1">AVERAGE(OFFSET($AM$3,0,0,'Données projet'!$E$10+1,1))-AVERAGE(OFFSET($H$3,0,0,'Données projet'!$E$10+1,1))</f>
        <v>302.6112905010138</v>
      </c>
      <c r="AO130" s="59">
        <f t="shared" si="90"/>
        <v>423.44006663873375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0.30048729907492655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7.526404610690666E-15</v>
      </c>
      <c r="AX130" s="21">
        <f t="shared" si="60"/>
        <v>0.3004872990749341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>
        <f>BD130*VLOOKUP('Données projet'!$B$11,Paramètres!$A$1:$I$89,3,0)*VLOOKUP('Données projet'!$B$11,Paramètres!$A$1:$I$89,5,0)</f>
        <v>0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207.91763299672158</v>
      </c>
      <c r="BJ130" s="59">
        <f t="shared" si="92"/>
        <v>230.81096055024483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1.0772564813492438</v>
      </c>
      <c r="BQ130" s="21">
        <f>EXP(-LN(2)/25)*BQ129+(1-EXP(-LN(2)/25))/(LN(2)/25)*Calculateur!BL130*Calculateur!BN130*VLOOKUP('Données projet'!$B$11,Paramètres!$A$1:$I$89,3,0)*0.475*44/12</f>
        <v>0.40905635707500343</v>
      </c>
      <c r="BR130" s="21">
        <f>EXP(-LN(2)/2)*BR129+(1-EXP(-LN(2)/2))/(LN(2)/2)*BL130*BO130*VLOOKUP('Données projet'!$B$11,Paramètres!$A$1:$I$89,3,0)*0.475*44/12</f>
        <v>7.4308608120142878E-15</v>
      </c>
      <c r="BS130" s="22">
        <f t="shared" si="63"/>
        <v>1.4863128384242545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-1.1368683772161603E-13</v>
      </c>
      <c r="O131" s="13">
        <f>N131*VLOOKUP('Données projet'!$B$9,Paramètres!$A$1:$I$89,3,0)*VLOOKUP('Données projet'!$B$9,Paramètres!$A$1:$I$89,5,0)</f>
        <v>-5.3205440053716299E-14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319.22903094674564</v>
      </c>
      <c r="T131" s="59">
        <f t="shared" si="88"/>
        <v>254.58690973142848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1.3032222822063464</v>
      </c>
      <c r="AA131" s="21">
        <f>EXP(-LN(2)/25)*AA130+(1-EXP(-LN(2)/25))/(LN(2)/25)*Calculateur!V131*Calculateur!X131*VLOOKUP('Données projet'!$B$9,Paramètres!$A$1:$I$89,3,0)*0.475*44/12</f>
        <v>0.73669666531988154</v>
      </c>
      <c r="AB131" s="21">
        <f>EXP(-LN(2)/2)*AB130+(1-EXP(-LN(2)/2))/(LN(2)/2)*V131*Y131*VLOOKUP('Données projet'!$B$9,Paramètres!$A$1:$I$89,3,0)*0.475*44/12</f>
        <v>1.9616537094432893E-14</v>
      </c>
      <c r="AC131" s="22">
        <f t="shared" si="57"/>
        <v>2.0399189475262474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1.9895196601282805E-13</v>
      </c>
      <c r="AJ131" s="13">
        <f>AI131*VLOOKUP('Données projet'!$B$10,Paramètres!$A$1:$I$89,3,0)*VLOOKUP('Données projet'!$B$10,Paramètres!$A$1:$I$89,5,0)</f>
        <v>1.8001173884840681E-13</v>
      </c>
      <c r="AK131" s="13">
        <f t="shared" si="89"/>
        <v>2.5254331426407198E-12</v>
      </c>
      <c r="AL131" s="20">
        <f t="shared" si="58"/>
        <v>4.7119831685935622E-12</v>
      </c>
      <c r="AM131" s="59">
        <f t="shared" si="59"/>
        <v>293.33333333333803</v>
      </c>
      <c r="AN131" s="59">
        <f ca="1">AVERAGE(OFFSET($AM$3,0,0,'Données projet'!$E$10+1,1))-AVERAGE(OFFSET($H$3,0,0,'Données projet'!$E$10+1,1))</f>
        <v>302.6112905010138</v>
      </c>
      <c r="AO131" s="59">
        <f t="shared" si="90"/>
        <v>423.44006663873375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0.29459492641922236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5.3219717381730672E-15</v>
      </c>
      <c r="AX131" s="21">
        <f t="shared" si="60"/>
        <v>0.29459492641922769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>
        <f>BD131*VLOOKUP('Données projet'!$B$11,Paramètres!$A$1:$I$89,3,0)*VLOOKUP('Données projet'!$B$11,Paramètres!$A$1:$I$89,5,0)</f>
        <v>0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207.91763299672158</v>
      </c>
      <c r="BJ131" s="59">
        <f t="shared" si="92"/>
        <v>230.81096055024483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1.0561321388115592</v>
      </c>
      <c r="BQ131" s="21">
        <f>EXP(-LN(2)/25)*BQ130+(1-EXP(-LN(2)/25))/(LN(2)/25)*Calculateur!BL131*Calculateur!BN131*VLOOKUP('Données projet'!$B$11,Paramètres!$A$1:$I$89,3,0)*0.475*44/12</f>
        <v>0.39787068947944854</v>
      </c>
      <c r="BR131" s="21">
        <f>EXP(-LN(2)/2)*BR130+(1-EXP(-LN(2)/2))/(LN(2)/2)*BL131*BO131*VLOOKUP('Données projet'!$B$11,Paramètres!$A$1:$I$89,3,0)*0.475*44/12</f>
        <v>5.2544120702286779E-15</v>
      </c>
      <c r="BS131" s="22">
        <f t="shared" si="63"/>
        <v>1.4540028282910131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-1.1368683772161603E-13</v>
      </c>
      <c r="O132" s="13">
        <f>N132*VLOOKUP('Données projet'!$B$9,Paramètres!$A$1:$I$89,3,0)*VLOOKUP('Données projet'!$B$9,Paramètres!$A$1:$I$89,5,0)</f>
        <v>-5.3205440053716299E-14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319.22903094674564</v>
      </c>
      <c r="T132" s="59">
        <f t="shared" si="88"/>
        <v>254.58690973142848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1.2776668881393836</v>
      </c>
      <c r="AA132" s="21">
        <f>EXP(-LN(2)/25)*AA131+(1-EXP(-LN(2)/25))/(LN(2)/25)*Calculateur!V132*Calculateur!X132*VLOOKUP('Données projet'!$B$9,Paramètres!$A$1:$I$89,3,0)*0.475*44/12</f>
        <v>0.71655165626551554</v>
      </c>
      <c r="AB132" s="21">
        <f>EXP(-LN(2)/2)*AB131+(1-EXP(-LN(2)/2))/(LN(2)/2)*V132*Y132*VLOOKUP('Données projet'!$B$9,Paramètres!$A$1:$I$89,3,0)*0.475*44/12</f>
        <v>1.3870986402870953E-14</v>
      </c>
      <c r="AC132" s="22">
        <f t="shared" ref="AC132:AC153" si="111">SUM(Z132:AB132)</f>
        <v>1.9942185444049128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1.9895196601282805E-13</v>
      </c>
      <c r="AJ132" s="13">
        <f>AI132*VLOOKUP('Données projet'!$B$10,Paramètres!$A$1:$I$89,3,0)*VLOOKUP('Données projet'!$B$10,Paramètres!$A$1:$I$89,5,0)</f>
        <v>1.8001173884840681E-13</v>
      </c>
      <c r="AK132" s="13">
        <f t="shared" si="89"/>
        <v>2.5254331426407198E-12</v>
      </c>
      <c r="AL132" s="20">
        <f t="shared" ref="AL132:AL153" si="112">(AJ132+AK132)*0.475*44/12</f>
        <v>4.7119831685935622E-12</v>
      </c>
      <c r="AM132" s="59">
        <f t="shared" ref="AM132:AM195" si="113">AL132+(AD132+AE132)*44/12</f>
        <v>293.33333333333803</v>
      </c>
      <c r="AN132" s="59">
        <f ca="1">AVERAGE(OFFSET($AM$3,0,0,'Données projet'!$E$10+1,1))-AVERAGE(OFFSET($H$3,0,0,'Données projet'!$E$10+1,1))</f>
        <v>302.6112905010138</v>
      </c>
      <c r="AO132" s="59">
        <f t="shared" si="90"/>
        <v>423.44006663873375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0.28881809959730409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3.763202305345333E-15</v>
      </c>
      <c r="AX132" s="21">
        <f t="shared" ref="AX132:AX153" si="114">SUM(AU132:AW132)</f>
        <v>0.28881809959730786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>
        <f>BD132*VLOOKUP('Données projet'!$B$11,Paramètres!$A$1:$I$89,3,0)*VLOOKUP('Données projet'!$B$11,Paramètres!$A$1:$I$89,5,0)</f>
        <v>0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207.91763299672158</v>
      </c>
      <c r="BJ132" s="59">
        <f t="shared" si="92"/>
        <v>230.81096055024483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1.035422031746462</v>
      </c>
      <c r="BQ132" s="21">
        <f>EXP(-LN(2)/25)*BQ131+(1-EXP(-LN(2)/25))/(LN(2)/25)*Calculateur!BL132*Calculateur!BN132*VLOOKUP('Données projet'!$B$11,Paramètres!$A$1:$I$89,3,0)*0.475*44/12</f>
        <v>0.38699089455252278</v>
      </c>
      <c r="BR132" s="21">
        <f>EXP(-LN(2)/2)*BR131+(1-EXP(-LN(2)/2))/(LN(2)/2)*BL132*BO132*VLOOKUP('Données projet'!$B$11,Paramètres!$A$1:$I$89,3,0)*0.475*44/12</f>
        <v>3.7154304060071439E-15</v>
      </c>
      <c r="BS132" s="22">
        <f t="shared" ref="BS132:BS153" si="117">SUM(BP132:BR132)</f>
        <v>1.4224129262989884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-1.1368683772161603E-13</v>
      </c>
      <c r="O133" s="13">
        <f>N133*VLOOKUP('Données projet'!$B$9,Paramètres!$A$1:$I$89,3,0)*VLOOKUP('Données projet'!$B$9,Paramètres!$A$1:$I$89,5,0)</f>
        <v>-5.3205440053716299E-14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319.22903094674564</v>
      </c>
      <c r="T133" s="59">
        <f t="shared" ref="T133:T196" si="142">$T$3</f>
        <v>254.58690973142848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1.2526126197628225</v>
      </c>
      <c r="AA133" s="21">
        <f>EXP(-LN(2)/25)*AA132+(1-EXP(-LN(2)/25))/(LN(2)/25)*Calculateur!V133*Calculateur!X133*VLOOKUP('Données projet'!$B$9,Paramètres!$A$1:$I$89,3,0)*0.475*44/12</f>
        <v>0.69695751354312108</v>
      </c>
      <c r="AB133" s="21">
        <f>EXP(-LN(2)/2)*AB132+(1-EXP(-LN(2)/2))/(LN(2)/2)*V133*Y133*VLOOKUP('Données projet'!$B$9,Paramètres!$A$1:$I$89,3,0)*0.475*44/12</f>
        <v>9.8082685472164481E-15</v>
      </c>
      <c r="AC133" s="22">
        <f t="shared" si="111"/>
        <v>1.9495701333059534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1.9895196601282805E-13</v>
      </c>
      <c r="AJ133" s="13">
        <f>AI133*VLOOKUP('Données projet'!$B$10,Paramètres!$A$1:$I$89,3,0)*VLOOKUP('Données projet'!$B$10,Paramètres!$A$1:$I$89,5,0)</f>
        <v>1.8001173884840681E-13</v>
      </c>
      <c r="AK133" s="13">
        <f t="shared" ref="AK133:AK153" si="143">EXP(-1.0587+0.8836*LN(AJ133)+0.284)</f>
        <v>2.5254331426407198E-12</v>
      </c>
      <c r="AL133" s="20">
        <f t="shared" si="112"/>
        <v>4.7119831685935622E-12</v>
      </c>
      <c r="AM133" s="59">
        <f t="shared" si="113"/>
        <v>293.33333333333803</v>
      </c>
      <c r="AN133" s="59">
        <f ca="1">AVERAGE(OFFSET($AM$3,0,0,'Données projet'!$E$10+1,1))-AVERAGE(OFFSET($H$3,0,0,'Données projet'!$E$10+1,1))</f>
        <v>302.6112905010138</v>
      </c>
      <c r="AO133" s="59">
        <f t="shared" ref="AO133:AO196" si="144">$AO$3</f>
        <v>423.44006663873375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0.28315455282584717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2.6609858690865336E-15</v>
      </c>
      <c r="AX133" s="21">
        <f t="shared" si="114"/>
        <v>0.28315455282584984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>
        <f>BD133*VLOOKUP('Données projet'!$B$11,Paramètres!$A$1:$I$89,3,0)*VLOOKUP('Données projet'!$B$11,Paramètres!$A$1:$I$89,5,0)</f>
        <v>0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207.91763299672158</v>
      </c>
      <c r="BJ133" s="59">
        <f t="shared" ref="BJ133:BJ196" si="146">$BJ$3</f>
        <v>230.81096055024483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1.0151180372489934</v>
      </c>
      <c r="BQ133" s="21">
        <f>EXP(-LN(2)/25)*BQ132+(1-EXP(-LN(2)/25))/(LN(2)/25)*Calculateur!BL133*Calculateur!BN133*VLOOKUP('Données projet'!$B$11,Paramètres!$A$1:$I$89,3,0)*0.475*44/12</f>
        <v>0.37640860819001737</v>
      </c>
      <c r="BR133" s="21">
        <f>EXP(-LN(2)/2)*BR132+(1-EXP(-LN(2)/2))/(LN(2)/2)*BL133*BO133*VLOOKUP('Données projet'!$B$11,Paramètres!$A$1:$I$89,3,0)*0.475*44/12</f>
        <v>2.627206035114339E-15</v>
      </c>
      <c r="BS133" s="22">
        <f t="shared" si="117"/>
        <v>1.3915266454390134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-1.1368683772161603E-13</v>
      </c>
      <c r="O134" s="13">
        <f>N134*VLOOKUP('Données projet'!$B$9,Paramètres!$A$1:$I$89,3,0)*VLOOKUP('Données projet'!$B$9,Paramètres!$A$1:$I$89,5,0)</f>
        <v>-5.3205440053716299E-14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319.22903094674564</v>
      </c>
      <c r="T134" s="59">
        <f t="shared" si="142"/>
        <v>254.58690973142848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1.2280496503075311</v>
      </c>
      <c r="AA134" s="21">
        <f>EXP(-LN(2)/25)*AA133+(1-EXP(-LN(2)/25))/(LN(2)/25)*Calculateur!V134*Calculateur!X134*VLOOKUP('Données projet'!$B$9,Paramètres!$A$1:$I$89,3,0)*0.475*44/12</f>
        <v>0.67789917368388175</v>
      </c>
      <c r="AB134" s="21">
        <f>EXP(-LN(2)/2)*AB133+(1-EXP(-LN(2)/2))/(LN(2)/2)*V134*Y134*VLOOKUP('Données projet'!$B$9,Paramètres!$A$1:$I$89,3,0)*0.475*44/12</f>
        <v>6.935493201435478E-15</v>
      </c>
      <c r="AC134" s="22">
        <f t="shared" si="111"/>
        <v>1.9059488239914197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1.9895196601282805E-13</v>
      </c>
      <c r="AJ134" s="13">
        <f>AI134*VLOOKUP('Données projet'!$B$10,Paramètres!$A$1:$I$89,3,0)*VLOOKUP('Données projet'!$B$10,Paramètres!$A$1:$I$89,5,0)</f>
        <v>1.8001173884840681E-13</v>
      </c>
      <c r="AK134" s="13">
        <f t="shared" si="143"/>
        <v>2.5254331426407198E-12</v>
      </c>
      <c r="AL134" s="20">
        <f t="shared" si="112"/>
        <v>4.7119831685935622E-12</v>
      </c>
      <c r="AM134" s="59">
        <f t="shared" si="113"/>
        <v>293.33333333333803</v>
      </c>
      <c r="AN134" s="59">
        <f ca="1">AVERAGE(OFFSET($AM$3,0,0,'Données projet'!$E$10+1,1))-AVERAGE(OFFSET($H$3,0,0,'Données projet'!$E$10+1,1))</f>
        <v>302.6112905010138</v>
      </c>
      <c r="AO134" s="59">
        <f t="shared" si="144"/>
        <v>423.44006663873375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0.2776020647521561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1.8816011526726665E-15</v>
      </c>
      <c r="AX134" s="21">
        <f t="shared" si="114"/>
        <v>0.27760206475215798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>
        <f>BD134*VLOOKUP('Données projet'!$B$11,Paramètres!$A$1:$I$89,3,0)*VLOOKUP('Données projet'!$B$11,Paramètres!$A$1:$I$89,5,0)</f>
        <v>0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207.91763299672158</v>
      </c>
      <c r="BJ134" s="59">
        <f t="shared" si="146"/>
        <v>230.81096055024483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0.99521219169940633</v>
      </c>
      <c r="BQ134" s="21">
        <f>EXP(-LN(2)/25)*BQ133+(1-EXP(-LN(2)/25))/(LN(2)/25)*Calculateur!BL134*Calculateur!BN134*VLOOKUP('Données projet'!$B$11,Paramètres!$A$1:$I$89,3,0)*0.475*44/12</f>
        <v>0.36611569500459296</v>
      </c>
      <c r="BR134" s="21">
        <f>EXP(-LN(2)/2)*BR133+(1-EXP(-LN(2)/2))/(LN(2)/2)*BL134*BO134*VLOOKUP('Données projet'!$B$11,Paramètres!$A$1:$I$89,3,0)*0.475*44/12</f>
        <v>1.8577152030035719E-15</v>
      </c>
      <c r="BS134" s="22">
        <f t="shared" si="117"/>
        <v>1.3613278867040011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-1.1368683772161603E-13</v>
      </c>
      <c r="O135" s="13">
        <f>N135*VLOOKUP('Données projet'!$B$9,Paramètres!$A$1:$I$89,3,0)*VLOOKUP('Données projet'!$B$9,Paramètres!$A$1:$I$89,5,0)</f>
        <v>-5.3205440053716299E-14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319.22903094674564</v>
      </c>
      <c r="T135" s="59">
        <f t="shared" si="142"/>
        <v>254.58690973142848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1.2039683457013259</v>
      </c>
      <c r="AA135" s="21">
        <f>EXP(-LN(2)/25)*AA134+(1-EXP(-LN(2)/25))/(LN(2)/25)*Calculateur!V135*Calculateur!X135*VLOOKUP('Données projet'!$B$9,Paramètres!$A$1:$I$89,3,0)*0.475*44/12</f>
        <v>0.65936198513032784</v>
      </c>
      <c r="AB135" s="21">
        <f>EXP(-LN(2)/2)*AB134+(1-EXP(-LN(2)/2))/(LN(2)/2)*V135*Y135*VLOOKUP('Données projet'!$B$9,Paramètres!$A$1:$I$89,3,0)*0.475*44/12</f>
        <v>4.9041342736082248E-15</v>
      </c>
      <c r="AC135" s="22">
        <f t="shared" si="111"/>
        <v>1.8633303308316587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1.9895196601282805E-13</v>
      </c>
      <c r="AJ135" s="13">
        <f>AI135*VLOOKUP('Données projet'!$B$10,Paramètres!$A$1:$I$89,3,0)*VLOOKUP('Données projet'!$B$10,Paramètres!$A$1:$I$89,5,0)</f>
        <v>1.8001173884840681E-13</v>
      </c>
      <c r="AK135" s="13">
        <f t="shared" si="143"/>
        <v>2.5254331426407198E-12</v>
      </c>
      <c r="AL135" s="20">
        <f t="shared" si="112"/>
        <v>4.7119831685935622E-12</v>
      </c>
      <c r="AM135" s="59">
        <f t="shared" si="113"/>
        <v>293.33333333333803</v>
      </c>
      <c r="AN135" s="59">
        <f ca="1">AVERAGE(OFFSET($AM$3,0,0,'Données projet'!$E$10+1,1))-AVERAGE(OFFSET($H$3,0,0,'Données projet'!$E$10+1,1))</f>
        <v>302.6112905010138</v>
      </c>
      <c r="AO135" s="59">
        <f t="shared" si="144"/>
        <v>423.44006663873375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0.2721584575829068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1.3304929345432668E-15</v>
      </c>
      <c r="AX135" s="21">
        <f t="shared" si="114"/>
        <v>0.27215845758290813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>
        <f>BD135*VLOOKUP('Données projet'!$B$11,Paramètres!$A$1:$I$89,3,0)*VLOOKUP('Données projet'!$B$11,Paramètres!$A$1:$I$89,5,0)</f>
        <v>0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207.91763299672158</v>
      </c>
      <c r="BJ135" s="59">
        <f t="shared" si="146"/>
        <v>230.81096055024483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0.97569668763967976</v>
      </c>
      <c r="BQ135" s="21">
        <f>EXP(-LN(2)/25)*BQ134+(1-EXP(-LN(2)/25))/(LN(2)/25)*Calculateur!BL135*Calculateur!BN135*VLOOKUP('Données projet'!$B$11,Paramètres!$A$1:$I$89,3,0)*0.475*44/12</f>
        <v>0.35610424207150471</v>
      </c>
      <c r="BR135" s="21">
        <f>EXP(-LN(2)/2)*BR134+(1-EXP(-LN(2)/2))/(LN(2)/2)*BL135*BO135*VLOOKUP('Données projet'!$B$11,Paramètres!$A$1:$I$89,3,0)*0.475*44/12</f>
        <v>1.3136030175571695E-15</v>
      </c>
      <c r="BS135" s="22">
        <f t="shared" si="117"/>
        <v>1.3318009297111857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-1.1368683772161603E-13</v>
      </c>
      <c r="O136" s="13">
        <f>N136*VLOOKUP('Données projet'!$B$9,Paramètres!$A$1:$I$89,3,0)*VLOOKUP('Données projet'!$B$9,Paramètres!$A$1:$I$89,5,0)</f>
        <v>-5.3205440053716299E-14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319.22903094674564</v>
      </c>
      <c r="T136" s="59">
        <f t="shared" si="142"/>
        <v>254.58690973142848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1.1803592607903028</v>
      </c>
      <c r="AA136" s="21">
        <f>EXP(-LN(2)/25)*AA135+(1-EXP(-LN(2)/25))/(LN(2)/25)*Calculateur!V136*Calculateur!X136*VLOOKUP('Données projet'!$B$9,Paramètres!$A$1:$I$89,3,0)*0.475*44/12</f>
        <v>0.64133169697259917</v>
      </c>
      <c r="AB136" s="21">
        <f>EXP(-LN(2)/2)*AB135+(1-EXP(-LN(2)/2))/(LN(2)/2)*V136*Y136*VLOOKUP('Données projet'!$B$9,Paramètres!$A$1:$I$89,3,0)*0.475*44/12</f>
        <v>3.4677466007177394E-15</v>
      </c>
      <c r="AC136" s="22">
        <f t="shared" si="111"/>
        <v>1.8216909577629057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1.9895196601282805E-13</v>
      </c>
      <c r="AJ136" s="13">
        <f>AI136*VLOOKUP('Données projet'!$B$10,Paramètres!$A$1:$I$89,3,0)*VLOOKUP('Données projet'!$B$10,Paramètres!$A$1:$I$89,5,0)</f>
        <v>1.8001173884840681E-13</v>
      </c>
      <c r="AK136" s="13">
        <f t="shared" si="143"/>
        <v>2.5254331426407198E-12</v>
      </c>
      <c r="AL136" s="20">
        <f t="shared" si="112"/>
        <v>4.7119831685935622E-12</v>
      </c>
      <c r="AM136" s="59">
        <f t="shared" si="113"/>
        <v>293.33333333333803</v>
      </c>
      <c r="AN136" s="59">
        <f ca="1">AVERAGE(OFFSET($AM$3,0,0,'Données projet'!$E$10+1,1))-AVERAGE(OFFSET($H$3,0,0,'Données projet'!$E$10+1,1))</f>
        <v>302.6112905010138</v>
      </c>
      <c r="AO136" s="59">
        <f t="shared" si="144"/>
        <v>423.44006663873375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0.26682159622997398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9.4080057633633325E-16</v>
      </c>
      <c r="AX136" s="21">
        <f t="shared" si="114"/>
        <v>0.26682159622997492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>
        <f>BD136*VLOOKUP('Données projet'!$B$11,Paramètres!$A$1:$I$89,3,0)*VLOOKUP('Données projet'!$B$11,Paramètres!$A$1:$I$89,5,0)</f>
        <v>0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207.91763299672158</v>
      </c>
      <c r="BJ136" s="59">
        <f t="shared" si="146"/>
        <v>230.81096055024483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0.95656387071128224</v>
      </c>
      <c r="BQ136" s="21">
        <f>EXP(-LN(2)/25)*BQ135+(1-EXP(-LN(2)/25))/(LN(2)/25)*Calculateur!BL136*Calculateur!BN136*VLOOKUP('Données projet'!$B$11,Paramètres!$A$1:$I$89,3,0)*0.475*44/12</f>
        <v>0.34636655284535123</v>
      </c>
      <c r="BR136" s="21">
        <f>EXP(-LN(2)/2)*BR135+(1-EXP(-LN(2)/2))/(LN(2)/2)*BL136*BO136*VLOOKUP('Données projet'!$B$11,Paramètres!$A$1:$I$89,3,0)*0.475*44/12</f>
        <v>9.2885760150178597E-16</v>
      </c>
      <c r="BS136" s="22">
        <f t="shared" si="117"/>
        <v>1.3029304235566344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-1.1368683772161603E-13</v>
      </c>
      <c r="O137" s="13">
        <f>N137*VLOOKUP('Données projet'!$B$9,Paramètres!$A$1:$I$89,3,0)*VLOOKUP('Données projet'!$B$9,Paramètres!$A$1:$I$89,5,0)</f>
        <v>-5.3205440053716299E-14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319.22903094674564</v>
      </c>
      <c r="T137" s="59">
        <f t="shared" si="142"/>
        <v>254.58690973142848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1.1572131356342652</v>
      </c>
      <c r="AA137" s="21">
        <f>EXP(-LN(2)/25)*AA136+(1-EXP(-LN(2)/25))/(LN(2)/25)*Calculateur!V137*Calculateur!X137*VLOOKUP('Données projet'!$B$9,Paramètres!$A$1:$I$89,3,0)*0.475*44/12</f>
        <v>0.62379444799271533</v>
      </c>
      <c r="AB137" s="21">
        <f>EXP(-LN(2)/2)*AB136+(1-EXP(-LN(2)/2))/(LN(2)/2)*V137*Y137*VLOOKUP('Données projet'!$B$9,Paramètres!$A$1:$I$89,3,0)*0.475*44/12</f>
        <v>2.4520671368041128E-15</v>
      </c>
      <c r="AC137" s="22">
        <f t="shared" si="111"/>
        <v>1.781007583626983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1.9895196601282805E-13</v>
      </c>
      <c r="AJ137" s="13">
        <f>AI137*VLOOKUP('Données projet'!$B$10,Paramètres!$A$1:$I$89,3,0)*VLOOKUP('Données projet'!$B$10,Paramètres!$A$1:$I$89,5,0)</f>
        <v>1.8001173884840681E-13</v>
      </c>
      <c r="AK137" s="13">
        <f t="shared" si="143"/>
        <v>2.5254331426407198E-12</v>
      </c>
      <c r="AL137" s="20">
        <f t="shared" si="112"/>
        <v>4.7119831685935622E-12</v>
      </c>
      <c r="AM137" s="59">
        <f t="shared" si="113"/>
        <v>293.33333333333803</v>
      </c>
      <c r="AN137" s="59">
        <f ca="1">AVERAGE(OFFSET($AM$3,0,0,'Données projet'!$E$10+1,1))-AVERAGE(OFFSET($H$3,0,0,'Données projet'!$E$10+1,1))</f>
        <v>302.6112905010138</v>
      </c>
      <c r="AO137" s="59">
        <f t="shared" si="144"/>
        <v>423.44006663873375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0.26158938747300814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6.652464672716334E-16</v>
      </c>
      <c r="AX137" s="21">
        <f t="shared" si="114"/>
        <v>0.26158938747300881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>
        <f>BD137*VLOOKUP('Données projet'!$B$11,Paramètres!$A$1:$I$89,3,0)*VLOOKUP('Données projet'!$B$11,Paramètres!$A$1:$I$89,5,0)</f>
        <v>0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207.91763299672158</v>
      </c>
      <c r="BJ137" s="59">
        <f t="shared" si="146"/>
        <v>230.81096055024483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0.93780623665298457</v>
      </c>
      <c r="BQ137" s="21">
        <f>EXP(-LN(2)/25)*BQ136+(1-EXP(-LN(2)/25))/(LN(2)/25)*Calculateur!BL137*Calculateur!BN137*VLOOKUP('Données projet'!$B$11,Paramètres!$A$1:$I$89,3,0)*0.475*44/12</f>
        <v>0.33689514124316972</v>
      </c>
      <c r="BR137" s="21">
        <f>EXP(-LN(2)/2)*BR136+(1-EXP(-LN(2)/2))/(LN(2)/2)*BL137*BO137*VLOOKUP('Données projet'!$B$11,Paramètres!$A$1:$I$89,3,0)*0.475*44/12</f>
        <v>6.5680150877858474E-16</v>
      </c>
      <c r="BS137" s="22">
        <f t="shared" si="117"/>
        <v>1.2747013778961549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-1.1368683772161603E-13</v>
      </c>
      <c r="O138" s="13">
        <f>N138*VLOOKUP('Données projet'!$B$9,Paramètres!$A$1:$I$89,3,0)*VLOOKUP('Données projet'!$B$9,Paramètres!$A$1:$I$89,5,0)</f>
        <v>-5.3205440053716299E-14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319.22903094674564</v>
      </c>
      <c r="T138" s="59">
        <f t="shared" si="142"/>
        <v>254.58690973142848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1.1345208918747951</v>
      </c>
      <c r="AA138" s="21">
        <f>EXP(-LN(2)/25)*AA137+(1-EXP(-LN(2)/25))/(LN(2)/25)*Calculateur!V138*Calculateur!X138*VLOOKUP('Données projet'!$B$9,Paramètres!$A$1:$I$89,3,0)*0.475*44/12</f>
        <v>0.60673675600843024</v>
      </c>
      <c r="AB138" s="21">
        <f>EXP(-LN(2)/2)*AB137+(1-EXP(-LN(2)/2))/(LN(2)/2)*V138*Y138*VLOOKUP('Données projet'!$B$9,Paramètres!$A$1:$I$89,3,0)*0.475*44/12</f>
        <v>1.7338733003588701E-15</v>
      </c>
      <c r="AC138" s="22">
        <f t="shared" si="111"/>
        <v>1.7412576478832271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1.9895196601282805E-13</v>
      </c>
      <c r="AJ138" s="13">
        <f>AI138*VLOOKUP('Données projet'!$B$10,Paramètres!$A$1:$I$89,3,0)*VLOOKUP('Données projet'!$B$10,Paramètres!$A$1:$I$89,5,0)</f>
        <v>1.8001173884840681E-13</v>
      </c>
      <c r="AK138" s="13">
        <f t="shared" si="143"/>
        <v>2.5254331426407198E-12</v>
      </c>
      <c r="AL138" s="20">
        <f t="shared" si="112"/>
        <v>4.7119831685935622E-12</v>
      </c>
      <c r="AM138" s="59">
        <f t="shared" si="113"/>
        <v>293.33333333333803</v>
      </c>
      <c r="AN138" s="59">
        <f ca="1">AVERAGE(OFFSET($AM$3,0,0,'Données projet'!$E$10+1,1))-AVERAGE(OFFSET($H$3,0,0,'Données projet'!$E$10+1,1))</f>
        <v>302.6112905010138</v>
      </c>
      <c r="AO138" s="59">
        <f t="shared" si="144"/>
        <v>423.44006663873375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0.25645977913843421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4.7040028816816663E-16</v>
      </c>
      <c r="AX138" s="21">
        <f t="shared" si="114"/>
        <v>0.25645977913843465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>
        <f>BD138*VLOOKUP('Données projet'!$B$11,Paramètres!$A$1:$I$89,3,0)*VLOOKUP('Données projet'!$B$11,Paramètres!$A$1:$I$89,5,0)</f>
        <v>0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207.91763299672158</v>
      </c>
      <c r="BJ138" s="59">
        <f t="shared" si="146"/>
        <v>230.81096055024483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0.91941642835754311</v>
      </c>
      <c r="BQ138" s="21">
        <f>EXP(-LN(2)/25)*BQ137+(1-EXP(-LN(2)/25))/(LN(2)/25)*Calculateur!BL138*Calculateur!BN138*VLOOKUP('Données projet'!$B$11,Paramètres!$A$1:$I$89,3,0)*0.475*44/12</f>
        <v>0.32768272588932973</v>
      </c>
      <c r="BR138" s="21">
        <f>EXP(-LN(2)/2)*BR137+(1-EXP(-LN(2)/2))/(LN(2)/2)*BL138*BO138*VLOOKUP('Données projet'!$B$11,Paramètres!$A$1:$I$89,3,0)*0.475*44/12</f>
        <v>4.6442880075089298E-16</v>
      </c>
      <c r="BS138" s="22">
        <f t="shared" si="117"/>
        <v>1.2470991542468732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-1.1368683772161603E-13</v>
      </c>
      <c r="O139" s="13">
        <f>N139*VLOOKUP('Données projet'!$B$9,Paramètres!$A$1:$I$89,3,0)*VLOOKUP('Données projet'!$B$9,Paramètres!$A$1:$I$89,5,0)</f>
        <v>-5.3205440053716299E-14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319.22903094674564</v>
      </c>
      <c r="T139" s="59">
        <f t="shared" si="142"/>
        <v>254.58690973142848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1.1122736291745461</v>
      </c>
      <c r="AA139" s="21">
        <f>EXP(-LN(2)/25)*AA138+(1-EXP(-LN(2)/25))/(LN(2)/25)*Calculateur!V139*Calculateur!X139*VLOOKUP('Données projet'!$B$9,Paramètres!$A$1:$I$89,3,0)*0.475*44/12</f>
        <v>0.59014550750848038</v>
      </c>
      <c r="AB139" s="21">
        <f>EXP(-LN(2)/2)*AB138+(1-EXP(-LN(2)/2))/(LN(2)/2)*V139*Y139*VLOOKUP('Données projet'!$B$9,Paramètres!$A$1:$I$89,3,0)*0.475*44/12</f>
        <v>1.2260335684020566E-15</v>
      </c>
      <c r="AC139" s="22">
        <f t="shared" si="111"/>
        <v>1.7024191366830279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1.9895196601282805E-13</v>
      </c>
      <c r="AJ139" s="13">
        <f>AI139*VLOOKUP('Données projet'!$B$10,Paramètres!$A$1:$I$89,3,0)*VLOOKUP('Données projet'!$B$10,Paramètres!$A$1:$I$89,5,0)</f>
        <v>1.8001173884840681E-13</v>
      </c>
      <c r="AK139" s="13">
        <f t="shared" si="143"/>
        <v>2.5254331426407198E-12</v>
      </c>
      <c r="AL139" s="20">
        <f t="shared" si="112"/>
        <v>4.7119831685935622E-12</v>
      </c>
      <c r="AM139" s="59">
        <f t="shared" si="113"/>
        <v>293.33333333333803</v>
      </c>
      <c r="AN139" s="59">
        <f ca="1">AVERAGE(OFFSET($AM$3,0,0,'Données projet'!$E$10+1,1))-AVERAGE(OFFSET($H$3,0,0,'Données projet'!$E$10+1,1))</f>
        <v>302.6112905010138</v>
      </c>
      <c r="AO139" s="59">
        <f t="shared" si="144"/>
        <v>423.44006663873375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0.25143075929454911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3.326232336358167E-16</v>
      </c>
      <c r="AX139" s="21">
        <f t="shared" si="114"/>
        <v>0.25143075929454944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>
        <f>BD139*VLOOKUP('Données projet'!$B$11,Paramètres!$A$1:$I$89,3,0)*VLOOKUP('Données projet'!$B$11,Paramètres!$A$1:$I$89,5,0)</f>
        <v>0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207.91763299672158</v>
      </c>
      <c r="BJ139" s="59">
        <f t="shared" si="146"/>
        <v>230.81096055024483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0.90138723298609968</v>
      </c>
      <c r="BQ139" s="21">
        <f>EXP(-LN(2)/25)*BQ138+(1-EXP(-LN(2)/25))/(LN(2)/25)*Calculateur!BL139*Calculateur!BN139*VLOOKUP('Données projet'!$B$11,Paramètres!$A$1:$I$89,3,0)*0.475*44/12</f>
        <v>0.31872222451780036</v>
      </c>
      <c r="BR139" s="21">
        <f>EXP(-LN(2)/2)*BR138+(1-EXP(-LN(2)/2))/(LN(2)/2)*BL139*BO139*VLOOKUP('Données projet'!$B$11,Paramètres!$A$1:$I$89,3,0)*0.475*44/12</f>
        <v>3.2840075438929237E-16</v>
      </c>
      <c r="BS139" s="22">
        <f t="shared" si="117"/>
        <v>1.2201094575039002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-1.1368683772161603E-13</v>
      </c>
      <c r="O140" s="13">
        <f>N140*VLOOKUP('Données projet'!$B$9,Paramètres!$A$1:$I$89,3,0)*VLOOKUP('Données projet'!$B$9,Paramètres!$A$1:$I$89,5,0)</f>
        <v>-5.3205440053716299E-14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319.22903094674564</v>
      </c>
      <c r="T140" s="59">
        <f t="shared" si="142"/>
        <v>254.58690973142848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1.0904626217263587</v>
      </c>
      <c r="AA140" s="21">
        <f>EXP(-LN(2)/25)*AA139+(1-EXP(-LN(2)/25))/(LN(2)/25)*Calculateur!V140*Calculateur!X140*VLOOKUP('Données projet'!$B$9,Paramètres!$A$1:$I$89,3,0)*0.475*44/12</f>
        <v>0.5740079475712575</v>
      </c>
      <c r="AB140" s="21">
        <f>EXP(-LN(2)/2)*AB139+(1-EXP(-LN(2)/2))/(LN(2)/2)*V140*Y140*VLOOKUP('Données projet'!$B$9,Paramètres!$A$1:$I$89,3,0)*0.475*44/12</f>
        <v>8.6693665017943514E-16</v>
      </c>
      <c r="AC140" s="22">
        <f t="shared" si="111"/>
        <v>1.6644705692976172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1.9895196601282805E-13</v>
      </c>
      <c r="AJ140" s="13">
        <f>AI140*VLOOKUP('Données projet'!$B$10,Paramètres!$A$1:$I$89,3,0)*VLOOKUP('Données projet'!$B$10,Paramètres!$A$1:$I$89,5,0)</f>
        <v>1.8001173884840681E-13</v>
      </c>
      <c r="AK140" s="13">
        <f t="shared" si="143"/>
        <v>2.5254331426407198E-12</v>
      </c>
      <c r="AL140" s="20">
        <f t="shared" si="112"/>
        <v>4.7119831685935622E-12</v>
      </c>
      <c r="AM140" s="59">
        <f t="shared" si="113"/>
        <v>293.33333333333803</v>
      </c>
      <c r="AN140" s="59">
        <f ca="1">AVERAGE(OFFSET($AM$3,0,0,'Données projet'!$E$10+1,1))-AVERAGE(OFFSET($H$3,0,0,'Données projet'!$E$10+1,1))</f>
        <v>302.6112905010138</v>
      </c>
      <c r="AO140" s="59">
        <f t="shared" si="144"/>
        <v>423.44006663873375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0.24650035546240337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2.3520014408408331E-16</v>
      </c>
      <c r="AX140" s="21">
        <f t="shared" si="114"/>
        <v>0.24650035546240359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>
        <f>BD140*VLOOKUP('Données projet'!$B$11,Paramètres!$A$1:$I$89,3,0)*VLOOKUP('Données projet'!$B$11,Paramètres!$A$1:$I$89,5,0)</f>
        <v>0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207.91763299672158</v>
      </c>
      <c r="BJ140" s="59">
        <f t="shared" si="146"/>
        <v>230.81096055024483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0.88371157913916698</v>
      </c>
      <c r="BQ140" s="21">
        <f>EXP(-LN(2)/25)*BQ139+(1-EXP(-LN(2)/25))/(LN(2)/25)*Calculateur!BL140*Calculateur!BN140*VLOOKUP('Données projet'!$B$11,Paramètres!$A$1:$I$89,3,0)*0.475*44/12</f>
        <v>0.31000674852748777</v>
      </c>
      <c r="BR140" s="21">
        <f>EXP(-LN(2)/2)*BR139+(1-EXP(-LN(2)/2))/(LN(2)/2)*BL140*BO140*VLOOKUP('Données projet'!$B$11,Paramètres!$A$1:$I$89,3,0)*0.475*44/12</f>
        <v>2.3221440037544649E-16</v>
      </c>
      <c r="BS140" s="22">
        <f t="shared" si="117"/>
        <v>1.193718327666655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-1.1368683772161603E-13</v>
      </c>
      <c r="O141" s="13">
        <f>N141*VLOOKUP('Données projet'!$B$9,Paramètres!$A$1:$I$89,3,0)*VLOOKUP('Données projet'!$B$9,Paramètres!$A$1:$I$89,5,0)</f>
        <v>-5.3205440053716299E-14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319.22903094674564</v>
      </c>
      <c r="T141" s="59">
        <f t="shared" si="142"/>
        <v>254.58690973142848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1.0690793148308293</v>
      </c>
      <c r="AA141" s="21">
        <f>EXP(-LN(2)/25)*AA140+(1-EXP(-LN(2)/25))/(LN(2)/25)*Calculateur!V141*Calculateur!X141*VLOOKUP('Données projet'!$B$9,Paramètres!$A$1:$I$89,3,0)*0.475*44/12</f>
        <v>0.55831167005915538</v>
      </c>
      <c r="AB141" s="21">
        <f>EXP(-LN(2)/2)*AB140+(1-EXP(-LN(2)/2))/(LN(2)/2)*V141*Y141*VLOOKUP('Données projet'!$B$9,Paramètres!$A$1:$I$89,3,0)*0.475*44/12</f>
        <v>6.130167842010284E-16</v>
      </c>
      <c r="AC141" s="22">
        <f t="shared" si="111"/>
        <v>1.6273909848899855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1.9895196601282805E-13</v>
      </c>
      <c r="AJ141" s="13">
        <f>AI141*VLOOKUP('Données projet'!$B$10,Paramètres!$A$1:$I$89,3,0)*VLOOKUP('Données projet'!$B$10,Paramètres!$A$1:$I$89,5,0)</f>
        <v>1.8001173884840681E-13</v>
      </c>
      <c r="AK141" s="13">
        <f t="shared" si="143"/>
        <v>2.5254331426407198E-12</v>
      </c>
      <c r="AL141" s="20">
        <f t="shared" si="112"/>
        <v>4.7119831685935622E-12</v>
      </c>
      <c r="AM141" s="59">
        <f t="shared" si="113"/>
        <v>293.33333333333803</v>
      </c>
      <c r="AN141" s="59">
        <f ca="1">AVERAGE(OFFSET($AM$3,0,0,'Données projet'!$E$10+1,1))-AVERAGE(OFFSET($H$3,0,0,'Données projet'!$E$10+1,1))</f>
        <v>302.6112905010138</v>
      </c>
      <c r="AO141" s="59">
        <f t="shared" si="144"/>
        <v>423.44006663873375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0.24166663384215661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1.6631161681790835E-16</v>
      </c>
      <c r="AX141" s="21">
        <f t="shared" si="114"/>
        <v>0.24166663384215678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>
        <f>BD141*VLOOKUP('Données projet'!$B$11,Paramètres!$A$1:$I$89,3,0)*VLOOKUP('Données projet'!$B$11,Paramètres!$A$1:$I$89,5,0)</f>
        <v>0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207.91763299672158</v>
      </c>
      <c r="BJ141" s="59">
        <f t="shared" si="146"/>
        <v>230.81096055024483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0.8663825340830883</v>
      </c>
      <c r="BQ141" s="21">
        <f>EXP(-LN(2)/25)*BQ140+(1-EXP(-LN(2)/25))/(LN(2)/25)*Calculateur!BL141*Calculateur!BN141*VLOOKUP('Données projet'!$B$11,Paramètres!$A$1:$I$89,3,0)*0.475*44/12</f>
        <v>0.30152959768645726</v>
      </c>
      <c r="BR141" s="21">
        <f>EXP(-LN(2)/2)*BR140+(1-EXP(-LN(2)/2))/(LN(2)/2)*BL141*BO141*VLOOKUP('Données projet'!$B$11,Paramètres!$A$1:$I$89,3,0)*0.475*44/12</f>
        <v>1.6420037719464618E-16</v>
      </c>
      <c r="BS141" s="22">
        <f t="shared" si="117"/>
        <v>1.1679121317695458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-1.1368683772161603E-13</v>
      </c>
      <c r="O142" s="13">
        <f>N142*VLOOKUP('Données projet'!$B$9,Paramètres!$A$1:$I$89,3,0)*VLOOKUP('Données projet'!$B$9,Paramètres!$A$1:$I$89,5,0)</f>
        <v>-5.3205440053716299E-14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319.22903094674564</v>
      </c>
      <c r="T142" s="59">
        <f t="shared" si="142"/>
        <v>254.58690973142848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1.0481153215409917</v>
      </c>
      <c r="AA142" s="21">
        <f>EXP(-LN(2)/25)*AA141+(1-EXP(-LN(2)/25))/(LN(2)/25)*Calculateur!V142*Calculateur!X142*VLOOKUP('Données projet'!$B$9,Paramètres!$A$1:$I$89,3,0)*0.475*44/12</f>
        <v>0.54304460808105304</v>
      </c>
      <c r="AB142" s="21">
        <f>EXP(-LN(2)/2)*AB141+(1-EXP(-LN(2)/2))/(LN(2)/2)*V142*Y142*VLOOKUP('Données projet'!$B$9,Paramètres!$A$1:$I$89,3,0)*0.475*44/12</f>
        <v>4.3346832508971762E-16</v>
      </c>
      <c r="AC142" s="22">
        <f t="shared" si="111"/>
        <v>1.5911599296220453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1.9895196601282805E-13</v>
      </c>
      <c r="AJ142" s="13">
        <f>AI142*VLOOKUP('Données projet'!$B$10,Paramètres!$A$1:$I$89,3,0)*VLOOKUP('Données projet'!$B$10,Paramètres!$A$1:$I$89,5,0)</f>
        <v>1.8001173884840681E-13</v>
      </c>
      <c r="AK142" s="13">
        <f t="shared" si="143"/>
        <v>2.5254331426407198E-12</v>
      </c>
      <c r="AL142" s="20">
        <f t="shared" si="112"/>
        <v>4.7119831685935622E-12</v>
      </c>
      <c r="AM142" s="59">
        <f t="shared" si="113"/>
        <v>293.33333333333803</v>
      </c>
      <c r="AN142" s="59">
        <f ca="1">AVERAGE(OFFSET($AM$3,0,0,'Données projet'!$E$10+1,1))-AVERAGE(OFFSET($H$3,0,0,'Données projet'!$E$10+1,1))</f>
        <v>302.6112905010138</v>
      </c>
      <c r="AO142" s="59">
        <f t="shared" si="144"/>
        <v>423.44006663873375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0.23692769855460383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1.1760007204204166E-16</v>
      </c>
      <c r="AX142" s="21">
        <f t="shared" si="114"/>
        <v>0.23692769855460394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>
        <f>BD142*VLOOKUP('Données projet'!$B$11,Paramètres!$A$1:$I$89,3,0)*VLOOKUP('Données projet'!$B$11,Paramètres!$A$1:$I$89,5,0)</f>
        <v>0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207.91763299672158</v>
      </c>
      <c r="BJ142" s="59">
        <f t="shared" si="146"/>
        <v>230.81096055024483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0.84939330103088551</v>
      </c>
      <c r="BQ142" s="21">
        <f>EXP(-LN(2)/25)*BQ141+(1-EXP(-LN(2)/25))/(LN(2)/25)*Calculateur!BL142*Calculateur!BN142*VLOOKUP('Données projet'!$B$11,Paramètres!$A$1:$I$89,3,0)*0.475*44/12</f>
        <v>0.29328425498096872</v>
      </c>
      <c r="BR142" s="21">
        <f>EXP(-LN(2)/2)*BR141+(1-EXP(-LN(2)/2))/(LN(2)/2)*BL142*BO142*VLOOKUP('Données projet'!$B$11,Paramètres!$A$1:$I$89,3,0)*0.475*44/12</f>
        <v>1.1610720018772325E-16</v>
      </c>
      <c r="BS142" s="22">
        <f t="shared" si="117"/>
        <v>1.1426775560118545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-1.1368683772161603E-13</v>
      </c>
      <c r="O143" s="13">
        <f>N143*VLOOKUP('Données projet'!$B$9,Paramètres!$A$1:$I$89,3,0)*VLOOKUP('Données projet'!$B$9,Paramètres!$A$1:$I$89,5,0)</f>
        <v>-5.3205440053716299E-14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319.22903094674564</v>
      </c>
      <c r="T143" s="59">
        <f t="shared" si="142"/>
        <v>254.58690973142848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1.0275624193727946</v>
      </c>
      <c r="AA143" s="21">
        <f>EXP(-LN(2)/25)*AA142+(1-EXP(-LN(2)/25))/(LN(2)/25)*Calculateur!V143*Calculateur!X143*VLOOKUP('Données projet'!$B$9,Paramètres!$A$1:$I$89,3,0)*0.475*44/12</f>
        <v>0.52819502471560187</v>
      </c>
      <c r="AB143" s="21">
        <f>EXP(-LN(2)/2)*AB142+(1-EXP(-LN(2)/2))/(LN(2)/2)*V143*Y143*VLOOKUP('Données projet'!$B$9,Paramètres!$A$1:$I$89,3,0)*0.475*44/12</f>
        <v>3.0650839210051425E-16</v>
      </c>
      <c r="AC143" s="22">
        <f t="shared" si="111"/>
        <v>1.5557574440883968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1.9895196601282805E-13</v>
      </c>
      <c r="AJ143" s="13">
        <f>AI143*VLOOKUP('Données projet'!$B$10,Paramètres!$A$1:$I$89,3,0)*VLOOKUP('Données projet'!$B$10,Paramètres!$A$1:$I$89,5,0)</f>
        <v>1.8001173884840681E-13</v>
      </c>
      <c r="AK143" s="13">
        <f t="shared" si="143"/>
        <v>2.5254331426407198E-12</v>
      </c>
      <c r="AL143" s="20">
        <f t="shared" si="112"/>
        <v>4.7119831685935622E-12</v>
      </c>
      <c r="AM143" s="59">
        <f t="shared" si="113"/>
        <v>293.33333333333803</v>
      </c>
      <c r="AN143" s="59">
        <f ca="1">AVERAGE(OFFSET($AM$3,0,0,'Données projet'!$E$10+1,1))-AVERAGE(OFFSET($H$3,0,0,'Données projet'!$E$10+1,1))</f>
        <v>302.6112905010138</v>
      </c>
      <c r="AO143" s="59">
        <f t="shared" si="144"/>
        <v>423.44006663873375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0.23228169089757483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8.3155808408954175E-17</v>
      </c>
      <c r="AX143" s="21">
        <f t="shared" si="114"/>
        <v>0.23228169089757492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>
        <f>BD143*VLOOKUP('Données projet'!$B$11,Paramètres!$A$1:$I$89,3,0)*VLOOKUP('Données projet'!$B$11,Paramètres!$A$1:$I$89,5,0)</f>
        <v>0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207.91763299672158</v>
      </c>
      <c r="BJ143" s="59">
        <f t="shared" si="146"/>
        <v>230.81096055024483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0.8327372164764274</v>
      </c>
      <c r="BQ143" s="21">
        <f>EXP(-LN(2)/25)*BQ142+(1-EXP(-LN(2)/25))/(LN(2)/25)*Calculateur!BL143*Calculateur!BN143*VLOOKUP('Données projet'!$B$11,Paramètres!$A$1:$I$89,3,0)*0.475*44/12</f>
        <v>0.28526438160536549</v>
      </c>
      <c r="BR143" s="21">
        <f>EXP(-LN(2)/2)*BR142+(1-EXP(-LN(2)/2))/(LN(2)/2)*BL143*BO143*VLOOKUP('Données projet'!$B$11,Paramètres!$A$1:$I$89,3,0)*0.475*44/12</f>
        <v>8.2100188597323092E-17</v>
      </c>
      <c r="BS143" s="22">
        <f t="shared" si="117"/>
        <v>1.118001598081793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-1.1368683772161603E-13</v>
      </c>
      <c r="O144" s="13">
        <f>N144*VLOOKUP('Données projet'!$B$9,Paramètres!$A$1:$I$89,3,0)*VLOOKUP('Données projet'!$B$9,Paramètres!$A$1:$I$89,5,0)</f>
        <v>-5.3205440053716299E-14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319.22903094674564</v>
      </c>
      <c r="T144" s="59">
        <f t="shared" si="142"/>
        <v>254.58690973142848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1.0074125470800834</v>
      </c>
      <c r="AA144" s="21">
        <f>EXP(-LN(2)/25)*AA143+(1-EXP(-LN(2)/25))/(LN(2)/25)*Calculateur!V144*Calculateur!X144*VLOOKUP('Données projet'!$B$9,Paramètres!$A$1:$I$89,3,0)*0.475*44/12</f>
        <v>0.51375150398818459</v>
      </c>
      <c r="AB144" s="21">
        <f>EXP(-LN(2)/2)*AB143+(1-EXP(-LN(2)/2))/(LN(2)/2)*V144*Y144*VLOOKUP('Données projet'!$B$9,Paramètres!$A$1:$I$89,3,0)*0.475*44/12</f>
        <v>2.1673416254485886E-16</v>
      </c>
      <c r="AC144" s="22">
        <f t="shared" si="111"/>
        <v>1.5211640510682682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1.9895196601282805E-13</v>
      </c>
      <c r="AJ144" s="13">
        <f>AI144*VLOOKUP('Données projet'!$B$10,Paramètres!$A$1:$I$89,3,0)*VLOOKUP('Données projet'!$B$10,Paramètres!$A$1:$I$89,5,0)</f>
        <v>1.8001173884840681E-13</v>
      </c>
      <c r="AK144" s="13">
        <f t="shared" si="143"/>
        <v>2.5254331426407198E-12</v>
      </c>
      <c r="AL144" s="20">
        <f t="shared" si="112"/>
        <v>4.7119831685935622E-12</v>
      </c>
      <c r="AM144" s="59">
        <f t="shared" si="113"/>
        <v>293.33333333333803</v>
      </c>
      <c r="AN144" s="59">
        <f ca="1">AVERAGE(OFFSET($AM$3,0,0,'Données projet'!$E$10+1,1))-AVERAGE(OFFSET($H$3,0,0,'Données projet'!$E$10+1,1))</f>
        <v>302.6112905010138</v>
      </c>
      <c r="AO144" s="59">
        <f t="shared" si="144"/>
        <v>423.44006663873375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0.22772678861691531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5.8800036021020828E-17</v>
      </c>
      <c r="AX144" s="21">
        <f t="shared" si="114"/>
        <v>0.22772678861691537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>
        <f>BD144*VLOOKUP('Données projet'!$B$11,Paramètres!$A$1:$I$89,3,0)*VLOOKUP('Données projet'!$B$11,Paramètres!$A$1:$I$89,5,0)</f>
        <v>0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207.91763299672158</v>
      </c>
      <c r="BJ144" s="59">
        <f t="shared" si="146"/>
        <v>230.81096055024483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0.81640774758087387</v>
      </c>
      <c r="BQ144" s="21">
        <f>EXP(-LN(2)/25)*BQ143+(1-EXP(-LN(2)/25))/(LN(2)/25)*Calculateur!BL144*Calculateur!BN144*VLOOKUP('Données projet'!$B$11,Paramètres!$A$1:$I$89,3,0)*0.475*44/12</f>
        <v>0.27746381208896492</v>
      </c>
      <c r="BR144" s="21">
        <f>EXP(-LN(2)/2)*BR143+(1-EXP(-LN(2)/2))/(LN(2)/2)*BL144*BO144*VLOOKUP('Données projet'!$B$11,Paramètres!$A$1:$I$89,3,0)*0.475*44/12</f>
        <v>5.8053600093861623E-17</v>
      </c>
      <c r="BS144" s="22">
        <f t="shared" si="117"/>
        <v>1.0938715596698387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-1.1368683772161603E-13</v>
      </c>
      <c r="O145" s="13">
        <f>N145*VLOOKUP('Données projet'!$B$9,Paramètres!$A$1:$I$89,3,0)*VLOOKUP('Données projet'!$B$9,Paramètres!$A$1:$I$89,5,0)</f>
        <v>-5.3205440053716299E-14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319.22903094674564</v>
      </c>
      <c r="T145" s="59">
        <f t="shared" si="142"/>
        <v>254.58690973142848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0.98765780149282378</v>
      </c>
      <c r="AA145" s="21">
        <f>EXP(-LN(2)/25)*AA144+(1-EXP(-LN(2)/25))/(LN(2)/25)*Calculateur!V145*Calculateur!X145*VLOOKUP('Données projet'!$B$9,Paramètres!$A$1:$I$89,3,0)*0.475*44/12</f>
        <v>0.4997029420946103</v>
      </c>
      <c r="AB145" s="21">
        <f>EXP(-LN(2)/2)*AB144+(1-EXP(-LN(2)/2))/(LN(2)/2)*V145*Y145*VLOOKUP('Données projet'!$B$9,Paramètres!$A$1:$I$89,3,0)*0.475*44/12</f>
        <v>1.5325419605025715E-16</v>
      </c>
      <c r="AC145" s="22">
        <f t="shared" si="111"/>
        <v>1.4873607435874343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1.9895196601282805E-13</v>
      </c>
      <c r="AJ145" s="13">
        <f>AI145*VLOOKUP('Données projet'!$B$10,Paramètres!$A$1:$I$89,3,0)*VLOOKUP('Données projet'!$B$10,Paramètres!$A$1:$I$89,5,0)</f>
        <v>1.8001173884840681E-13</v>
      </c>
      <c r="AK145" s="13">
        <f t="shared" si="143"/>
        <v>2.5254331426407198E-12</v>
      </c>
      <c r="AL145" s="20">
        <f t="shared" si="112"/>
        <v>4.7119831685935622E-12</v>
      </c>
      <c r="AM145" s="59">
        <f t="shared" si="113"/>
        <v>293.33333333333803</v>
      </c>
      <c r="AN145" s="59">
        <f ca="1">AVERAGE(OFFSET($AM$3,0,0,'Données projet'!$E$10+1,1))-AVERAGE(OFFSET($H$3,0,0,'Données projet'!$E$10+1,1))</f>
        <v>302.6112905010138</v>
      </c>
      <c r="AO145" s="59">
        <f t="shared" si="144"/>
        <v>423.44006663873375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0.22326120519176346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4.1577904204477088E-17</v>
      </c>
      <c r="AX145" s="21">
        <f t="shared" si="114"/>
        <v>0.22326120519176348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>
        <f>BD145*VLOOKUP('Données projet'!$B$11,Paramètres!$A$1:$I$89,3,0)*VLOOKUP('Données projet'!$B$11,Paramètres!$A$1:$I$89,5,0)</f>
        <v>0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207.91763299672158</v>
      </c>
      <c r="BJ145" s="59">
        <f t="shared" si="146"/>
        <v>230.81096055024483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0.80039848961036952</v>
      </c>
      <c r="BQ145" s="21">
        <f>EXP(-LN(2)/25)*BQ144+(1-EXP(-LN(2)/25))/(LN(2)/25)*Calculateur!BL145*Calculateur!BN145*VLOOKUP('Données projet'!$B$11,Paramètres!$A$1:$I$89,3,0)*0.475*44/12</f>
        <v>0.26987654955620444</v>
      </c>
      <c r="BR145" s="21">
        <f>EXP(-LN(2)/2)*BR144+(1-EXP(-LN(2)/2))/(LN(2)/2)*BL145*BO145*VLOOKUP('Données projet'!$B$11,Paramètres!$A$1:$I$89,3,0)*0.475*44/12</f>
        <v>4.1050094298661546E-17</v>
      </c>
      <c r="BS145" s="22">
        <f t="shared" si="117"/>
        <v>1.0702750391665741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-1.1368683772161603E-13</v>
      </c>
      <c r="O146" s="13">
        <f>N146*VLOOKUP('Données projet'!$B$9,Paramètres!$A$1:$I$89,3,0)*VLOOKUP('Données projet'!$B$9,Paramètres!$A$1:$I$89,5,0)</f>
        <v>-5.3205440053716299E-14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319.22903094674564</v>
      </c>
      <c r="T146" s="59">
        <f t="shared" si="142"/>
        <v>254.58690973142848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0.96829043441732521</v>
      </c>
      <c r="AA146" s="21">
        <f>EXP(-LN(2)/25)*AA145+(1-EXP(-LN(2)/25))/(LN(2)/25)*Calculateur!V146*Calculateur!X146*VLOOKUP('Données projet'!$B$9,Paramètres!$A$1:$I$89,3,0)*0.475*44/12</f>
        <v>0.48603853886479753</v>
      </c>
      <c r="AB146" s="21">
        <f>EXP(-LN(2)/2)*AB145+(1-EXP(-LN(2)/2))/(LN(2)/2)*V146*Y146*VLOOKUP('Données projet'!$B$9,Paramètres!$A$1:$I$89,3,0)*0.475*44/12</f>
        <v>1.0836708127242944E-16</v>
      </c>
      <c r="AC146" s="22">
        <f t="shared" si="111"/>
        <v>1.4543289732821227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1.9895196601282805E-13</v>
      </c>
      <c r="AJ146" s="13">
        <f>AI146*VLOOKUP('Données projet'!$B$10,Paramètres!$A$1:$I$89,3,0)*VLOOKUP('Données projet'!$B$10,Paramètres!$A$1:$I$89,5,0)</f>
        <v>1.8001173884840681E-13</v>
      </c>
      <c r="AK146" s="13">
        <f t="shared" si="143"/>
        <v>2.5254331426407198E-12</v>
      </c>
      <c r="AL146" s="20">
        <f t="shared" si="112"/>
        <v>4.7119831685935622E-12</v>
      </c>
      <c r="AM146" s="59">
        <f t="shared" si="113"/>
        <v>293.33333333333803</v>
      </c>
      <c r="AN146" s="59">
        <f ca="1">AVERAGE(OFFSET($AM$3,0,0,'Données projet'!$E$10+1,1))-AVERAGE(OFFSET($H$3,0,0,'Données projet'!$E$10+1,1))</f>
        <v>302.6112905010138</v>
      </c>
      <c r="AO146" s="59">
        <f t="shared" si="144"/>
        <v>423.44006663873375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0.21888318913384189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2.9400018010510414E-17</v>
      </c>
      <c r="AX146" s="21">
        <f t="shared" si="114"/>
        <v>0.21888318913384192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>
        <f>BD146*VLOOKUP('Données projet'!$B$11,Paramètres!$A$1:$I$89,3,0)*VLOOKUP('Données projet'!$B$11,Paramètres!$A$1:$I$89,5,0)</f>
        <v>0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207.91763299672158</v>
      </c>
      <c r="BJ146" s="59">
        <f t="shared" si="146"/>
        <v>230.81096055024483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0.78470316342398361</v>
      </c>
      <c r="BQ146" s="21">
        <f>EXP(-LN(2)/25)*BQ145+(1-EXP(-LN(2)/25))/(LN(2)/25)*Calculateur!BL146*Calculateur!BN146*VLOOKUP('Données projet'!$B$11,Paramètres!$A$1:$I$89,3,0)*0.475*44/12</f>
        <v>0.26249676111639908</v>
      </c>
      <c r="BR146" s="21">
        <f>EXP(-LN(2)/2)*BR145+(1-EXP(-LN(2)/2))/(LN(2)/2)*BL146*BO146*VLOOKUP('Données projet'!$B$11,Paramètres!$A$1:$I$89,3,0)*0.475*44/12</f>
        <v>2.9026800046930812E-17</v>
      </c>
      <c r="BS146" s="22">
        <f t="shared" si="117"/>
        <v>1.0471999245403827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-1.1368683772161603E-13</v>
      </c>
      <c r="O147" s="13">
        <f>N147*VLOOKUP('Données projet'!$B$9,Paramètres!$A$1:$I$89,3,0)*VLOOKUP('Données projet'!$B$9,Paramètres!$A$1:$I$89,5,0)</f>
        <v>-5.3205440053716299E-14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319.22903094674564</v>
      </c>
      <c r="T147" s="59">
        <f t="shared" si="142"/>
        <v>254.58690973142848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0.94930284959724964</v>
      </c>
      <c r="AA147" s="21">
        <f>EXP(-LN(2)/25)*AA146+(1-EXP(-LN(2)/25))/(LN(2)/25)*Calculateur!V147*Calculateur!X147*VLOOKUP('Données projet'!$B$9,Paramètres!$A$1:$I$89,3,0)*0.475*44/12</f>
        <v>0.47274778945988372</v>
      </c>
      <c r="AB147" s="21">
        <f>EXP(-LN(2)/2)*AB146+(1-EXP(-LN(2)/2))/(LN(2)/2)*V147*Y147*VLOOKUP('Données projet'!$B$9,Paramètres!$A$1:$I$89,3,0)*0.475*44/12</f>
        <v>7.6627098025128587E-17</v>
      </c>
      <c r="AC147" s="22">
        <f t="shared" si="111"/>
        <v>1.4220506390571335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1.9895196601282805E-13</v>
      </c>
      <c r="AJ147" s="13">
        <f>AI147*VLOOKUP('Données projet'!$B$10,Paramètres!$A$1:$I$89,3,0)*VLOOKUP('Données projet'!$B$10,Paramètres!$A$1:$I$89,5,0)</f>
        <v>1.8001173884840681E-13</v>
      </c>
      <c r="AK147" s="13">
        <f t="shared" si="143"/>
        <v>2.5254331426407198E-12</v>
      </c>
      <c r="AL147" s="20">
        <f t="shared" si="112"/>
        <v>4.7119831685935622E-12</v>
      </c>
      <c r="AM147" s="59">
        <f t="shared" si="113"/>
        <v>293.33333333333803</v>
      </c>
      <c r="AN147" s="59">
        <f ca="1">AVERAGE(OFFSET($AM$3,0,0,'Données projet'!$E$10+1,1))-AVERAGE(OFFSET($H$3,0,0,'Données projet'!$E$10+1,1))</f>
        <v>302.6112905010138</v>
      </c>
      <c r="AO147" s="59">
        <f t="shared" si="144"/>
        <v>423.44006663873375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0.21459102330049004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2.0788952102238544E-17</v>
      </c>
      <c r="AX147" s="21">
        <f t="shared" si="114"/>
        <v>0.21459102330049007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>
        <f>BD147*VLOOKUP('Données projet'!$B$11,Paramètres!$A$1:$I$89,3,0)*VLOOKUP('Données projet'!$B$11,Paramètres!$A$1:$I$89,5,0)</f>
        <v>0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207.91763299672158</v>
      </c>
      <c r="BJ147" s="59">
        <f t="shared" si="146"/>
        <v>230.81096055024483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0.76931561301090901</v>
      </c>
      <c r="BQ147" s="21">
        <f>EXP(-LN(2)/25)*BQ146+(1-EXP(-LN(2)/25))/(LN(2)/25)*Calculateur!BL147*Calculateur!BN147*VLOOKUP('Données projet'!$B$11,Paramètres!$A$1:$I$89,3,0)*0.475*44/12</f>
        <v>0.25531877337956643</v>
      </c>
      <c r="BR147" s="21">
        <f>EXP(-LN(2)/2)*BR146+(1-EXP(-LN(2)/2))/(LN(2)/2)*BL147*BO147*VLOOKUP('Données projet'!$B$11,Paramètres!$A$1:$I$89,3,0)*0.475*44/12</f>
        <v>2.0525047149330773E-17</v>
      </c>
      <c r="BS147" s="22">
        <f t="shared" si="117"/>
        <v>1.0246343863904754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-1.1368683772161603E-13</v>
      </c>
      <c r="O148" s="13">
        <f>N148*VLOOKUP('Données projet'!$B$9,Paramètres!$A$1:$I$89,3,0)*VLOOKUP('Données projet'!$B$9,Paramètres!$A$1:$I$89,5,0)</f>
        <v>-5.3205440053716299E-14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319.22903094674564</v>
      </c>
      <c r="T148" s="59">
        <f t="shared" si="142"/>
        <v>254.58690973142848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0.93068759973421256</v>
      </c>
      <c r="AA148" s="21">
        <f>EXP(-LN(2)/25)*AA147+(1-EXP(-LN(2)/25))/(LN(2)/25)*Calculateur!V148*Calculateur!X148*VLOOKUP('Données projet'!$B$9,Paramètres!$A$1:$I$89,3,0)*0.475*44/12</f>
        <v>0.4598204762963774</v>
      </c>
      <c r="AB148" s="21">
        <f>EXP(-LN(2)/2)*AB147+(1-EXP(-LN(2)/2))/(LN(2)/2)*V148*Y148*VLOOKUP('Données projet'!$B$9,Paramètres!$A$1:$I$89,3,0)*0.475*44/12</f>
        <v>5.4183540636214733E-17</v>
      </c>
      <c r="AC148" s="22">
        <f t="shared" si="111"/>
        <v>1.3905080760305899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1.9895196601282805E-13</v>
      </c>
      <c r="AJ148" s="13">
        <f>AI148*VLOOKUP('Données projet'!$B$10,Paramètres!$A$1:$I$89,3,0)*VLOOKUP('Données projet'!$B$10,Paramètres!$A$1:$I$89,5,0)</f>
        <v>1.8001173884840681E-13</v>
      </c>
      <c r="AK148" s="13">
        <f t="shared" si="143"/>
        <v>2.5254331426407198E-12</v>
      </c>
      <c r="AL148" s="20">
        <f t="shared" si="112"/>
        <v>4.7119831685935622E-12</v>
      </c>
      <c r="AM148" s="59">
        <f t="shared" si="113"/>
        <v>293.33333333333803</v>
      </c>
      <c r="AN148" s="59">
        <f ca="1">AVERAGE(OFFSET($AM$3,0,0,'Données projet'!$E$10+1,1))-AVERAGE(OFFSET($H$3,0,0,'Données projet'!$E$10+1,1))</f>
        <v>302.6112905010138</v>
      </c>
      <c r="AO148" s="59">
        <f t="shared" si="144"/>
        <v>423.44006663873375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0.21038302422116756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1.4700009005255207E-17</v>
      </c>
      <c r="AX148" s="21">
        <f t="shared" si="114"/>
        <v>0.21038302422116759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>
        <f>BD148*VLOOKUP('Données projet'!$B$11,Paramètres!$A$1:$I$89,3,0)*VLOOKUP('Données projet'!$B$11,Paramètres!$A$1:$I$89,5,0)</f>
        <v>0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207.91763299672158</v>
      </c>
      <c r="BJ148" s="59">
        <f t="shared" si="146"/>
        <v>230.81096055024483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0.75422980307595577</v>
      </c>
      <c r="BQ148" s="21">
        <f>EXP(-LN(2)/25)*BQ147+(1-EXP(-LN(2)/25))/(LN(2)/25)*Calculateur!BL148*Calculateur!BN148*VLOOKUP('Données projet'!$B$11,Paramètres!$A$1:$I$89,3,0)*0.475*44/12</f>
        <v>0.24833706809487144</v>
      </c>
      <c r="BR148" s="21">
        <f>EXP(-LN(2)/2)*BR147+(1-EXP(-LN(2)/2))/(LN(2)/2)*BL148*BO148*VLOOKUP('Données projet'!$B$11,Paramètres!$A$1:$I$89,3,0)*0.475*44/12</f>
        <v>1.4513400023465406E-17</v>
      </c>
      <c r="BS148" s="22">
        <f t="shared" si="117"/>
        <v>1.0025668711708273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-1.1368683772161603E-13</v>
      </c>
      <c r="O149" s="13">
        <f>N149*VLOOKUP('Données projet'!$B$9,Paramètres!$A$1:$I$89,3,0)*VLOOKUP('Données projet'!$B$9,Paramètres!$A$1:$I$89,5,0)</f>
        <v>-5.3205440053716299E-14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319.22903094674564</v>
      </c>
      <c r="T149" s="59">
        <f t="shared" si="142"/>
        <v>254.58690973142848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0.91243738356680837</v>
      </c>
      <c r="AA149" s="21">
        <f>EXP(-LN(2)/25)*AA148+(1-EXP(-LN(2)/25))/(LN(2)/25)*Calculateur!V149*Calculateur!X149*VLOOKUP('Données projet'!$B$9,Paramètres!$A$1:$I$89,3,0)*0.475*44/12</f>
        <v>0.44724666119114503</v>
      </c>
      <c r="AB149" s="21">
        <f>EXP(-LN(2)/2)*AB148+(1-EXP(-LN(2)/2))/(LN(2)/2)*V149*Y149*VLOOKUP('Données projet'!$B$9,Paramètres!$A$1:$I$89,3,0)*0.475*44/12</f>
        <v>3.83135490125643E-17</v>
      </c>
      <c r="AC149" s="22">
        <f t="shared" si="111"/>
        <v>1.3596840447579535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1.9895196601282805E-13</v>
      </c>
      <c r="AJ149" s="13">
        <f>AI149*VLOOKUP('Données projet'!$B$10,Paramètres!$A$1:$I$89,3,0)*VLOOKUP('Données projet'!$B$10,Paramètres!$A$1:$I$89,5,0)</f>
        <v>1.8001173884840681E-13</v>
      </c>
      <c r="AK149" s="13">
        <f t="shared" si="143"/>
        <v>2.5254331426407198E-12</v>
      </c>
      <c r="AL149" s="20">
        <f t="shared" si="112"/>
        <v>4.7119831685935622E-12</v>
      </c>
      <c r="AM149" s="59">
        <f t="shared" si="113"/>
        <v>293.33333333333803</v>
      </c>
      <c r="AN149" s="59">
        <f ca="1">AVERAGE(OFFSET($AM$3,0,0,'Données projet'!$E$10+1,1))-AVERAGE(OFFSET($H$3,0,0,'Données projet'!$E$10+1,1))</f>
        <v>302.6112905010138</v>
      </c>
      <c r="AO149" s="59">
        <f t="shared" si="144"/>
        <v>423.44006663873375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0.2062575414371646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1.0394476051119272E-17</v>
      </c>
      <c r="AX149" s="21">
        <f t="shared" si="114"/>
        <v>0.2062575414371646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>
        <f>BD149*VLOOKUP('Données projet'!$B$11,Paramètres!$A$1:$I$89,3,0)*VLOOKUP('Données projet'!$B$11,Paramètres!$A$1:$I$89,5,0)</f>
        <v>0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207.91763299672158</v>
      </c>
      <c r="BJ149" s="59">
        <f t="shared" si="146"/>
        <v>230.81096055024483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0.73943981667239145</v>
      </c>
      <c r="BQ149" s="21">
        <f>EXP(-LN(2)/25)*BQ148+(1-EXP(-LN(2)/25))/(LN(2)/25)*Calculateur!BL149*Calculateur!BN149*VLOOKUP('Données projet'!$B$11,Paramètres!$A$1:$I$89,3,0)*0.475*44/12</f>
        <v>0.24154627790833835</v>
      </c>
      <c r="BR149" s="21">
        <f>EXP(-LN(2)/2)*BR148+(1-EXP(-LN(2)/2))/(LN(2)/2)*BL149*BO149*VLOOKUP('Données projet'!$B$11,Paramètres!$A$1:$I$89,3,0)*0.475*44/12</f>
        <v>1.0262523574665387E-17</v>
      </c>
      <c r="BS149" s="22">
        <f t="shared" si="117"/>
        <v>0.98098609458072983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-1.1368683772161603E-13</v>
      </c>
      <c r="O150" s="13">
        <f>N150*VLOOKUP('Données projet'!$B$9,Paramètres!$A$1:$I$89,3,0)*VLOOKUP('Données projet'!$B$9,Paramètres!$A$1:$I$89,5,0)</f>
        <v>-5.3205440053716299E-14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319.22903094674564</v>
      </c>
      <c r="T150" s="59">
        <f t="shared" si="142"/>
        <v>254.58690973142848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0.89454504300691429</v>
      </c>
      <c r="AA150" s="21">
        <f>EXP(-LN(2)/25)*AA149+(1-EXP(-LN(2)/25))/(LN(2)/25)*Calculateur!V150*Calculateur!X150*VLOOKUP('Données projet'!$B$9,Paramètres!$A$1:$I$89,3,0)*0.475*44/12</f>
        <v>0.43501667772119346</v>
      </c>
      <c r="AB150" s="21">
        <f>EXP(-LN(2)/2)*AB149+(1-EXP(-LN(2)/2))/(LN(2)/2)*V150*Y150*VLOOKUP('Données projet'!$B$9,Paramètres!$A$1:$I$89,3,0)*0.475*44/12</f>
        <v>2.709177031810737E-17</v>
      </c>
      <c r="AC150" s="22">
        <f t="shared" si="111"/>
        <v>1.3295617207281079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1.9895196601282805E-13</v>
      </c>
      <c r="AJ150" s="13">
        <f>AI150*VLOOKUP('Données projet'!$B$10,Paramètres!$A$1:$I$89,3,0)*VLOOKUP('Données projet'!$B$10,Paramètres!$A$1:$I$89,5,0)</f>
        <v>1.8001173884840681E-13</v>
      </c>
      <c r="AK150" s="13">
        <f t="shared" si="143"/>
        <v>2.5254331426407198E-12</v>
      </c>
      <c r="AL150" s="20">
        <f t="shared" si="112"/>
        <v>4.7119831685935622E-12</v>
      </c>
      <c r="AM150" s="59">
        <f t="shared" si="113"/>
        <v>293.33333333333803</v>
      </c>
      <c r="AN150" s="59">
        <f ca="1">AVERAGE(OFFSET($AM$3,0,0,'Données projet'!$E$10+1,1))-AVERAGE(OFFSET($H$3,0,0,'Données projet'!$E$10+1,1))</f>
        <v>302.6112905010138</v>
      </c>
      <c r="AO150" s="59">
        <f t="shared" si="144"/>
        <v>423.44006663873375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0.20221295685425988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7.3500045026276035E-18</v>
      </c>
      <c r="AX150" s="21">
        <f t="shared" si="114"/>
        <v>0.20221295685425988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>
        <f>BD150*VLOOKUP('Données projet'!$B$11,Paramètres!$A$1:$I$89,3,0)*VLOOKUP('Données projet'!$B$11,Paramètres!$A$1:$I$89,5,0)</f>
        <v>0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207.91763299672158</v>
      </c>
      <c r="BJ150" s="59">
        <f t="shared" si="146"/>
        <v>230.81096055024483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0.72493985288120011</v>
      </c>
      <c r="BQ150" s="21">
        <f>EXP(-LN(2)/25)*BQ149+(1-EXP(-LN(2)/25))/(LN(2)/25)*Calculateur!BL150*Calculateur!BN150*VLOOKUP('Données projet'!$B$11,Paramètres!$A$1:$I$89,3,0)*0.475*44/12</f>
        <v>0.23494118223656815</v>
      </c>
      <c r="BR150" s="21">
        <f>EXP(-LN(2)/2)*BR149+(1-EXP(-LN(2)/2))/(LN(2)/2)*BL150*BO150*VLOOKUP('Données projet'!$B$11,Paramètres!$A$1:$I$89,3,0)*0.475*44/12</f>
        <v>7.2567000117327029E-18</v>
      </c>
      <c r="BS150" s="22">
        <f t="shared" si="117"/>
        <v>0.95988103511776823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-1.1368683772161603E-13</v>
      </c>
      <c r="O151" s="13">
        <f>N151*VLOOKUP('Données projet'!$B$9,Paramètres!$A$1:$I$89,3,0)*VLOOKUP('Données projet'!$B$9,Paramètres!$A$1:$I$89,5,0)</f>
        <v>-5.3205440053716299E-14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319.22903094674564</v>
      </c>
      <c r="T151" s="59">
        <f t="shared" si="142"/>
        <v>254.58690973142848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0.87700356033214955</v>
      </c>
      <c r="AA151" s="21">
        <f>EXP(-LN(2)/25)*AA150+(1-EXP(-LN(2)/25))/(LN(2)/25)*Calculateur!V151*Calculateur!X151*VLOOKUP('Données projet'!$B$9,Paramètres!$A$1:$I$89,3,0)*0.475*44/12</f>
        <v>0.4231211237923746</v>
      </c>
      <c r="AB151" s="21">
        <f>EXP(-LN(2)/2)*AB150+(1-EXP(-LN(2)/2))/(LN(2)/2)*V151*Y151*VLOOKUP('Données projet'!$B$9,Paramètres!$A$1:$I$89,3,0)*0.475*44/12</f>
        <v>1.9156774506282153E-17</v>
      </c>
      <c r="AC151" s="22">
        <f t="shared" si="111"/>
        <v>1.3001246841245242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1.9895196601282805E-13</v>
      </c>
      <c r="AJ151" s="13">
        <f>AI151*VLOOKUP('Données projet'!$B$10,Paramètres!$A$1:$I$89,3,0)*VLOOKUP('Données projet'!$B$10,Paramètres!$A$1:$I$89,5,0)</f>
        <v>1.8001173884840681E-13</v>
      </c>
      <c r="AK151" s="13">
        <f t="shared" si="143"/>
        <v>2.5254331426407198E-12</v>
      </c>
      <c r="AL151" s="20">
        <f t="shared" si="112"/>
        <v>4.7119831685935622E-12</v>
      </c>
      <c r="AM151" s="59">
        <f t="shared" si="113"/>
        <v>293.33333333333803</v>
      </c>
      <c r="AN151" s="59">
        <f ca="1">AVERAGE(OFFSET($AM$3,0,0,'Données projet'!$E$10+1,1))-AVERAGE(OFFSET($H$3,0,0,'Données projet'!$E$10+1,1))</f>
        <v>302.6112905010138</v>
      </c>
      <c r="AO151" s="59">
        <f t="shared" si="144"/>
        <v>423.44006663873375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0.19824768410807295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5.197238025559636E-18</v>
      </c>
      <c r="AX151" s="21">
        <f t="shared" si="114"/>
        <v>0.19824768410807295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>
        <f>BD151*VLOOKUP('Données projet'!$B$11,Paramètres!$A$1:$I$89,3,0)*VLOOKUP('Données projet'!$B$11,Paramètres!$A$1:$I$89,5,0)</f>
        <v>0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207.91763299672158</v>
      </c>
      <c r="BJ151" s="59">
        <f t="shared" si="146"/>
        <v>230.81096055024483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0.71072422453584938</v>
      </c>
      <c r="BQ151" s="21">
        <f>EXP(-LN(2)/25)*BQ150+(1-EXP(-LN(2)/25))/(LN(2)/25)*Calculateur!BL151*Calculateur!BN151*VLOOKUP('Données projet'!$B$11,Paramètres!$A$1:$I$89,3,0)*0.475*44/12</f>
        <v>0.22851670325328938</v>
      </c>
      <c r="BR151" s="21">
        <f>EXP(-LN(2)/2)*BR150+(1-EXP(-LN(2)/2))/(LN(2)/2)*BL151*BO151*VLOOKUP('Données projet'!$B$11,Paramètres!$A$1:$I$89,3,0)*0.475*44/12</f>
        <v>5.1312617873326933E-18</v>
      </c>
      <c r="BS151" s="22">
        <f t="shared" si="117"/>
        <v>0.9392409277891387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-1.1368683772161603E-13</v>
      </c>
      <c r="O152" s="13">
        <f>N152*VLOOKUP('Données projet'!$B$9,Paramètres!$A$1:$I$89,3,0)*VLOOKUP('Données projet'!$B$9,Paramètres!$A$1:$I$89,5,0)</f>
        <v>-5.3205440053716299E-14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319.22903094674564</v>
      </c>
      <c r="T152" s="59">
        <f t="shared" si="142"/>
        <v>254.58690973142848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0.85980605543338895</v>
      </c>
      <c r="AA152" s="21">
        <f>EXP(-LN(2)/25)*AA151+(1-EXP(-LN(2)/25))/(LN(2)/25)*Calculateur!V152*Calculateur!X152*VLOOKUP('Données projet'!$B$9,Paramètres!$A$1:$I$89,3,0)*0.475*44/12</f>
        <v>0.41155085441129929</v>
      </c>
      <c r="AB152" s="21">
        <f>EXP(-LN(2)/2)*AB151+(1-EXP(-LN(2)/2))/(LN(2)/2)*V152*Y152*VLOOKUP('Données projet'!$B$9,Paramètres!$A$1:$I$89,3,0)*0.475*44/12</f>
        <v>1.3545885159053686E-17</v>
      </c>
      <c r="AC152" s="22">
        <f t="shared" si="111"/>
        <v>1.2713569098446882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1.9895196601282805E-13</v>
      </c>
      <c r="AJ152" s="13">
        <f>AI152*VLOOKUP('Données projet'!$B$10,Paramètres!$A$1:$I$89,3,0)*VLOOKUP('Données projet'!$B$10,Paramètres!$A$1:$I$89,5,0)</f>
        <v>1.8001173884840681E-13</v>
      </c>
      <c r="AK152" s="13">
        <f t="shared" si="143"/>
        <v>2.5254331426407198E-12</v>
      </c>
      <c r="AL152" s="20">
        <f t="shared" si="112"/>
        <v>4.7119831685935622E-12</v>
      </c>
      <c r="AM152" s="59">
        <f t="shared" si="113"/>
        <v>293.33333333333803</v>
      </c>
      <c r="AN152" s="59">
        <f ca="1">AVERAGE(OFFSET($AM$3,0,0,'Données projet'!$E$10+1,1))-AVERAGE(OFFSET($H$3,0,0,'Données projet'!$E$10+1,1))</f>
        <v>302.6112905010138</v>
      </c>
      <c r="AO152" s="59">
        <f t="shared" si="144"/>
        <v>423.44006663873375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0.19436016794186117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3.6750022513138018E-18</v>
      </c>
      <c r="AX152" s="21">
        <f t="shared" si="114"/>
        <v>0.19436016794186117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>
        <f>BD152*VLOOKUP('Données projet'!$B$11,Paramètres!$A$1:$I$89,3,0)*VLOOKUP('Données projet'!$B$11,Paramètres!$A$1:$I$89,5,0)</f>
        <v>0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207.91763299672158</v>
      </c>
      <c r="BJ152" s="59">
        <f t="shared" si="146"/>
        <v>230.81096055024483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0.69678735599167385</v>
      </c>
      <c r="BQ152" s="21">
        <f>EXP(-LN(2)/25)*BQ151+(1-EXP(-LN(2)/25))/(LN(2)/25)*Calculateur!BL152*Calculateur!BN152*VLOOKUP('Données projet'!$B$11,Paramètres!$A$1:$I$89,3,0)*0.475*44/12</f>
        <v>0.22226790198565705</v>
      </c>
      <c r="BR152" s="21">
        <f>EXP(-LN(2)/2)*BR151+(1-EXP(-LN(2)/2))/(LN(2)/2)*BL152*BO152*VLOOKUP('Données projet'!$B$11,Paramètres!$A$1:$I$89,3,0)*0.475*44/12</f>
        <v>3.6283500058663514E-18</v>
      </c>
      <c r="BS152" s="22">
        <f t="shared" si="117"/>
        <v>0.9190552579773309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-1.1368683772161603E-13</v>
      </c>
      <c r="O153" s="13">
        <f>N153*VLOOKUP('Données projet'!$B$9,Paramètres!$A$1:$I$89,3,0)*VLOOKUP('Données projet'!$B$9,Paramètres!$A$1:$I$89,5,0)</f>
        <v>-5.3205440053716299E-14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319.22903094674564</v>
      </c>
      <c r="T153" s="59">
        <f t="shared" si="142"/>
        <v>254.58690973142848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0.8429457831162509</v>
      </c>
      <c r="AA153" s="21">
        <f>EXP(-LN(2)/25)*AA152+(1-EXP(-LN(2)/25))/(LN(2)/25)*Calculateur!V153*Calculateur!X153*VLOOKUP('Données projet'!$B$9,Paramètres!$A$1:$I$89,3,0)*0.475*44/12</f>
        <v>0.40029697465490349</v>
      </c>
      <c r="AB153" s="21">
        <f>EXP(-LN(2)/2)*AB152+(1-EXP(-LN(2)/2))/(LN(2)/2)*V153*Y153*VLOOKUP('Données projet'!$B$9,Paramètres!$A$1:$I$89,3,0)*0.475*44/12</f>
        <v>9.578387253141078E-18</v>
      </c>
      <c r="AC153" s="22">
        <f t="shared" si="111"/>
        <v>1.2432427577711544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1.9895196601282805E-13</v>
      </c>
      <c r="AJ153" s="13">
        <f>AI153*VLOOKUP('Données projet'!$B$10,Paramètres!$A$1:$I$89,3,0)*VLOOKUP('Données projet'!$B$10,Paramètres!$A$1:$I$89,5,0)</f>
        <v>1.8001173884840681E-13</v>
      </c>
      <c r="AK153" s="13">
        <f t="shared" si="143"/>
        <v>2.5254331426407198E-12</v>
      </c>
      <c r="AL153" s="20">
        <f t="shared" si="112"/>
        <v>4.7119831685935622E-12</v>
      </c>
      <c r="AM153" s="59">
        <f t="shared" si="113"/>
        <v>293.33333333333803</v>
      </c>
      <c r="AN153" s="59">
        <f ca="1">AVERAGE(OFFSET($AM$3,0,0,'Données projet'!$E$10+1,1))-AVERAGE(OFFSET($H$3,0,0,'Données projet'!$E$10+1,1))</f>
        <v>302.6112905010138</v>
      </c>
      <c r="AO153" s="59">
        <f t="shared" si="144"/>
        <v>423.44006663873375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0.19054888359651809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2.598619012779818E-18</v>
      </c>
      <c r="AX153" s="21">
        <f t="shared" si="114"/>
        <v>0.19054888359651809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>
        <f>BD153*VLOOKUP('Données projet'!$B$11,Paramètres!$A$1:$I$89,3,0)*VLOOKUP('Données projet'!$B$11,Paramètres!$A$1:$I$89,5,0)</f>
        <v>0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207.91763299672158</v>
      </c>
      <c r="BJ153" s="59">
        <f t="shared" si="146"/>
        <v>230.81096055024483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0.68312378093899917</v>
      </c>
      <c r="BQ153" s="21">
        <f>EXP(-LN(2)/25)*BQ152+(1-EXP(-LN(2)/25))/(LN(2)/25)*Calculateur!BL153*Calculateur!BN153*VLOOKUP('Données projet'!$B$11,Paramètres!$A$1:$I$89,3,0)*0.475*44/12</f>
        <v>0.21618997451729829</v>
      </c>
      <c r="BR153" s="21">
        <f>EXP(-LN(2)/2)*BR152+(1-EXP(-LN(2)/2))/(LN(2)/2)*BL153*BO153*VLOOKUP('Données projet'!$B$11,Paramètres!$A$1:$I$89,3,0)*0.475*44/12</f>
        <v>2.5656308936663466E-18</v>
      </c>
      <c r="BS153" s="22">
        <f t="shared" si="117"/>
        <v>0.89931375545629744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-1.1368683772161603E-13</v>
      </c>
      <c r="O154" s="13">
        <f>N154*VLOOKUP('Données projet'!$B$9,Paramètres!$A$1:$I$89,3,0)*VLOOKUP('Données projet'!$B$9,Paramètres!$A$1:$I$89,5,0)</f>
        <v>-5.3205440053716299E-14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319.22903094674564</v>
      </c>
      <c r="T154" s="59">
        <f t="shared" si="142"/>
        <v>254.58690973142848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0.82641613045550122</v>
      </c>
      <c r="AA154" s="21">
        <f>EXP(-LN(2)/25)*AA153+(1-EXP(-LN(2)/25))/(LN(2)/25)*Calculateur!V154*Calculateur!X154*VLOOKUP('Données projet'!$B$9,Paramètres!$A$1:$I$89,3,0)*0.475*44/12</f>
        <v>0.38935083283226213</v>
      </c>
      <c r="AB154" s="21">
        <f>EXP(-LN(2)/2)*AB153+(1-EXP(-LN(2)/2))/(LN(2)/2)*V154*Y154*VLOOKUP('Données projet'!$B$9,Paramètres!$A$1:$I$89,3,0)*0.475*44/12</f>
        <v>6.7729425795268448E-18</v>
      </c>
      <c r="AC154" s="22">
        <f t="shared" ref="AC154:AC203" si="163">SUM(Z154:AB154)</f>
        <v>1.2157669632877632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1.9895196601282805E-13</v>
      </c>
      <c r="AJ154" s="13">
        <f>AI154*VLOOKUP('Données projet'!$B$10,Paramètres!$A$1:$I$89,3,0)*VLOOKUP('Données projet'!$B$10,Paramètres!$A$1:$I$89,5,0)</f>
        <v>1.8001173884840681E-13</v>
      </c>
      <c r="AK154" s="13">
        <f t="shared" ref="AK154:AK203" si="164">EXP(-1.0587+0.8836*LN(AJ154)+0.284)</f>
        <v>2.5254331426407198E-12</v>
      </c>
      <c r="AL154" s="20">
        <f t="shared" ref="AL154:AL203" si="165">(AJ154+AK154)*0.475*44/12</f>
        <v>4.7119831685935622E-12</v>
      </c>
      <c r="AM154" s="59">
        <f t="shared" si="113"/>
        <v>293.33333333333803</v>
      </c>
      <c r="AN154" s="59">
        <f ca="1">AVERAGE(OFFSET($AM$3,0,0,'Données projet'!$E$10+1,1))-AVERAGE(OFFSET($H$3,0,0,'Données projet'!$E$10+1,1))</f>
        <v>302.6112905010138</v>
      </c>
      <c r="AO154" s="59">
        <f t="shared" si="144"/>
        <v>423.44006663873375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0.18681233621253326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1.8375011256569009E-18</v>
      </c>
      <c r="AX154" s="21">
        <f t="shared" ref="AX154:AX203" si="166">SUM(AU154:AW154)</f>
        <v>0.18681233621253326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>
        <f>BD154*VLOOKUP('Données projet'!$B$11,Paramètres!$A$1:$I$89,3,0)*VLOOKUP('Données projet'!$B$11,Paramètres!$A$1:$I$89,5,0)</f>
        <v>0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207.91763299672158</v>
      </c>
      <c r="BJ154" s="59">
        <f t="shared" si="146"/>
        <v>230.81096055024483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0.66972814025914962</v>
      </c>
      <c r="BQ154" s="21">
        <f>EXP(-LN(2)/25)*BQ153+(1-EXP(-LN(2)/25))/(LN(2)/25)*Calculateur!BL154*Calculateur!BN154*VLOOKUP('Données projet'!$B$11,Paramètres!$A$1:$I$89,3,0)*0.475*44/12</f>
        <v>0.21027824829518613</v>
      </c>
      <c r="BR154" s="21">
        <f>EXP(-LN(2)/2)*BR153+(1-EXP(-LN(2)/2))/(LN(2)/2)*BL154*BO154*VLOOKUP('Données projet'!$B$11,Paramètres!$A$1:$I$89,3,0)*0.475*44/12</f>
        <v>1.8141750029331757E-18</v>
      </c>
      <c r="BS154" s="22">
        <f t="shared" ref="BS154:BS203" si="169">SUM(BP154:BR154)</f>
        <v>0.88000638855433577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-1.1368683772161603E-13</v>
      </c>
      <c r="O155" s="13">
        <f>N155*VLOOKUP('Données projet'!$B$9,Paramètres!$A$1:$I$89,3,0)*VLOOKUP('Données projet'!$B$9,Paramètres!$A$1:$I$89,5,0)</f>
        <v>-5.3205440053716299E-14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319.22903094674564</v>
      </c>
      <c r="T155" s="59">
        <f t="shared" si="142"/>
        <v>254.58690973142848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0.81021061420133622</v>
      </c>
      <c r="AA155" s="21">
        <f>EXP(-LN(2)/25)*AA154+(1-EXP(-LN(2)/25))/(LN(2)/25)*Calculateur!V155*Calculateur!X155*VLOOKUP('Données projet'!$B$9,Paramètres!$A$1:$I$89,3,0)*0.475*44/12</f>
        <v>0.37870401383339347</v>
      </c>
      <c r="AB155" s="21">
        <f>EXP(-LN(2)/2)*AB154+(1-EXP(-LN(2)/2))/(LN(2)/2)*V155*Y155*VLOOKUP('Données projet'!$B$9,Paramètres!$A$1:$I$89,3,0)*0.475*44/12</f>
        <v>4.7891936265705398E-18</v>
      </c>
      <c r="AC155" s="22">
        <f t="shared" si="163"/>
        <v>1.1889146280347296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1.9895196601282805E-13</v>
      </c>
      <c r="AJ155" s="13">
        <f>AI155*VLOOKUP('Données projet'!$B$10,Paramètres!$A$1:$I$89,3,0)*VLOOKUP('Données projet'!$B$10,Paramètres!$A$1:$I$89,5,0)</f>
        <v>1.8001173884840681E-13</v>
      </c>
      <c r="AK155" s="13">
        <f t="shared" si="164"/>
        <v>2.5254331426407198E-12</v>
      </c>
      <c r="AL155" s="20">
        <f t="shared" si="165"/>
        <v>4.7119831685935622E-12</v>
      </c>
      <c r="AM155" s="59">
        <f t="shared" si="113"/>
        <v>293.33333333333803</v>
      </c>
      <c r="AN155" s="59">
        <f ca="1">AVERAGE(OFFSET($AM$3,0,0,'Données projet'!$E$10+1,1))-AVERAGE(OFFSET($H$3,0,0,'Données projet'!$E$10+1,1))</f>
        <v>302.6112905010138</v>
      </c>
      <c r="AO155" s="59">
        <f t="shared" si="144"/>
        <v>423.44006663873375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0.18314906024367952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1.299309506389909E-18</v>
      </c>
      <c r="AX155" s="21">
        <f t="shared" si="166"/>
        <v>0.18314906024367952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>
        <f>BD155*VLOOKUP('Données projet'!$B$11,Paramètres!$A$1:$I$89,3,0)*VLOOKUP('Données projet'!$B$11,Paramètres!$A$1:$I$89,5,0)</f>
        <v>0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207.91763299672158</v>
      </c>
      <c r="BJ155" s="59">
        <f t="shared" si="146"/>
        <v>230.81096055024483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0.65659517992249783</v>
      </c>
      <c r="BQ155" s="21">
        <f>EXP(-LN(2)/25)*BQ154+(1-EXP(-LN(2)/25))/(LN(2)/25)*Calculateur!BL155*Calculateur!BN155*VLOOKUP('Données projet'!$B$11,Paramètres!$A$1:$I$89,3,0)*0.475*44/12</f>
        <v>0.20452817853750177</v>
      </c>
      <c r="BR155" s="21">
        <f>EXP(-LN(2)/2)*BR154+(1-EXP(-LN(2)/2))/(LN(2)/2)*BL155*BO155*VLOOKUP('Données projet'!$B$11,Paramètres!$A$1:$I$89,3,0)*0.475*44/12</f>
        <v>1.2828154468331733E-18</v>
      </c>
      <c r="BS155" s="22">
        <f t="shared" si="169"/>
        <v>0.86112335845999954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-1.1368683772161603E-13</v>
      </c>
      <c r="O156" s="13">
        <f>N156*VLOOKUP('Données projet'!$B$9,Paramètres!$A$1:$I$89,3,0)*VLOOKUP('Données projet'!$B$9,Paramètres!$A$1:$I$89,5,0)</f>
        <v>-5.3205440053716299E-14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319.22903094674564</v>
      </c>
      <c r="T156" s="59">
        <f t="shared" si="142"/>
        <v>254.58690973142848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0.79432287823652648</v>
      </c>
      <c r="AA156" s="21">
        <f>EXP(-LN(2)/25)*AA155+(1-EXP(-LN(2)/25))/(LN(2)/25)*Calculateur!V156*Calculateur!X156*VLOOKUP('Données projet'!$B$9,Paramètres!$A$1:$I$89,3,0)*0.475*44/12</f>
        <v>0.36834833265994077</v>
      </c>
      <c r="AB156" s="21">
        <f>EXP(-LN(2)/2)*AB155+(1-EXP(-LN(2)/2))/(LN(2)/2)*V156*Y156*VLOOKUP('Données projet'!$B$9,Paramètres!$A$1:$I$89,3,0)*0.475*44/12</f>
        <v>3.3864712897634228E-18</v>
      </c>
      <c r="AC156" s="22">
        <f t="shared" si="163"/>
        <v>1.1626712108964672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1.9895196601282805E-13</v>
      </c>
      <c r="AJ156" s="13">
        <f>AI156*VLOOKUP('Données projet'!$B$10,Paramètres!$A$1:$I$89,3,0)*VLOOKUP('Données projet'!$B$10,Paramètres!$A$1:$I$89,5,0)</f>
        <v>1.8001173884840681E-13</v>
      </c>
      <c r="AK156" s="13">
        <f t="shared" si="164"/>
        <v>2.5254331426407198E-12</v>
      </c>
      <c r="AL156" s="20">
        <f t="shared" si="165"/>
        <v>4.7119831685935622E-12</v>
      </c>
      <c r="AM156" s="59">
        <f t="shared" si="113"/>
        <v>293.33333333333803</v>
      </c>
      <c r="AN156" s="59">
        <f ca="1">AVERAGE(OFFSET($AM$3,0,0,'Données projet'!$E$10+1,1))-AVERAGE(OFFSET($H$3,0,0,'Données projet'!$E$10+1,1))</f>
        <v>302.6112905010138</v>
      </c>
      <c r="AO156" s="59">
        <f t="shared" si="144"/>
        <v>423.44006663873375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0.17955761888219729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9.1875056282845044E-19</v>
      </c>
      <c r="AX156" s="21">
        <f t="shared" si="166"/>
        <v>0.17955761888219729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>
        <f>BD156*VLOOKUP('Données projet'!$B$11,Paramètres!$A$1:$I$89,3,0)*VLOOKUP('Données projet'!$B$11,Paramètres!$A$1:$I$89,5,0)</f>
        <v>0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207.91763299672158</v>
      </c>
      <c r="BJ156" s="59">
        <f t="shared" si="146"/>
        <v>230.81096055024483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0.64371974892773298</v>
      </c>
      <c r="BQ156" s="21">
        <f>EXP(-LN(2)/25)*BQ155+(1-EXP(-LN(2)/25))/(LN(2)/25)*Calculateur!BL156*Calculateur!BN156*VLOOKUP('Données projet'!$B$11,Paramètres!$A$1:$I$89,3,0)*0.475*44/12</f>
        <v>0.19893534473972432</v>
      </c>
      <c r="BR156" s="21">
        <f>EXP(-LN(2)/2)*BR155+(1-EXP(-LN(2)/2))/(LN(2)/2)*BL156*BO156*VLOOKUP('Données projet'!$B$11,Paramètres!$A$1:$I$89,3,0)*0.475*44/12</f>
        <v>9.0708750146658786E-19</v>
      </c>
      <c r="BS156" s="22">
        <f t="shared" si="169"/>
        <v>0.84265509366745728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-1.1368683772161603E-13</v>
      </c>
      <c r="O157" s="13">
        <f>N157*VLOOKUP('Données projet'!$B$9,Paramètres!$A$1:$I$89,3,0)*VLOOKUP('Données projet'!$B$9,Paramètres!$A$1:$I$89,5,0)</f>
        <v>-5.3205440053716299E-14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319.22903094674564</v>
      </c>
      <c r="T157" s="59">
        <f t="shared" si="142"/>
        <v>254.58690973142848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0.77874669108342454</v>
      </c>
      <c r="AA157" s="21">
        <f>EXP(-LN(2)/25)*AA156+(1-EXP(-LN(2)/25))/(LN(2)/25)*Calculateur!V157*Calculateur!X157*VLOOKUP('Données projet'!$B$9,Paramètres!$A$1:$I$89,3,0)*0.475*44/12</f>
        <v>0.35827582813275777</v>
      </c>
      <c r="AB157" s="21">
        <f>EXP(-LN(2)/2)*AB156+(1-EXP(-LN(2)/2))/(LN(2)/2)*V157*Y157*VLOOKUP('Données projet'!$B$9,Paramètres!$A$1:$I$89,3,0)*0.475*44/12</f>
        <v>2.3945968132852703E-18</v>
      </c>
      <c r="AC157" s="22">
        <f t="shared" si="163"/>
        <v>1.1370225192161822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1.9895196601282805E-13</v>
      </c>
      <c r="AJ157" s="13">
        <f>AI157*VLOOKUP('Données projet'!$B$10,Paramètres!$A$1:$I$89,3,0)*VLOOKUP('Données projet'!$B$10,Paramètres!$A$1:$I$89,5,0)</f>
        <v>1.8001173884840681E-13</v>
      </c>
      <c r="AK157" s="13">
        <f t="shared" si="164"/>
        <v>2.5254331426407198E-12</v>
      </c>
      <c r="AL157" s="20">
        <f t="shared" si="165"/>
        <v>4.7119831685935622E-12</v>
      </c>
      <c r="AM157" s="59">
        <f t="shared" si="113"/>
        <v>293.33333333333803</v>
      </c>
      <c r="AN157" s="59">
        <f ca="1">AVERAGE(OFFSET($AM$3,0,0,'Données projet'!$E$10+1,1))-AVERAGE(OFFSET($H$3,0,0,'Données projet'!$E$10+1,1))</f>
        <v>302.6112905010138</v>
      </c>
      <c r="AO157" s="59">
        <f t="shared" si="144"/>
        <v>423.44006663873375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0.17603660349525077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6.496547531949545E-19</v>
      </c>
      <c r="AX157" s="21">
        <f t="shared" si="166"/>
        <v>0.17603660349525077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>
        <f>BD157*VLOOKUP('Données projet'!$B$11,Paramètres!$A$1:$I$89,3,0)*VLOOKUP('Données projet'!$B$11,Paramètres!$A$1:$I$89,5,0)</f>
        <v>0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207.91763299672158</v>
      </c>
      <c r="BJ157" s="59">
        <f t="shared" si="146"/>
        <v>230.81096055024483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0.631096797281538</v>
      </c>
      <c r="BQ157" s="21">
        <f>EXP(-LN(2)/25)*BQ156+(1-EXP(-LN(2)/25))/(LN(2)/25)*Calculateur!BL157*Calculateur!BN157*VLOOKUP('Données projet'!$B$11,Paramètres!$A$1:$I$89,3,0)*0.475*44/12</f>
        <v>0.19349544727626145</v>
      </c>
      <c r="BR157" s="21">
        <f>EXP(-LN(2)/2)*BR156+(1-EXP(-LN(2)/2))/(LN(2)/2)*BL157*BO157*VLOOKUP('Données projet'!$B$11,Paramètres!$A$1:$I$89,3,0)*0.475*44/12</f>
        <v>6.4140772341658666E-19</v>
      </c>
      <c r="BS157" s="22">
        <f t="shared" si="169"/>
        <v>0.82459224455779945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-1.1368683772161603E-13</v>
      </c>
      <c r="O158" s="13">
        <f>N158*VLOOKUP('Données projet'!$B$9,Paramètres!$A$1:$I$89,3,0)*VLOOKUP('Données projet'!$B$9,Paramètres!$A$1:$I$89,5,0)</f>
        <v>-5.3205440053716299E-14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319.22903094674564</v>
      </c>
      <c r="T158" s="59">
        <f t="shared" si="142"/>
        <v>254.58690973142848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0.76347594345985892</v>
      </c>
      <c r="AA158" s="21">
        <f>EXP(-LN(2)/25)*AA157+(1-EXP(-LN(2)/25))/(LN(2)/25)*Calculateur!V158*Calculateur!X158*VLOOKUP('Données projet'!$B$9,Paramètres!$A$1:$I$89,3,0)*0.475*44/12</f>
        <v>0.34847875677156054</v>
      </c>
      <c r="AB158" s="21">
        <f>EXP(-LN(2)/2)*AB157+(1-EXP(-LN(2)/2))/(LN(2)/2)*V158*Y158*VLOOKUP('Données projet'!$B$9,Paramètres!$A$1:$I$89,3,0)*0.475*44/12</f>
        <v>1.6932356448817118E-18</v>
      </c>
      <c r="AC158" s="22">
        <f t="shared" si="163"/>
        <v>1.1119547002314194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1.9895196601282805E-13</v>
      </c>
      <c r="AJ158" s="13">
        <f>AI158*VLOOKUP('Données projet'!$B$10,Paramètres!$A$1:$I$89,3,0)*VLOOKUP('Données projet'!$B$10,Paramètres!$A$1:$I$89,5,0)</f>
        <v>1.8001173884840681E-13</v>
      </c>
      <c r="AK158" s="13">
        <f t="shared" si="164"/>
        <v>2.5254331426407198E-12</v>
      </c>
      <c r="AL158" s="20">
        <f t="shared" si="165"/>
        <v>4.7119831685935622E-12</v>
      </c>
      <c r="AM158" s="59">
        <f t="shared" si="113"/>
        <v>293.33333333333803</v>
      </c>
      <c r="AN158" s="59">
        <f ca="1">AVERAGE(OFFSET($AM$3,0,0,'Données projet'!$E$10+1,1))-AVERAGE(OFFSET($H$3,0,0,'Données projet'!$E$10+1,1))</f>
        <v>302.6112905010138</v>
      </c>
      <c r="AO158" s="59">
        <f t="shared" si="144"/>
        <v>423.44006663873375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0.17258463307243496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4.5937528141422522E-19</v>
      </c>
      <c r="AX158" s="21">
        <f t="shared" si="166"/>
        <v>0.17258463307243496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>
        <f>BD158*VLOOKUP('Données projet'!$B$11,Paramètres!$A$1:$I$89,3,0)*VLOOKUP('Données projet'!$B$11,Paramètres!$A$1:$I$89,5,0)</f>
        <v>0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207.91763299672158</v>
      </c>
      <c r="BJ158" s="59">
        <f t="shared" si="146"/>
        <v>230.81096055024483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0.61872137401788463</v>
      </c>
      <c r="BQ158" s="21">
        <f>EXP(-LN(2)/25)*BQ157+(1-EXP(-LN(2)/25))/(LN(2)/25)*Calculateur!BL158*Calculateur!BN158*VLOOKUP('Données projet'!$B$11,Paramètres!$A$1:$I$89,3,0)*0.475*44/12</f>
        <v>0.18820430409500874</v>
      </c>
      <c r="BR158" s="21">
        <f>EXP(-LN(2)/2)*BR157+(1-EXP(-LN(2)/2))/(LN(2)/2)*BL158*BO158*VLOOKUP('Données projet'!$B$11,Paramètres!$A$1:$I$89,3,0)*0.475*44/12</f>
        <v>4.5354375073329393E-19</v>
      </c>
      <c r="BS158" s="22">
        <f t="shared" si="169"/>
        <v>0.8069256781128934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-1.1368683772161603E-13</v>
      </c>
      <c r="O159" s="13">
        <f>N159*VLOOKUP('Données projet'!$B$9,Paramètres!$A$1:$I$89,3,0)*VLOOKUP('Données projet'!$B$9,Paramètres!$A$1:$I$89,5,0)</f>
        <v>-5.3205440053716299E-14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319.22903094674564</v>
      </c>
      <c r="T159" s="59">
        <f t="shared" si="142"/>
        <v>254.58690973142848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0.74850464588295507</v>
      </c>
      <c r="AA159" s="21">
        <f>EXP(-LN(2)/25)*AA158+(1-EXP(-LN(2)/25))/(LN(2)/25)*Calculateur!V159*Calculateur!X159*VLOOKUP('Données projet'!$B$9,Paramètres!$A$1:$I$89,3,0)*0.475*44/12</f>
        <v>0.33894958684194088</v>
      </c>
      <c r="AB159" s="21">
        <f>EXP(-LN(2)/2)*AB158+(1-EXP(-LN(2)/2))/(LN(2)/2)*V159*Y159*VLOOKUP('Données projet'!$B$9,Paramètres!$A$1:$I$89,3,0)*0.475*44/12</f>
        <v>1.1972984066426353E-18</v>
      </c>
      <c r="AC159" s="22">
        <f t="shared" si="163"/>
        <v>1.0874542327248959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1.9895196601282805E-13</v>
      </c>
      <c r="AJ159" s="13">
        <f>AI159*VLOOKUP('Données projet'!$B$10,Paramètres!$A$1:$I$89,3,0)*VLOOKUP('Données projet'!$B$10,Paramètres!$A$1:$I$89,5,0)</f>
        <v>1.8001173884840681E-13</v>
      </c>
      <c r="AK159" s="13">
        <f t="shared" si="164"/>
        <v>2.5254331426407198E-12</v>
      </c>
      <c r="AL159" s="20">
        <f t="shared" si="165"/>
        <v>4.7119831685935622E-12</v>
      </c>
      <c r="AM159" s="59">
        <f t="shared" si="113"/>
        <v>293.33333333333803</v>
      </c>
      <c r="AN159" s="59">
        <f ca="1">AVERAGE(OFFSET($AM$3,0,0,'Données projet'!$E$10+1,1))-AVERAGE(OFFSET($H$3,0,0,'Données projet'!$E$10+1,1))</f>
        <v>302.6112905010138</v>
      </c>
      <c r="AO159" s="59">
        <f t="shared" si="144"/>
        <v>423.44006663873375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0.16920035368411651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3.2482737659747725E-19</v>
      </c>
      <c r="AX159" s="21">
        <f t="shared" si="166"/>
        <v>0.16920035368411651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>
        <f>BD159*VLOOKUP('Données projet'!$B$11,Paramètres!$A$1:$I$89,3,0)*VLOOKUP('Données projet'!$B$11,Paramètres!$A$1:$I$89,5,0)</f>
        <v>0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207.91763299672158</v>
      </c>
      <c r="BJ159" s="59">
        <f t="shared" si="146"/>
        <v>230.81096055024483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0.60658862525616863</v>
      </c>
      <c r="BQ159" s="21">
        <f>EXP(-LN(2)/25)*BQ158+(1-EXP(-LN(2)/25))/(LN(2)/25)*Calculateur!BL159*Calculateur!BN159*VLOOKUP('Données projet'!$B$11,Paramètres!$A$1:$I$89,3,0)*0.475*44/12</f>
        <v>0.18305784750229653</v>
      </c>
      <c r="BR159" s="21">
        <f>EXP(-LN(2)/2)*BR158+(1-EXP(-LN(2)/2))/(LN(2)/2)*BL159*BO159*VLOOKUP('Données projet'!$B$11,Paramètres!$A$1:$I$89,3,0)*0.475*44/12</f>
        <v>3.2070386170829333E-19</v>
      </c>
      <c r="BS159" s="22">
        <f t="shared" si="169"/>
        <v>0.78964647275846511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-1.1368683772161603E-13</v>
      </c>
      <c r="O160" s="13">
        <f>N160*VLOOKUP('Données projet'!$B$9,Paramètres!$A$1:$I$89,3,0)*VLOOKUP('Données projet'!$B$9,Paramètres!$A$1:$I$89,5,0)</f>
        <v>-5.3205440053716299E-14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319.22903094674564</v>
      </c>
      <c r="T160" s="59">
        <f t="shared" si="142"/>
        <v>254.58690973142848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0.73382692631994451</v>
      </c>
      <c r="AA160" s="21">
        <f>EXP(-LN(2)/25)*AA159+(1-EXP(-LN(2)/25))/(LN(2)/25)*Calculateur!V160*Calculateur!X160*VLOOKUP('Données projet'!$B$9,Paramètres!$A$1:$I$89,3,0)*0.475*44/12</f>
        <v>0.32968099256516392</v>
      </c>
      <c r="AB160" s="21">
        <f>EXP(-LN(2)/2)*AB159+(1-EXP(-LN(2)/2))/(LN(2)/2)*V160*Y160*VLOOKUP('Données projet'!$B$9,Paramètres!$A$1:$I$89,3,0)*0.475*44/12</f>
        <v>8.4661782244085598E-19</v>
      </c>
      <c r="AC160" s="22">
        <f t="shared" si="163"/>
        <v>1.0635079188851084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1.9895196601282805E-13</v>
      </c>
      <c r="AJ160" s="13">
        <f>AI160*VLOOKUP('Données projet'!$B$10,Paramètres!$A$1:$I$89,3,0)*VLOOKUP('Données projet'!$B$10,Paramètres!$A$1:$I$89,5,0)</f>
        <v>1.8001173884840681E-13</v>
      </c>
      <c r="AK160" s="13">
        <f t="shared" si="164"/>
        <v>2.5254331426407198E-12</v>
      </c>
      <c r="AL160" s="20">
        <f t="shared" si="165"/>
        <v>4.7119831685935622E-12</v>
      </c>
      <c r="AM160" s="59">
        <f t="shared" si="113"/>
        <v>293.33333333333803</v>
      </c>
      <c r="AN160" s="59">
        <f ca="1">AVERAGE(OFFSET($AM$3,0,0,'Données projet'!$E$10+1,1))-AVERAGE(OFFSET($H$3,0,0,'Données projet'!$E$10+1,1))</f>
        <v>302.6112905010138</v>
      </c>
      <c r="AO160" s="59">
        <f t="shared" si="144"/>
        <v>423.44006663873375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0.16588243795039637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2.2968764070711261E-19</v>
      </c>
      <c r="AX160" s="21">
        <f t="shared" si="166"/>
        <v>0.16588243795039637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>
        <f>BD160*VLOOKUP('Données projet'!$B$11,Paramètres!$A$1:$I$89,3,0)*VLOOKUP('Données projet'!$B$11,Paramètres!$A$1:$I$89,5,0)</f>
        <v>0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207.91763299672158</v>
      </c>
      <c r="BJ160" s="59">
        <f t="shared" si="146"/>
        <v>230.81096055024483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0.59469379229742381</v>
      </c>
      <c r="BQ160" s="21">
        <f>EXP(-LN(2)/25)*BQ159+(1-EXP(-LN(2)/25))/(LN(2)/25)*Calculateur!BL160*Calculateur!BN160*VLOOKUP('Données projet'!$B$11,Paramètres!$A$1:$I$89,3,0)*0.475*44/12</f>
        <v>0.17805212103575241</v>
      </c>
      <c r="BR160" s="21">
        <f>EXP(-LN(2)/2)*BR159+(1-EXP(-LN(2)/2))/(LN(2)/2)*BL160*BO160*VLOOKUP('Données projet'!$B$11,Paramètres!$A$1:$I$89,3,0)*0.475*44/12</f>
        <v>2.2677187536664697E-19</v>
      </c>
      <c r="BS160" s="22">
        <f t="shared" si="169"/>
        <v>0.77274591333317622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-1.1368683772161603E-13</v>
      </c>
      <c r="O161" s="13">
        <f>N161*VLOOKUP('Données projet'!$B$9,Paramètres!$A$1:$I$89,3,0)*VLOOKUP('Données projet'!$B$9,Paramètres!$A$1:$I$89,5,0)</f>
        <v>-5.3205440053716299E-14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319.22903094674564</v>
      </c>
      <c r="T161" s="59">
        <f t="shared" si="142"/>
        <v>254.58690973142848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0.7194370278850396</v>
      </c>
      <c r="AA161" s="21">
        <f>EXP(-LN(2)/25)*AA160+(1-EXP(-LN(2)/25))/(LN(2)/25)*Calculateur!V161*Calculateur!X161*VLOOKUP('Données projet'!$B$9,Paramètres!$A$1:$I$89,3,0)*0.475*44/12</f>
        <v>0.32066584848629959</v>
      </c>
      <c r="AB161" s="21">
        <f>EXP(-LN(2)/2)*AB160+(1-EXP(-LN(2)/2))/(LN(2)/2)*V161*Y161*VLOOKUP('Données projet'!$B$9,Paramètres!$A$1:$I$89,3,0)*0.475*44/12</f>
        <v>5.9864920332131776E-19</v>
      </c>
      <c r="AC161" s="22">
        <f t="shared" si="163"/>
        <v>1.0401028763713391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1.9895196601282805E-13</v>
      </c>
      <c r="AJ161" s="13">
        <f>AI161*VLOOKUP('Données projet'!$B$10,Paramètres!$A$1:$I$89,3,0)*VLOOKUP('Données projet'!$B$10,Paramètres!$A$1:$I$89,5,0)</f>
        <v>1.8001173884840681E-13</v>
      </c>
      <c r="AK161" s="13">
        <f t="shared" si="164"/>
        <v>2.5254331426407198E-12</v>
      </c>
      <c r="AL161" s="20">
        <f t="shared" si="165"/>
        <v>4.7119831685935622E-12</v>
      </c>
      <c r="AM161" s="59">
        <f t="shared" si="113"/>
        <v>293.33333333333803</v>
      </c>
      <c r="AN161" s="59">
        <f ca="1">AVERAGE(OFFSET($AM$3,0,0,'Données projet'!$E$10+1,1))-AVERAGE(OFFSET($H$3,0,0,'Données projet'!$E$10+1,1))</f>
        <v>302.6112905010138</v>
      </c>
      <c r="AO161" s="59">
        <f t="shared" si="144"/>
        <v>423.44006663873375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0.1626295845204857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1.6241368829873862E-19</v>
      </c>
      <c r="AX161" s="21">
        <f t="shared" si="166"/>
        <v>0.1626295845204857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>
        <f>BD161*VLOOKUP('Données projet'!$B$11,Paramètres!$A$1:$I$89,3,0)*VLOOKUP('Données projet'!$B$11,Paramètres!$A$1:$I$89,5,0)</f>
        <v>0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207.91763299672158</v>
      </c>
      <c r="BJ161" s="59">
        <f t="shared" si="146"/>
        <v>230.81096055024483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0.58303220975786829</v>
      </c>
      <c r="BQ161" s="21">
        <f>EXP(-LN(2)/25)*BQ160+(1-EXP(-LN(2)/25))/(LN(2)/25)*Calculateur!BL161*Calculateur!BN161*VLOOKUP('Données projet'!$B$11,Paramètres!$A$1:$I$89,3,0)*0.475*44/12</f>
        <v>0.17318327642267567</v>
      </c>
      <c r="BR161" s="21">
        <f>EXP(-LN(2)/2)*BR160+(1-EXP(-LN(2)/2))/(LN(2)/2)*BL161*BO161*VLOOKUP('Données projet'!$B$11,Paramètres!$A$1:$I$89,3,0)*0.475*44/12</f>
        <v>1.6035193085414666E-19</v>
      </c>
      <c r="BS161" s="22">
        <f t="shared" si="169"/>
        <v>0.75621548618054391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-1.1368683772161603E-13</v>
      </c>
      <c r="O162" s="13">
        <f>N162*VLOOKUP('Données projet'!$B$9,Paramètres!$A$1:$I$89,3,0)*VLOOKUP('Données projet'!$B$9,Paramètres!$A$1:$I$89,5,0)</f>
        <v>-5.3205440053716299E-14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319.22903094674564</v>
      </c>
      <c r="T162" s="59">
        <f t="shared" si="142"/>
        <v>254.58690973142848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0.70532930658147175</v>
      </c>
      <c r="AA162" s="21">
        <f>EXP(-LN(2)/25)*AA161+(1-EXP(-LN(2)/25))/(LN(2)/25)*Calculateur!V162*Calculateur!X162*VLOOKUP('Données projet'!$B$9,Paramètres!$A$1:$I$89,3,0)*0.475*44/12</f>
        <v>0.31189722399635766</v>
      </c>
      <c r="AB162" s="21">
        <f>EXP(-LN(2)/2)*AB161+(1-EXP(-LN(2)/2))/(LN(2)/2)*V162*Y162*VLOOKUP('Données projet'!$B$9,Paramètres!$A$1:$I$89,3,0)*0.475*44/12</f>
        <v>4.2330891122042809E-19</v>
      </c>
      <c r="AC162" s="22">
        <f t="shared" si="163"/>
        <v>1.0172265305778294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1.9895196601282805E-13</v>
      </c>
      <c r="AJ162" s="13">
        <f>AI162*VLOOKUP('Données projet'!$B$10,Paramètres!$A$1:$I$89,3,0)*VLOOKUP('Données projet'!$B$10,Paramètres!$A$1:$I$89,5,0)</f>
        <v>1.8001173884840681E-13</v>
      </c>
      <c r="AK162" s="13">
        <f t="shared" si="164"/>
        <v>2.5254331426407198E-12</v>
      </c>
      <c r="AL162" s="20">
        <f t="shared" si="165"/>
        <v>4.7119831685935622E-12</v>
      </c>
      <c r="AM162" s="59">
        <f t="shared" si="113"/>
        <v>293.33333333333803</v>
      </c>
      <c r="AN162" s="59">
        <f ca="1">AVERAGE(OFFSET($AM$3,0,0,'Données projet'!$E$10+1,1))-AVERAGE(OFFSET($H$3,0,0,'Données projet'!$E$10+1,1))</f>
        <v>302.6112905010138</v>
      </c>
      <c r="AO162" s="59">
        <f t="shared" si="144"/>
        <v>423.44006663873375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0.15944051756229091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1.1484382035355631E-19</v>
      </c>
      <c r="AX162" s="21">
        <f t="shared" si="166"/>
        <v>0.15944051756229091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>
        <f>BD162*VLOOKUP('Données projet'!$B$11,Paramètres!$A$1:$I$89,3,0)*VLOOKUP('Données projet'!$B$11,Paramètres!$A$1:$I$89,5,0)</f>
        <v>0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207.91763299672158</v>
      </c>
      <c r="BJ162" s="59">
        <f t="shared" si="146"/>
        <v>230.81096055024483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0.57159930373905043</v>
      </c>
      <c r="BQ162" s="21">
        <f>EXP(-LN(2)/25)*BQ161+(1-EXP(-LN(2)/25))/(LN(2)/25)*Calculateur!BL162*Calculateur!BN162*VLOOKUP('Données projet'!$B$11,Paramètres!$A$1:$I$89,3,0)*0.475*44/12</f>
        <v>0.16844757062158491</v>
      </c>
      <c r="BR162" s="21">
        <f>EXP(-LN(2)/2)*BR161+(1-EXP(-LN(2)/2))/(LN(2)/2)*BL162*BO162*VLOOKUP('Données projet'!$B$11,Paramètres!$A$1:$I$89,3,0)*0.475*44/12</f>
        <v>1.1338593768332348E-19</v>
      </c>
      <c r="BS162" s="22">
        <f t="shared" si="169"/>
        <v>0.74004687436063532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-1.1368683772161603E-13</v>
      </c>
      <c r="O163" s="13">
        <f>N163*VLOOKUP('Données projet'!$B$9,Paramètres!$A$1:$I$89,3,0)*VLOOKUP('Données projet'!$B$9,Paramètres!$A$1:$I$89,5,0)</f>
        <v>-5.3205440053716299E-14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319.22903094674564</v>
      </c>
      <c r="T163" s="59">
        <f t="shared" si="142"/>
        <v>254.58690973142848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0.69149822908780656</v>
      </c>
      <c r="AA163" s="21">
        <f>EXP(-LN(2)/25)*AA162+(1-EXP(-LN(2)/25))/(LN(2)/25)*Calculateur!V163*Calculateur!X163*VLOOKUP('Données projet'!$B$9,Paramètres!$A$1:$I$89,3,0)*0.475*44/12</f>
        <v>0.30336837800421512</v>
      </c>
      <c r="AB163" s="21">
        <f>EXP(-LN(2)/2)*AB162+(1-EXP(-LN(2)/2))/(LN(2)/2)*V163*Y163*VLOOKUP('Données projet'!$B$9,Paramètres!$A$1:$I$89,3,0)*0.475*44/12</f>
        <v>2.9932460166065893E-19</v>
      </c>
      <c r="AC163" s="22">
        <f t="shared" si="163"/>
        <v>0.99486660709202168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1.9895196601282805E-13</v>
      </c>
      <c r="AJ163" s="13">
        <f>AI163*VLOOKUP('Données projet'!$B$10,Paramètres!$A$1:$I$89,3,0)*VLOOKUP('Données projet'!$B$10,Paramètres!$A$1:$I$89,5,0)</f>
        <v>1.8001173884840681E-13</v>
      </c>
      <c r="AK163" s="13">
        <f t="shared" si="164"/>
        <v>2.5254331426407198E-12</v>
      </c>
      <c r="AL163" s="20">
        <f t="shared" si="165"/>
        <v>4.7119831685935622E-12</v>
      </c>
      <c r="AM163" s="59">
        <f t="shared" si="113"/>
        <v>293.33333333333803</v>
      </c>
      <c r="AN163" s="59">
        <f ca="1">AVERAGE(OFFSET($AM$3,0,0,'Données projet'!$E$10+1,1))-AVERAGE(OFFSET($H$3,0,0,'Données projet'!$E$10+1,1))</f>
        <v>302.6112905010138</v>
      </c>
      <c r="AO163" s="59">
        <f t="shared" si="144"/>
        <v>423.44006663873375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0.15631398626200754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8.1206844149369312E-20</v>
      </c>
      <c r="AX163" s="21">
        <f t="shared" si="166"/>
        <v>0.15631398626200754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>
        <f>BD163*VLOOKUP('Données projet'!$B$11,Paramètres!$A$1:$I$89,3,0)*VLOOKUP('Données projet'!$B$11,Paramètres!$A$1:$I$89,5,0)</f>
        <v>0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207.91763299672158</v>
      </c>
      <c r="BJ163" s="59">
        <f t="shared" si="146"/>
        <v>230.81096055024483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0.56039059003387748</v>
      </c>
      <c r="BQ163" s="21">
        <f>EXP(-LN(2)/25)*BQ162+(1-EXP(-LN(2)/25))/(LN(2)/25)*Calculateur!BL163*Calculateur!BN163*VLOOKUP('Données projet'!$B$11,Paramètres!$A$1:$I$89,3,0)*0.475*44/12</f>
        <v>0.16384136294466492</v>
      </c>
      <c r="BR163" s="21">
        <f>EXP(-LN(2)/2)*BR162+(1-EXP(-LN(2)/2))/(LN(2)/2)*BL163*BO163*VLOOKUP('Données projet'!$B$11,Paramètres!$A$1:$I$89,3,0)*0.475*44/12</f>
        <v>8.0175965427073332E-20</v>
      </c>
      <c r="BS163" s="22">
        <f t="shared" si="169"/>
        <v>0.72423195297854237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-1.1368683772161603E-13</v>
      </c>
      <c r="O164" s="13">
        <f>N164*VLOOKUP('Données projet'!$B$9,Paramètres!$A$1:$I$89,3,0)*VLOOKUP('Données projet'!$B$9,Paramètres!$A$1:$I$89,5,0)</f>
        <v>-5.3205440053716299E-14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319.22903094674564</v>
      </c>
      <c r="T164" s="59">
        <f t="shared" si="142"/>
        <v>254.58690973142848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0.67793837058766782</v>
      </c>
      <c r="AA164" s="21">
        <f>EXP(-LN(2)/25)*AA163+(1-EXP(-LN(2)/25))/(LN(2)/25)*Calculateur!V164*Calculateur!X164*VLOOKUP('Données projet'!$B$9,Paramètres!$A$1:$I$89,3,0)*0.475*44/12</f>
        <v>0.29507275375424019</v>
      </c>
      <c r="AB164" s="21">
        <f>EXP(-LN(2)/2)*AB163+(1-EXP(-LN(2)/2))/(LN(2)/2)*V164*Y164*VLOOKUP('Données projet'!$B$9,Paramètres!$A$1:$I$89,3,0)*0.475*44/12</f>
        <v>2.1165445561021407E-19</v>
      </c>
      <c r="AC164" s="22">
        <f t="shared" si="163"/>
        <v>0.97301112434190795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1.9895196601282805E-13</v>
      </c>
      <c r="AJ164" s="13">
        <f>AI164*VLOOKUP('Données projet'!$B$10,Paramètres!$A$1:$I$89,3,0)*VLOOKUP('Données projet'!$B$10,Paramètres!$A$1:$I$89,5,0)</f>
        <v>1.8001173884840681E-13</v>
      </c>
      <c r="AK164" s="13">
        <f t="shared" si="164"/>
        <v>2.5254331426407198E-12</v>
      </c>
      <c r="AL164" s="20">
        <f t="shared" si="165"/>
        <v>4.7119831685935622E-12</v>
      </c>
      <c r="AM164" s="59">
        <f t="shared" si="113"/>
        <v>293.33333333333803</v>
      </c>
      <c r="AN164" s="59">
        <f ca="1">AVERAGE(OFFSET($AM$3,0,0,'Données projet'!$E$10+1,1))-AVERAGE(OFFSET($H$3,0,0,'Données projet'!$E$10+1,1))</f>
        <v>302.6112905010138</v>
      </c>
      <c r="AO164" s="59">
        <f t="shared" si="144"/>
        <v>423.44006663873375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0.15324876433352694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5.7421910176778153E-20</v>
      </c>
      <c r="AX164" s="21">
        <f t="shared" si="166"/>
        <v>0.15324876433352694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>
        <f>BD164*VLOOKUP('Données projet'!$B$11,Paramètres!$A$1:$I$89,3,0)*VLOOKUP('Données projet'!$B$11,Paramètres!$A$1:$I$89,5,0)</f>
        <v>0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207.91763299672158</v>
      </c>
      <c r="BJ164" s="59">
        <f t="shared" si="146"/>
        <v>230.81096055024483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0.54940167236782267</v>
      </c>
      <c r="BQ164" s="21">
        <f>EXP(-LN(2)/25)*BQ163+(1-EXP(-LN(2)/25))/(LN(2)/25)*Calculateur!BL164*Calculateur!BN164*VLOOKUP('Données projet'!$B$11,Paramètres!$A$1:$I$89,3,0)*0.475*44/12</f>
        <v>0.15936111225890023</v>
      </c>
      <c r="BR164" s="21">
        <f>EXP(-LN(2)/2)*BR163+(1-EXP(-LN(2)/2))/(LN(2)/2)*BL164*BO164*VLOOKUP('Données projet'!$B$11,Paramètres!$A$1:$I$89,3,0)*0.475*44/12</f>
        <v>5.6692968841661741E-20</v>
      </c>
      <c r="BS164" s="22">
        <f t="shared" si="169"/>
        <v>0.70876278462672293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-1.1368683772161603E-13</v>
      </c>
      <c r="O165" s="13">
        <f>N165*VLOOKUP('Données projet'!$B$9,Paramètres!$A$1:$I$89,3,0)*VLOOKUP('Données projet'!$B$9,Paramètres!$A$1:$I$89,5,0)</f>
        <v>-5.3205440053716299E-14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319.22903094674564</v>
      </c>
      <c r="T165" s="59">
        <f t="shared" si="142"/>
        <v>254.58690973142848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0.66464441264201979</v>
      </c>
      <c r="AA165" s="21">
        <f>EXP(-LN(2)/25)*AA164+(1-EXP(-LN(2)/25))/(LN(2)/25)*Calculateur!V165*Calculateur!X165*VLOOKUP('Données projet'!$B$9,Paramètres!$A$1:$I$89,3,0)*0.475*44/12</f>
        <v>0.28700397378562875</v>
      </c>
      <c r="AB165" s="21">
        <f>EXP(-LN(2)/2)*AB164+(1-EXP(-LN(2)/2))/(LN(2)/2)*V165*Y165*VLOOKUP('Données projet'!$B$9,Paramètres!$A$1:$I$89,3,0)*0.475*44/12</f>
        <v>1.4966230083032949E-19</v>
      </c>
      <c r="AC165" s="22">
        <f t="shared" si="163"/>
        <v>0.9516483864276486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1.9895196601282805E-13</v>
      </c>
      <c r="AJ165" s="13">
        <f>AI165*VLOOKUP('Données projet'!$B$10,Paramètres!$A$1:$I$89,3,0)*VLOOKUP('Données projet'!$B$10,Paramètres!$A$1:$I$89,5,0)</f>
        <v>1.8001173884840681E-13</v>
      </c>
      <c r="AK165" s="13">
        <f t="shared" si="164"/>
        <v>2.5254331426407198E-12</v>
      </c>
      <c r="AL165" s="20">
        <f t="shared" si="165"/>
        <v>4.7119831685935622E-12</v>
      </c>
      <c r="AM165" s="59">
        <f t="shared" si="113"/>
        <v>293.33333333333803</v>
      </c>
      <c r="AN165" s="59">
        <f ca="1">AVERAGE(OFFSET($AM$3,0,0,'Données projet'!$E$10+1,1))-AVERAGE(OFFSET($H$3,0,0,'Données projet'!$E$10+1,1))</f>
        <v>302.6112905010138</v>
      </c>
      <c r="AO165" s="59">
        <f t="shared" si="144"/>
        <v>423.44006663873375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0.15024364953746308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4.0603422074684656E-20</v>
      </c>
      <c r="AX165" s="21">
        <f t="shared" si="166"/>
        <v>0.15024364953746308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>
        <f>BD165*VLOOKUP('Données projet'!$B$11,Paramètres!$A$1:$I$89,3,0)*VLOOKUP('Données projet'!$B$11,Paramètres!$A$1:$I$89,5,0)</f>
        <v>0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207.91763299672158</v>
      </c>
      <c r="BJ165" s="59">
        <f t="shared" si="146"/>
        <v>230.81096055024483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0.53862824067462123</v>
      </c>
      <c r="BQ165" s="21">
        <f>EXP(-LN(2)/25)*BQ164+(1-EXP(-LN(2)/25))/(LN(2)/25)*Calculateur!BL165*Calculateur!BN165*VLOOKUP('Données projet'!$B$11,Paramètres!$A$1:$I$89,3,0)*0.475*44/12</f>
        <v>0.15500337426374394</v>
      </c>
      <c r="BR165" s="21">
        <f>EXP(-LN(2)/2)*BR164+(1-EXP(-LN(2)/2))/(LN(2)/2)*BL165*BO165*VLOOKUP('Données projet'!$B$11,Paramètres!$A$1:$I$89,3,0)*0.475*44/12</f>
        <v>4.0087982713536666E-20</v>
      </c>
      <c r="BS165" s="22">
        <f t="shared" si="169"/>
        <v>0.69363161493836523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-1.1368683772161603E-13</v>
      </c>
      <c r="O166" s="13">
        <f>N166*VLOOKUP('Données projet'!$B$9,Paramètres!$A$1:$I$89,3,0)*VLOOKUP('Données projet'!$B$9,Paramètres!$A$1:$I$89,5,0)</f>
        <v>-5.3205440053716299E-14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319.22903094674564</v>
      </c>
      <c r="T166" s="59">
        <f t="shared" si="142"/>
        <v>254.58690973142848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0.6516111411031722</v>
      </c>
      <c r="AA166" s="21">
        <f>EXP(-LN(2)/25)*AA165+(1-EXP(-LN(2)/25))/(LN(2)/25)*Calculateur!V166*Calculateur!X166*VLOOKUP('Données projet'!$B$9,Paramètres!$A$1:$I$89,3,0)*0.475*44/12</f>
        <v>0.27915583502957769</v>
      </c>
      <c r="AB166" s="21">
        <f>EXP(-LN(2)/2)*AB165+(1-EXP(-LN(2)/2))/(LN(2)/2)*V166*Y166*VLOOKUP('Données projet'!$B$9,Paramètres!$A$1:$I$89,3,0)*0.475*44/12</f>
        <v>1.0582722780510705E-19</v>
      </c>
      <c r="AC166" s="22">
        <f t="shared" si="163"/>
        <v>0.93076697613274995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1.9895196601282805E-13</v>
      </c>
      <c r="AJ166" s="13">
        <f>AI166*VLOOKUP('Données projet'!$B$10,Paramètres!$A$1:$I$89,3,0)*VLOOKUP('Données projet'!$B$10,Paramètres!$A$1:$I$89,5,0)</f>
        <v>1.8001173884840681E-13</v>
      </c>
      <c r="AK166" s="13">
        <f t="shared" si="164"/>
        <v>2.5254331426407198E-12</v>
      </c>
      <c r="AL166" s="20">
        <f t="shared" si="165"/>
        <v>4.7119831685935622E-12</v>
      </c>
      <c r="AM166" s="59">
        <f t="shared" si="113"/>
        <v>293.33333333333803</v>
      </c>
      <c r="AN166" s="59">
        <f ca="1">AVERAGE(OFFSET($AM$3,0,0,'Données projet'!$E$10+1,1))-AVERAGE(OFFSET($H$3,0,0,'Données projet'!$E$10+1,1))</f>
        <v>302.6112905010138</v>
      </c>
      <c r="AO166" s="59">
        <f t="shared" si="144"/>
        <v>423.44006663873375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0.14729746320961098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2.8710955088389076E-20</v>
      </c>
      <c r="AX166" s="21">
        <f t="shared" si="166"/>
        <v>0.14729746320961098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>
        <f>BD166*VLOOKUP('Données projet'!$B$11,Paramètres!$A$1:$I$89,3,0)*VLOOKUP('Données projet'!$B$11,Paramètres!$A$1:$I$89,5,0)</f>
        <v>0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207.91763299672158</v>
      </c>
      <c r="BJ166" s="59">
        <f t="shared" si="146"/>
        <v>230.81096055024483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0.52806606940577905</v>
      </c>
      <c r="BQ166" s="21">
        <f>EXP(-LN(2)/25)*BQ165+(1-EXP(-LN(2)/25))/(LN(2)/25)*Calculateur!BL166*Calculateur!BN166*VLOOKUP('Données projet'!$B$11,Paramètres!$A$1:$I$89,3,0)*0.475*44/12</f>
        <v>0.15076479884322869</v>
      </c>
      <c r="BR166" s="21">
        <f>EXP(-LN(2)/2)*BR165+(1-EXP(-LN(2)/2))/(LN(2)/2)*BL166*BO166*VLOOKUP('Données projet'!$B$11,Paramètres!$A$1:$I$89,3,0)*0.475*44/12</f>
        <v>2.8346484420830871E-20</v>
      </c>
      <c r="BS166" s="22">
        <f t="shared" si="169"/>
        <v>0.67883086824900774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-1.1368683772161603E-13</v>
      </c>
      <c r="O167" s="13">
        <f>N167*VLOOKUP('Données projet'!$B$9,Paramètres!$A$1:$I$89,3,0)*VLOOKUP('Données projet'!$B$9,Paramètres!$A$1:$I$89,5,0)</f>
        <v>-5.3205440053716299E-14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319.22903094674564</v>
      </c>
      <c r="T167" s="59">
        <f t="shared" si="142"/>
        <v>254.58690973142848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0.63883344406969078</v>
      </c>
      <c r="AA167" s="21">
        <f>EXP(-LN(2)/25)*AA166+(1-EXP(-LN(2)/25))/(LN(2)/25)*Calculateur!V167*Calculateur!X167*VLOOKUP('Données projet'!$B$9,Paramètres!$A$1:$I$89,3,0)*0.475*44/12</f>
        <v>0.27152230404052652</v>
      </c>
      <c r="AB167" s="21">
        <f>EXP(-LN(2)/2)*AB166+(1-EXP(-LN(2)/2))/(LN(2)/2)*V167*Y167*VLOOKUP('Données projet'!$B$9,Paramètres!$A$1:$I$89,3,0)*0.475*44/12</f>
        <v>7.4831150415164756E-20</v>
      </c>
      <c r="AC167" s="22">
        <f t="shared" si="163"/>
        <v>0.91035574811021736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1.9895196601282805E-13</v>
      </c>
      <c r="AJ167" s="13">
        <f>AI167*VLOOKUP('Données projet'!$B$10,Paramètres!$A$1:$I$89,3,0)*VLOOKUP('Données projet'!$B$10,Paramètres!$A$1:$I$89,5,0)</f>
        <v>1.8001173884840681E-13</v>
      </c>
      <c r="AK167" s="13">
        <f t="shared" si="164"/>
        <v>2.5254331426407198E-12</v>
      </c>
      <c r="AL167" s="20">
        <f t="shared" si="165"/>
        <v>4.7119831685935622E-12</v>
      </c>
      <c r="AM167" s="59">
        <f t="shared" si="113"/>
        <v>293.33333333333803</v>
      </c>
      <c r="AN167" s="59">
        <f ca="1">AVERAGE(OFFSET($AM$3,0,0,'Données projet'!$E$10+1,1))-AVERAGE(OFFSET($H$3,0,0,'Données projet'!$E$10+1,1))</f>
        <v>302.6112905010138</v>
      </c>
      <c r="AO167" s="59">
        <f t="shared" si="144"/>
        <v>423.44006663873375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0.14440904979865185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2.0301711037342328E-20</v>
      </c>
      <c r="AX167" s="21">
        <f t="shared" si="166"/>
        <v>0.14440904979865185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>
        <f>BD167*VLOOKUP('Données projet'!$B$11,Paramètres!$A$1:$I$89,3,0)*VLOOKUP('Données projet'!$B$11,Paramètres!$A$1:$I$89,5,0)</f>
        <v>0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207.91763299672158</v>
      </c>
      <c r="BJ167" s="59">
        <f t="shared" si="146"/>
        <v>230.81096055024483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0.51771101587323043</v>
      </c>
      <c r="BQ167" s="21">
        <f>EXP(-LN(2)/25)*BQ166+(1-EXP(-LN(2)/25))/(LN(2)/25)*Calculateur!BL167*Calculateur!BN167*VLOOKUP('Données projet'!$B$11,Paramètres!$A$1:$I$89,3,0)*0.475*44/12</f>
        <v>0.14664212749048441</v>
      </c>
      <c r="BR167" s="21">
        <f>EXP(-LN(2)/2)*BR166+(1-EXP(-LN(2)/2))/(LN(2)/2)*BL167*BO167*VLOOKUP('Données projet'!$B$11,Paramètres!$A$1:$I$89,3,0)*0.475*44/12</f>
        <v>2.0043991356768333E-20</v>
      </c>
      <c r="BS167" s="22">
        <f t="shared" si="169"/>
        <v>0.66435314336371487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-1.1368683772161603E-13</v>
      </c>
      <c r="O168" s="13">
        <f>N168*VLOOKUP('Données projet'!$B$9,Paramètres!$A$1:$I$89,3,0)*VLOOKUP('Données projet'!$B$9,Paramètres!$A$1:$I$89,5,0)</f>
        <v>-5.3205440053716299E-14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319.22903094674564</v>
      </c>
      <c r="T168" s="59">
        <f t="shared" si="142"/>
        <v>254.58690973142848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0.62630630988141034</v>
      </c>
      <c r="AA168" s="21">
        <f>EXP(-LN(2)/25)*AA167+(1-EXP(-LN(2)/25))/(LN(2)/25)*Calculateur!V168*Calculateur!X168*VLOOKUP('Données projet'!$B$9,Paramètres!$A$1:$I$89,3,0)*0.475*44/12</f>
        <v>0.26409751235780093</v>
      </c>
      <c r="AB168" s="21">
        <f>EXP(-LN(2)/2)*AB167+(1-EXP(-LN(2)/2))/(LN(2)/2)*V168*Y168*VLOOKUP('Données projet'!$B$9,Paramètres!$A$1:$I$89,3,0)*0.475*44/12</f>
        <v>5.2913613902553535E-20</v>
      </c>
      <c r="AC168" s="22">
        <f t="shared" si="163"/>
        <v>0.89040382223921122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1.9895196601282805E-13</v>
      </c>
      <c r="AJ168" s="13">
        <f>AI168*VLOOKUP('Données projet'!$B$10,Paramètres!$A$1:$I$89,3,0)*VLOOKUP('Données projet'!$B$10,Paramètres!$A$1:$I$89,5,0)</f>
        <v>1.8001173884840681E-13</v>
      </c>
      <c r="AK168" s="13">
        <f t="shared" si="164"/>
        <v>2.5254331426407198E-12</v>
      </c>
      <c r="AL168" s="20">
        <f t="shared" si="165"/>
        <v>4.7119831685935622E-12</v>
      </c>
      <c r="AM168" s="59">
        <f t="shared" si="113"/>
        <v>293.33333333333803</v>
      </c>
      <c r="AN168" s="59">
        <f ca="1">AVERAGE(OFFSET($AM$3,0,0,'Données projet'!$E$10+1,1))-AVERAGE(OFFSET($H$3,0,0,'Données projet'!$E$10+1,1))</f>
        <v>302.6112905010138</v>
      </c>
      <c r="AO168" s="59">
        <f t="shared" si="144"/>
        <v>423.44006663873375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0.14157727641292342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1.4355477544194538E-20</v>
      </c>
      <c r="AX168" s="21">
        <f t="shared" si="166"/>
        <v>0.14157727641292342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>
        <f>BD168*VLOOKUP('Données projet'!$B$11,Paramètres!$A$1:$I$89,3,0)*VLOOKUP('Données projet'!$B$11,Paramètres!$A$1:$I$89,5,0)</f>
        <v>0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207.91763299672158</v>
      </c>
      <c r="BJ168" s="59">
        <f t="shared" si="146"/>
        <v>230.81096055024483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0.50755901862449615</v>
      </c>
      <c r="BQ168" s="21">
        <f>EXP(-LN(2)/25)*BQ167+(1-EXP(-LN(2)/25))/(LN(2)/25)*Calculateur!BL168*Calculateur!BN168*VLOOKUP('Données projet'!$B$11,Paramètres!$A$1:$I$89,3,0)*0.475*44/12</f>
        <v>0.1426321908026828</v>
      </c>
      <c r="BR168" s="21">
        <f>EXP(-LN(2)/2)*BR167+(1-EXP(-LN(2)/2))/(LN(2)/2)*BL168*BO168*VLOOKUP('Données projet'!$B$11,Paramètres!$A$1:$I$89,3,0)*0.475*44/12</f>
        <v>1.4173242210415435E-20</v>
      </c>
      <c r="BS168" s="22">
        <f t="shared" si="169"/>
        <v>0.6501912094271789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-1.1368683772161603E-13</v>
      </c>
      <c r="O169" s="13">
        <f>N169*VLOOKUP('Données projet'!$B$9,Paramètres!$A$1:$I$89,3,0)*VLOOKUP('Données projet'!$B$9,Paramètres!$A$1:$I$89,5,0)</f>
        <v>-5.3205440053716299E-14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319.22903094674564</v>
      </c>
      <c r="T169" s="59">
        <f t="shared" si="142"/>
        <v>254.58690973142848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0.61402482515376466</v>
      </c>
      <c r="AA169" s="21">
        <f>EXP(-LN(2)/25)*AA168+(1-EXP(-LN(2)/25))/(LN(2)/25)*Calculateur!V169*Calculateur!X169*VLOOKUP('Données projet'!$B$9,Paramètres!$A$1:$I$89,3,0)*0.475*44/12</f>
        <v>0.25687575199409229</v>
      </c>
      <c r="AB169" s="21">
        <f>EXP(-LN(2)/2)*AB168+(1-EXP(-LN(2)/2))/(LN(2)/2)*V169*Y169*VLOOKUP('Données projet'!$B$9,Paramètres!$A$1:$I$89,3,0)*0.475*44/12</f>
        <v>3.7415575207582384E-20</v>
      </c>
      <c r="AC169" s="22">
        <f t="shared" si="163"/>
        <v>0.87090057714785696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1.9895196601282805E-13</v>
      </c>
      <c r="AJ169" s="13">
        <f>AI169*VLOOKUP('Données projet'!$B$10,Paramètres!$A$1:$I$89,3,0)*VLOOKUP('Données projet'!$B$10,Paramètres!$A$1:$I$89,5,0)</f>
        <v>1.8001173884840681E-13</v>
      </c>
      <c r="AK169" s="13">
        <f t="shared" si="164"/>
        <v>2.5254331426407198E-12</v>
      </c>
      <c r="AL169" s="20">
        <f t="shared" si="165"/>
        <v>4.7119831685935622E-12</v>
      </c>
      <c r="AM169" s="59">
        <f t="shared" si="113"/>
        <v>293.33333333333803</v>
      </c>
      <c r="AN169" s="59">
        <f ca="1">AVERAGE(OFFSET($AM$3,0,0,'Données projet'!$E$10+1,1))-AVERAGE(OFFSET($H$3,0,0,'Données projet'!$E$10+1,1))</f>
        <v>302.6112905010138</v>
      </c>
      <c r="AO169" s="59">
        <f t="shared" si="144"/>
        <v>423.44006663873375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0.13880103237607788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1.0150855518671164E-20</v>
      </c>
      <c r="AX169" s="21">
        <f t="shared" si="166"/>
        <v>0.13880103237607788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>
        <f>BD169*VLOOKUP('Données projet'!$B$11,Paramètres!$A$1:$I$89,3,0)*VLOOKUP('Données projet'!$B$11,Paramètres!$A$1:$I$89,5,0)</f>
        <v>0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207.91763299672158</v>
      </c>
      <c r="BJ169" s="59">
        <f t="shared" si="146"/>
        <v>230.81096055024483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0.49760609584970261</v>
      </c>
      <c r="BQ169" s="21">
        <f>EXP(-LN(2)/25)*BQ168+(1-EXP(-LN(2)/25))/(LN(2)/25)*Calculateur!BL169*Calculateur!BN169*VLOOKUP('Données projet'!$B$11,Paramètres!$A$1:$I$89,3,0)*0.475*44/12</f>
        <v>0.13873190604448252</v>
      </c>
      <c r="BR169" s="21">
        <f>EXP(-LN(2)/2)*BR168+(1-EXP(-LN(2)/2))/(LN(2)/2)*BL169*BO169*VLOOKUP('Données projet'!$B$11,Paramètres!$A$1:$I$89,3,0)*0.475*44/12</f>
        <v>1.0021995678384167E-20</v>
      </c>
      <c r="BS169" s="22">
        <f t="shared" si="169"/>
        <v>0.6363380018941851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-1.1368683772161603E-13</v>
      </c>
      <c r="O170" s="13">
        <f>N170*VLOOKUP('Données projet'!$B$9,Paramètres!$A$1:$I$89,3,0)*VLOOKUP('Données projet'!$B$9,Paramètres!$A$1:$I$89,5,0)</f>
        <v>-5.3205440053716299E-14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319.22903094674564</v>
      </c>
      <c r="T170" s="59">
        <f t="shared" si="142"/>
        <v>254.58690973142848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0.60198417285066208</v>
      </c>
      <c r="AA170" s="21">
        <f>EXP(-LN(2)/25)*AA169+(1-EXP(-LN(2)/25))/(LN(2)/25)*Calculateur!V170*Calculateur!X170*VLOOKUP('Données projet'!$B$9,Paramètres!$A$1:$I$89,3,0)*0.475*44/12</f>
        <v>0.24985147104730515</v>
      </c>
      <c r="AB170" s="21">
        <f>EXP(-LN(2)/2)*AB169+(1-EXP(-LN(2)/2))/(LN(2)/2)*V170*Y170*VLOOKUP('Données projet'!$B$9,Paramètres!$A$1:$I$89,3,0)*0.475*44/12</f>
        <v>2.645680695127677E-20</v>
      </c>
      <c r="AC170" s="22">
        <f t="shared" si="163"/>
        <v>0.85183564389796729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1.9895196601282805E-13</v>
      </c>
      <c r="AJ170" s="13">
        <f>AI170*VLOOKUP('Données projet'!$B$10,Paramètres!$A$1:$I$89,3,0)*VLOOKUP('Données projet'!$B$10,Paramètres!$A$1:$I$89,5,0)</f>
        <v>1.8001173884840681E-13</v>
      </c>
      <c r="AK170" s="13">
        <f t="shared" si="164"/>
        <v>2.5254331426407198E-12</v>
      </c>
      <c r="AL170" s="20">
        <f t="shared" si="165"/>
        <v>4.7119831685935622E-12</v>
      </c>
      <c r="AM170" s="59">
        <f t="shared" si="113"/>
        <v>293.33333333333803</v>
      </c>
      <c r="AN170" s="59">
        <f ca="1">AVERAGE(OFFSET($AM$3,0,0,'Données projet'!$E$10+1,1))-AVERAGE(OFFSET($H$3,0,0,'Données projet'!$E$10+1,1))</f>
        <v>302.6112905010138</v>
      </c>
      <c r="AO170" s="59">
        <f t="shared" si="144"/>
        <v>423.44006663873375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0.13607922879145323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7.1777387720972691E-21</v>
      </c>
      <c r="AX170" s="21">
        <f t="shared" si="166"/>
        <v>0.13607922879145323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>
        <f>BD170*VLOOKUP('Données projet'!$B$11,Paramètres!$A$1:$I$89,3,0)*VLOOKUP('Données projet'!$B$11,Paramètres!$A$1:$I$89,5,0)</f>
        <v>0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207.91763299672158</v>
      </c>
      <c r="BJ170" s="59">
        <f t="shared" si="146"/>
        <v>230.81096055024483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0.48784834381983933</v>
      </c>
      <c r="BQ170" s="21">
        <f>EXP(-LN(2)/25)*BQ169+(1-EXP(-LN(2)/25))/(LN(2)/25)*Calculateur!BL170*Calculateur!BN170*VLOOKUP('Données projet'!$B$11,Paramètres!$A$1:$I$89,3,0)*0.475*44/12</f>
        <v>0.13493827477810227</v>
      </c>
      <c r="BR170" s="21">
        <f>EXP(-LN(2)/2)*BR169+(1-EXP(-LN(2)/2))/(LN(2)/2)*BL170*BO170*VLOOKUP('Données projet'!$B$11,Paramètres!$A$1:$I$89,3,0)*0.475*44/12</f>
        <v>7.0866211052077177E-21</v>
      </c>
      <c r="BS170" s="22">
        <f t="shared" si="169"/>
        <v>0.6227866185979416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-1.1368683772161603E-13</v>
      </c>
      <c r="O171" s="13">
        <f>N171*VLOOKUP('Données projet'!$B$9,Paramètres!$A$1:$I$89,3,0)*VLOOKUP('Données projet'!$B$9,Paramètres!$A$1:$I$89,5,0)</f>
        <v>-5.3205440053716299E-14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319.22903094674564</v>
      </c>
      <c r="T171" s="59">
        <f t="shared" si="142"/>
        <v>254.58690973142848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0.59017963039515065</v>
      </c>
      <c r="AA171" s="21">
        <f>EXP(-LN(2)/25)*AA170+(1-EXP(-LN(2)/25))/(LN(2)/25)*Calculateur!V171*Calculateur!X171*VLOOKUP('Données projet'!$B$9,Paramètres!$A$1:$I$89,3,0)*0.475*44/12</f>
        <v>0.24301926943239877</v>
      </c>
      <c r="AB171" s="21">
        <f>EXP(-LN(2)/2)*AB170+(1-EXP(-LN(2)/2))/(LN(2)/2)*V171*Y171*VLOOKUP('Données projet'!$B$9,Paramètres!$A$1:$I$89,3,0)*0.475*44/12</f>
        <v>1.8707787603791195E-20</v>
      </c>
      <c r="AC171" s="22">
        <f t="shared" si="163"/>
        <v>0.83319889982754947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1.9895196601282805E-13</v>
      </c>
      <c r="AJ171" s="13">
        <f>AI171*VLOOKUP('Données projet'!$B$10,Paramètres!$A$1:$I$89,3,0)*VLOOKUP('Données projet'!$B$10,Paramètres!$A$1:$I$89,5,0)</f>
        <v>1.8001173884840681E-13</v>
      </c>
      <c r="AK171" s="13">
        <f t="shared" si="164"/>
        <v>2.5254331426407198E-12</v>
      </c>
      <c r="AL171" s="20">
        <f t="shared" si="165"/>
        <v>4.7119831685935622E-12</v>
      </c>
      <c r="AM171" s="59">
        <f t="shared" si="113"/>
        <v>293.33333333333803</v>
      </c>
      <c r="AN171" s="59">
        <f ca="1">AVERAGE(OFFSET($AM$3,0,0,'Données projet'!$E$10+1,1))-AVERAGE(OFFSET($H$3,0,0,'Données projet'!$E$10+1,1))</f>
        <v>302.6112905010138</v>
      </c>
      <c r="AO171" s="59">
        <f t="shared" si="144"/>
        <v>423.44006663873375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0.13341079811498682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5.075427759335582E-21</v>
      </c>
      <c r="AX171" s="21">
        <f t="shared" si="166"/>
        <v>0.13341079811498682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>
        <f>BD171*VLOOKUP('Données projet'!$B$11,Paramètres!$A$1:$I$89,3,0)*VLOOKUP('Données projet'!$B$11,Paramètres!$A$1:$I$89,5,0)</f>
        <v>0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207.91763299672158</v>
      </c>
      <c r="BJ171" s="59">
        <f t="shared" si="146"/>
        <v>230.81096055024483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0.47828193535564056</v>
      </c>
      <c r="BQ171" s="21">
        <f>EXP(-LN(2)/25)*BQ170+(1-EXP(-LN(2)/25))/(LN(2)/25)*Calculateur!BL171*Calculateur!BN171*VLOOKUP('Données projet'!$B$11,Paramètres!$A$1:$I$89,3,0)*0.475*44/12</f>
        <v>0.1312483805581996</v>
      </c>
      <c r="BR171" s="21">
        <f>EXP(-LN(2)/2)*BR170+(1-EXP(-LN(2)/2))/(LN(2)/2)*BL171*BO171*VLOOKUP('Données projet'!$B$11,Paramètres!$A$1:$I$89,3,0)*0.475*44/12</f>
        <v>5.0109978391920833E-21</v>
      </c>
      <c r="BS171" s="22">
        <f t="shared" si="169"/>
        <v>0.6095303159138401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-1.1368683772161603E-13</v>
      </c>
      <c r="O172" s="13">
        <f>N172*VLOOKUP('Données projet'!$B$9,Paramètres!$A$1:$I$89,3,0)*VLOOKUP('Données projet'!$B$9,Paramètres!$A$1:$I$89,5,0)</f>
        <v>-5.3205440053716299E-14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319.22903094674564</v>
      </c>
      <c r="T172" s="59">
        <f t="shared" si="142"/>
        <v>254.58690973142848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0.57860656781713182</v>
      </c>
      <c r="AA172" s="21">
        <f>EXP(-LN(2)/25)*AA171+(1-EXP(-LN(2)/25))/(LN(2)/25)*Calculateur!V172*Calculateur!X172*VLOOKUP('Données projet'!$B$9,Paramètres!$A$1:$I$89,3,0)*0.475*44/12</f>
        <v>0.23637389472994186</v>
      </c>
      <c r="AB172" s="21">
        <f>EXP(-LN(2)/2)*AB171+(1-EXP(-LN(2)/2))/(LN(2)/2)*V172*Y172*VLOOKUP('Données projet'!$B$9,Paramètres!$A$1:$I$89,3,0)*0.475*44/12</f>
        <v>1.3228403475638388E-20</v>
      </c>
      <c r="AC172" s="22">
        <f t="shared" si="163"/>
        <v>0.81498046254707368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1.9895196601282805E-13</v>
      </c>
      <c r="AJ172" s="13">
        <f>AI172*VLOOKUP('Données projet'!$B$10,Paramètres!$A$1:$I$89,3,0)*VLOOKUP('Données projet'!$B$10,Paramètres!$A$1:$I$89,5,0)</f>
        <v>1.8001173884840681E-13</v>
      </c>
      <c r="AK172" s="13">
        <f t="shared" si="164"/>
        <v>2.5254331426407198E-12</v>
      </c>
      <c r="AL172" s="20">
        <f t="shared" si="165"/>
        <v>4.7119831685935622E-12</v>
      </c>
      <c r="AM172" s="59">
        <f t="shared" si="113"/>
        <v>293.33333333333803</v>
      </c>
      <c r="AN172" s="59">
        <f ca="1">AVERAGE(OFFSET($AM$3,0,0,'Données projet'!$E$10+1,1))-AVERAGE(OFFSET($H$3,0,0,'Données projet'!$E$10+1,1))</f>
        <v>302.6112905010138</v>
      </c>
      <c r="AO172" s="59">
        <f t="shared" si="144"/>
        <v>423.44006663873375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0.1307946937365039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3.5888693860486345E-21</v>
      </c>
      <c r="AX172" s="21">
        <f t="shared" si="166"/>
        <v>0.1307946937365039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>
        <f>BD172*VLOOKUP('Données projet'!$B$11,Paramètres!$A$1:$I$89,3,0)*VLOOKUP('Données projet'!$B$11,Paramètres!$A$1:$I$89,5,0)</f>
        <v>0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207.91763299672158</v>
      </c>
      <c r="BJ172" s="59">
        <f t="shared" si="146"/>
        <v>230.81096055024483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0.46890311832649173</v>
      </c>
      <c r="BQ172" s="21">
        <f>EXP(-LN(2)/25)*BQ171+(1-EXP(-LN(2)/25))/(LN(2)/25)*Calculateur!BL172*Calculateur!BN172*VLOOKUP('Données projet'!$B$11,Paramètres!$A$1:$I$89,3,0)*0.475*44/12</f>
        <v>0.12765938668978327</v>
      </c>
      <c r="BR172" s="21">
        <f>EXP(-LN(2)/2)*BR171+(1-EXP(-LN(2)/2))/(LN(2)/2)*BL172*BO172*VLOOKUP('Données projet'!$B$11,Paramètres!$A$1:$I$89,3,0)*0.475*44/12</f>
        <v>3.5433105526038588E-21</v>
      </c>
      <c r="BS172" s="22">
        <f t="shared" si="169"/>
        <v>0.59656250501627506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-1.1368683772161603E-13</v>
      </c>
      <c r="O173" s="13">
        <f>N173*VLOOKUP('Données projet'!$B$9,Paramètres!$A$1:$I$89,3,0)*VLOOKUP('Données projet'!$B$9,Paramètres!$A$1:$I$89,5,0)</f>
        <v>-5.3205440053716299E-14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319.22903094674564</v>
      </c>
      <c r="T173" s="59">
        <f t="shared" si="142"/>
        <v>254.58690973142848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0.56726044593739677</v>
      </c>
      <c r="AA173" s="21">
        <f>EXP(-LN(2)/25)*AA172+(1-EXP(-LN(2)/25))/(LN(2)/25)*Calculateur!V173*Calculateur!X173*VLOOKUP('Données projet'!$B$9,Paramètres!$A$1:$I$89,3,0)*0.475*44/12</f>
        <v>0.2299102381481887</v>
      </c>
      <c r="AB173" s="21">
        <f>EXP(-LN(2)/2)*AB172+(1-EXP(-LN(2)/2))/(LN(2)/2)*V173*Y173*VLOOKUP('Données projet'!$B$9,Paramètres!$A$1:$I$89,3,0)*0.475*44/12</f>
        <v>9.353893801895599E-21</v>
      </c>
      <c r="AC173" s="22">
        <f t="shared" si="163"/>
        <v>0.79717068408558545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1.9895196601282805E-13</v>
      </c>
      <c r="AJ173" s="13">
        <f>AI173*VLOOKUP('Données projet'!$B$10,Paramètres!$A$1:$I$89,3,0)*VLOOKUP('Données projet'!$B$10,Paramètres!$A$1:$I$89,5,0)</f>
        <v>1.8001173884840681E-13</v>
      </c>
      <c r="AK173" s="13">
        <f t="shared" si="164"/>
        <v>2.5254331426407198E-12</v>
      </c>
      <c r="AL173" s="20">
        <f t="shared" si="165"/>
        <v>4.7119831685935622E-12</v>
      </c>
      <c r="AM173" s="59">
        <f t="shared" si="113"/>
        <v>293.33333333333803</v>
      </c>
      <c r="AN173" s="59">
        <f ca="1">AVERAGE(OFFSET($AM$3,0,0,'Données projet'!$E$10+1,1))-AVERAGE(OFFSET($H$3,0,0,'Données projet'!$E$10+1,1))</f>
        <v>302.6112905010138</v>
      </c>
      <c r="AO173" s="59">
        <f t="shared" si="144"/>
        <v>423.44006663873375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0.12822988956921694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2.537713879667791E-21</v>
      </c>
      <c r="AX173" s="21">
        <f t="shared" si="166"/>
        <v>0.12822988956921694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>
        <f>BD173*VLOOKUP('Données projet'!$B$11,Paramètres!$A$1:$I$89,3,0)*VLOOKUP('Données projet'!$B$11,Paramètres!$A$1:$I$89,5,0)</f>
        <v>0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207.91763299672158</v>
      </c>
      <c r="BJ173" s="59">
        <f t="shared" si="146"/>
        <v>230.81096055024483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0.459708214178771</v>
      </c>
      <c r="BQ173" s="21">
        <f>EXP(-LN(2)/25)*BQ172+(1-EXP(-LN(2)/25))/(LN(2)/25)*Calculateur!BL173*Calculateur!BN173*VLOOKUP('Données projet'!$B$11,Paramètres!$A$1:$I$89,3,0)*0.475*44/12</f>
        <v>0.12416853404743577</v>
      </c>
      <c r="BR173" s="21">
        <f>EXP(-LN(2)/2)*BR172+(1-EXP(-LN(2)/2))/(LN(2)/2)*BL173*BO173*VLOOKUP('Données projet'!$B$11,Paramètres!$A$1:$I$89,3,0)*0.475*44/12</f>
        <v>2.5054989195960416E-21</v>
      </c>
      <c r="BS173" s="22">
        <f t="shared" si="169"/>
        <v>0.58387674822620683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-1.1368683772161603E-13</v>
      </c>
      <c r="O174" s="13">
        <f>N174*VLOOKUP('Données projet'!$B$9,Paramètres!$A$1:$I$89,3,0)*VLOOKUP('Données projet'!$B$9,Paramètres!$A$1:$I$89,5,0)</f>
        <v>-5.3205440053716299E-14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319.22903094674564</v>
      </c>
      <c r="T174" s="59">
        <f t="shared" si="142"/>
        <v>254.58690973142848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0.55613681458727227</v>
      </c>
      <c r="AA174" s="21">
        <f>EXP(-LN(2)/25)*AA173+(1-EXP(-LN(2)/25))/(LN(2)/25)*Calculateur!V174*Calculateur!X174*VLOOKUP('Données projet'!$B$9,Paramètres!$A$1:$I$89,3,0)*0.475*44/12</f>
        <v>0.22362333059557252</v>
      </c>
      <c r="AB174" s="21">
        <f>EXP(-LN(2)/2)*AB173+(1-EXP(-LN(2)/2))/(LN(2)/2)*V174*Y174*VLOOKUP('Données projet'!$B$9,Paramètres!$A$1:$I$89,3,0)*0.475*44/12</f>
        <v>6.6142017378191949E-21</v>
      </c>
      <c r="AC174" s="22">
        <f t="shared" si="163"/>
        <v>0.77976014518284475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1.9895196601282805E-13</v>
      </c>
      <c r="AJ174" s="13">
        <f>AI174*VLOOKUP('Données projet'!$B$10,Paramètres!$A$1:$I$89,3,0)*VLOOKUP('Données projet'!$B$10,Paramètres!$A$1:$I$89,5,0)</f>
        <v>1.8001173884840681E-13</v>
      </c>
      <c r="AK174" s="13">
        <f t="shared" si="164"/>
        <v>2.5254331426407198E-12</v>
      </c>
      <c r="AL174" s="20">
        <f t="shared" si="165"/>
        <v>4.7119831685935622E-12</v>
      </c>
      <c r="AM174" s="59">
        <f t="shared" si="113"/>
        <v>293.33333333333803</v>
      </c>
      <c r="AN174" s="59">
        <f ca="1">AVERAGE(OFFSET($AM$3,0,0,'Données projet'!$E$10+1,1))-AVERAGE(OFFSET($H$3,0,0,'Données projet'!$E$10+1,1))</f>
        <v>302.6112905010138</v>
      </c>
      <c r="AO174" s="59">
        <f t="shared" si="144"/>
        <v>423.44006663873375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0.12571537964727439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1.7944346930243173E-21</v>
      </c>
      <c r="AX174" s="21">
        <f t="shared" si="166"/>
        <v>0.12571537964727439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>
        <f>BD174*VLOOKUP('Données projet'!$B$11,Paramètres!$A$1:$I$89,3,0)*VLOOKUP('Données projet'!$B$11,Paramètres!$A$1:$I$89,5,0)</f>
        <v>0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207.91763299672158</v>
      </c>
      <c r="BJ174" s="59">
        <f t="shared" si="146"/>
        <v>230.81096055024483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0.45069361649304929</v>
      </c>
      <c r="BQ174" s="21">
        <f>EXP(-LN(2)/25)*BQ173+(1-EXP(-LN(2)/25))/(LN(2)/25)*Calculateur!BL174*Calculateur!BN174*VLOOKUP('Données projet'!$B$11,Paramètres!$A$1:$I$89,3,0)*0.475*44/12</f>
        <v>0.12077313895416923</v>
      </c>
      <c r="BR174" s="21">
        <f>EXP(-LN(2)/2)*BR173+(1-EXP(-LN(2)/2))/(LN(2)/2)*BL174*BO174*VLOOKUP('Données projet'!$B$11,Paramètres!$A$1:$I$89,3,0)*0.475*44/12</f>
        <v>1.7716552763019294E-21</v>
      </c>
      <c r="BS174" s="22">
        <f t="shared" si="169"/>
        <v>0.57146675544721848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-1.1368683772161603E-13</v>
      </c>
      <c r="O175" s="13">
        <f>N175*VLOOKUP('Données projet'!$B$9,Paramètres!$A$1:$I$89,3,0)*VLOOKUP('Données projet'!$B$9,Paramètres!$A$1:$I$89,5,0)</f>
        <v>-5.3205440053716299E-14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319.22903094674564</v>
      </c>
      <c r="T175" s="59">
        <f t="shared" si="142"/>
        <v>254.58690973142848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0.54523131086317855</v>
      </c>
      <c r="AA175" s="21">
        <f>EXP(-LN(2)/25)*AA174+(1-EXP(-LN(2)/25))/(LN(2)/25)*Calculateur!V175*Calculateur!X175*VLOOKUP('Données projet'!$B$9,Paramètres!$A$1:$I$89,3,0)*0.475*44/12</f>
        <v>0.21750833886059673</v>
      </c>
      <c r="AB175" s="21">
        <f>EXP(-LN(2)/2)*AB174+(1-EXP(-LN(2)/2))/(LN(2)/2)*V175*Y175*VLOOKUP('Données projet'!$B$9,Paramètres!$A$1:$I$89,3,0)*0.475*44/12</f>
        <v>4.6769469009478003E-21</v>
      </c>
      <c r="AC175" s="22">
        <f t="shared" si="163"/>
        <v>0.76273964972377528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1.9895196601282805E-13</v>
      </c>
      <c r="AJ175" s="13">
        <f>AI175*VLOOKUP('Données projet'!$B$10,Paramètres!$A$1:$I$89,3,0)*VLOOKUP('Données projet'!$B$10,Paramètres!$A$1:$I$89,5,0)</f>
        <v>1.8001173884840681E-13</v>
      </c>
      <c r="AK175" s="13">
        <f t="shared" si="164"/>
        <v>2.5254331426407198E-12</v>
      </c>
      <c r="AL175" s="20">
        <f t="shared" si="165"/>
        <v>4.7119831685935622E-12</v>
      </c>
      <c r="AM175" s="59">
        <f t="shared" si="113"/>
        <v>293.33333333333803</v>
      </c>
      <c r="AN175" s="59">
        <f ca="1">AVERAGE(OFFSET($AM$3,0,0,'Données projet'!$E$10+1,1))-AVERAGE(OFFSET($H$3,0,0,'Données projet'!$E$10+1,1))</f>
        <v>302.6112905010138</v>
      </c>
      <c r="AO175" s="59">
        <f t="shared" si="144"/>
        <v>423.44006663873375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0.12325017773120152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1.2688569398338955E-21</v>
      </c>
      <c r="AX175" s="21">
        <f t="shared" si="166"/>
        <v>0.12325017773120152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>
        <f>BD175*VLOOKUP('Données projet'!$B$11,Paramètres!$A$1:$I$89,3,0)*VLOOKUP('Données projet'!$B$11,Paramètres!$A$1:$I$89,5,0)</f>
        <v>0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207.91763299672158</v>
      </c>
      <c r="BJ175" s="59">
        <f t="shared" si="146"/>
        <v>230.81096055024483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0.44185578956958294</v>
      </c>
      <c r="BQ175" s="21">
        <f>EXP(-LN(2)/25)*BQ174+(1-EXP(-LN(2)/25))/(LN(2)/25)*Calculateur!BL175*Calculateur!BN175*VLOOKUP('Données projet'!$B$11,Paramètres!$A$1:$I$89,3,0)*0.475*44/12</f>
        <v>0.11747059111828413</v>
      </c>
      <c r="BR175" s="21">
        <f>EXP(-LN(2)/2)*BR174+(1-EXP(-LN(2)/2))/(LN(2)/2)*BL175*BO175*VLOOKUP('Données projet'!$B$11,Paramètres!$A$1:$I$89,3,0)*0.475*44/12</f>
        <v>1.2527494597980208E-21</v>
      </c>
      <c r="BS175" s="22">
        <f t="shared" si="169"/>
        <v>0.55932638068786711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-1.1368683772161603E-13</v>
      </c>
      <c r="O176" s="13">
        <f>N176*VLOOKUP('Données projet'!$B$9,Paramètres!$A$1:$I$89,3,0)*VLOOKUP('Données projet'!$B$9,Paramètres!$A$1:$I$89,5,0)</f>
        <v>-5.3205440053716299E-14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319.22903094674564</v>
      </c>
      <c r="T176" s="59">
        <f t="shared" si="142"/>
        <v>254.58690973142848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0.53453965741541387</v>
      </c>
      <c r="AA176" s="21">
        <f>EXP(-LN(2)/25)*AA175+(1-EXP(-LN(2)/25))/(LN(2)/25)*Calculateur!V176*Calculateur!X176*VLOOKUP('Données projet'!$B$9,Paramètres!$A$1:$I$89,3,0)*0.475*44/12</f>
        <v>0.2115605618961873</v>
      </c>
      <c r="AB176" s="21">
        <f>EXP(-LN(2)/2)*AB175+(1-EXP(-LN(2)/2))/(LN(2)/2)*V176*Y176*VLOOKUP('Données projet'!$B$9,Paramètres!$A$1:$I$89,3,0)*0.475*44/12</f>
        <v>3.3071008689095978E-21</v>
      </c>
      <c r="AC176" s="22">
        <f t="shared" si="163"/>
        <v>0.7461002193116012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1.9895196601282805E-13</v>
      </c>
      <c r="AJ176" s="13">
        <f>AI176*VLOOKUP('Données projet'!$B$10,Paramètres!$A$1:$I$89,3,0)*VLOOKUP('Données projet'!$B$10,Paramètres!$A$1:$I$89,5,0)</f>
        <v>1.8001173884840681E-13</v>
      </c>
      <c r="AK176" s="13">
        <f t="shared" si="164"/>
        <v>2.5254331426407198E-12</v>
      </c>
      <c r="AL176" s="20">
        <f t="shared" si="165"/>
        <v>4.7119831685935622E-12</v>
      </c>
      <c r="AM176" s="59">
        <f t="shared" si="113"/>
        <v>293.33333333333803</v>
      </c>
      <c r="AN176" s="59">
        <f ca="1">AVERAGE(OFFSET($AM$3,0,0,'Données projet'!$E$10+1,1))-AVERAGE(OFFSET($H$3,0,0,'Données projet'!$E$10+1,1))</f>
        <v>302.6112905010138</v>
      </c>
      <c r="AO176" s="59">
        <f t="shared" si="144"/>
        <v>423.44006663873375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0.12083331692107814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8.9721734651215863E-22</v>
      </c>
      <c r="AX176" s="21">
        <f t="shared" si="166"/>
        <v>0.12083331692107814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>
        <f>BD176*VLOOKUP('Données projet'!$B$11,Paramètres!$A$1:$I$89,3,0)*VLOOKUP('Données projet'!$B$11,Paramètres!$A$1:$I$89,5,0)</f>
        <v>0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207.91763299672158</v>
      </c>
      <c r="BJ176" s="59">
        <f t="shared" si="146"/>
        <v>230.81096055024483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0.43319126704154359</v>
      </c>
      <c r="BQ176" s="21">
        <f>EXP(-LN(2)/25)*BQ175+(1-EXP(-LN(2)/25))/(LN(2)/25)*Calculateur!BL176*Calculateur!BN176*VLOOKUP('Données projet'!$B$11,Paramètres!$A$1:$I$89,3,0)*0.475*44/12</f>
        <v>0.11425835162664474</v>
      </c>
      <c r="BR176" s="21">
        <f>EXP(-LN(2)/2)*BR175+(1-EXP(-LN(2)/2))/(LN(2)/2)*BL176*BO176*VLOOKUP('Données projet'!$B$11,Paramètres!$A$1:$I$89,3,0)*0.475*44/12</f>
        <v>8.8582763815096471E-22</v>
      </c>
      <c r="BS176" s="22">
        <f t="shared" si="169"/>
        <v>0.54744961866818831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-1.1368683772161603E-13</v>
      </c>
      <c r="O177" s="13">
        <f>N177*VLOOKUP('Données projet'!$B$9,Paramètres!$A$1:$I$89,3,0)*VLOOKUP('Données projet'!$B$9,Paramètres!$A$1:$I$89,5,0)</f>
        <v>-5.3205440053716299E-14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319.22903094674564</v>
      </c>
      <c r="T177" s="59">
        <f t="shared" si="142"/>
        <v>254.58690973142848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0.5240576607704952</v>
      </c>
      <c r="AA177" s="21">
        <f>EXP(-LN(2)/25)*AA176+(1-EXP(-LN(2)/25))/(LN(2)/25)*Calculateur!V177*Calculateur!X177*VLOOKUP('Données projet'!$B$9,Paramètres!$A$1:$I$89,3,0)*0.475*44/12</f>
        <v>0.20577542720564965</v>
      </c>
      <c r="AB177" s="21">
        <f>EXP(-LN(2)/2)*AB176+(1-EXP(-LN(2)/2))/(LN(2)/2)*V177*Y177*VLOOKUP('Données projet'!$B$9,Paramètres!$A$1:$I$89,3,0)*0.475*44/12</f>
        <v>2.3384734504739005E-21</v>
      </c>
      <c r="AC177" s="22">
        <f t="shared" si="163"/>
        <v>0.72983308797614488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1.9895196601282805E-13</v>
      </c>
      <c r="AJ177" s="13">
        <f>AI177*VLOOKUP('Données projet'!$B$10,Paramètres!$A$1:$I$89,3,0)*VLOOKUP('Données projet'!$B$10,Paramètres!$A$1:$I$89,5,0)</f>
        <v>1.8001173884840681E-13</v>
      </c>
      <c r="AK177" s="13">
        <f t="shared" si="164"/>
        <v>2.5254331426407198E-12</v>
      </c>
      <c r="AL177" s="20">
        <f t="shared" si="165"/>
        <v>4.7119831685935622E-12</v>
      </c>
      <c r="AM177" s="59">
        <f t="shared" si="113"/>
        <v>293.33333333333803</v>
      </c>
      <c r="AN177" s="59">
        <f ca="1">AVERAGE(OFFSET($AM$3,0,0,'Données projet'!$E$10+1,1))-AVERAGE(OFFSET($H$3,0,0,'Données projet'!$E$10+1,1))</f>
        <v>302.6112905010138</v>
      </c>
      <c r="AO177" s="59">
        <f t="shared" si="144"/>
        <v>423.44006663873375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0.11846384927730175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6.3442846991694775E-22</v>
      </c>
      <c r="AX177" s="21">
        <f t="shared" si="166"/>
        <v>0.11846384927730175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>
        <f>BD177*VLOOKUP('Données projet'!$B$11,Paramètres!$A$1:$I$89,3,0)*VLOOKUP('Données projet'!$B$11,Paramètres!$A$1:$I$89,5,0)</f>
        <v>0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207.91763299672158</v>
      </c>
      <c r="BJ177" s="59">
        <f t="shared" si="146"/>
        <v>230.81096055024483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0.4246966505154422</v>
      </c>
      <c r="BQ177" s="21">
        <f>EXP(-LN(2)/25)*BQ176+(1-EXP(-LN(2)/25))/(LN(2)/25)*Calculateur!BL177*Calculateur!BN177*VLOOKUP('Données projet'!$B$11,Paramètres!$A$1:$I$89,3,0)*0.475*44/12</f>
        <v>0.11113395099282858</v>
      </c>
      <c r="BR177" s="21">
        <f>EXP(-LN(2)/2)*BR176+(1-EXP(-LN(2)/2))/(LN(2)/2)*BL177*BO177*VLOOKUP('Données projet'!$B$11,Paramètres!$A$1:$I$89,3,0)*0.475*44/12</f>
        <v>6.2637472989901041E-22</v>
      </c>
      <c r="BS177" s="22">
        <f t="shared" si="169"/>
        <v>0.53583060150827078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-1.1368683772161603E-13</v>
      </c>
      <c r="O178" s="13">
        <f>N178*VLOOKUP('Données projet'!$B$9,Paramètres!$A$1:$I$89,3,0)*VLOOKUP('Données projet'!$B$9,Paramètres!$A$1:$I$89,5,0)</f>
        <v>-5.3205440053716299E-14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319.22903094674564</v>
      </c>
      <c r="T178" s="59">
        <f t="shared" si="142"/>
        <v>254.58690973142848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0.51378120968639662</v>
      </c>
      <c r="AA178" s="21">
        <f>EXP(-LN(2)/25)*AA177+(1-EXP(-LN(2)/25))/(LN(2)/25)*Calculateur!V178*Calculateur!X178*VLOOKUP('Données projet'!$B$9,Paramètres!$A$1:$I$89,3,0)*0.475*44/12</f>
        <v>0.20014848732745175</v>
      </c>
      <c r="AB178" s="21">
        <f>EXP(-LN(2)/2)*AB177+(1-EXP(-LN(2)/2))/(LN(2)/2)*V178*Y178*VLOOKUP('Données projet'!$B$9,Paramètres!$A$1:$I$89,3,0)*0.475*44/12</f>
        <v>1.6535504344547993E-21</v>
      </c>
      <c r="AC178" s="22">
        <f t="shared" si="163"/>
        <v>0.71392969701384834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1.9895196601282805E-13</v>
      </c>
      <c r="AJ178" s="13">
        <f>AI178*VLOOKUP('Données projet'!$B$10,Paramètres!$A$1:$I$89,3,0)*VLOOKUP('Données projet'!$B$10,Paramètres!$A$1:$I$89,5,0)</f>
        <v>1.8001173884840681E-13</v>
      </c>
      <c r="AK178" s="13">
        <f t="shared" si="164"/>
        <v>2.5254331426407198E-12</v>
      </c>
      <c r="AL178" s="20">
        <f t="shared" si="165"/>
        <v>4.7119831685935622E-12</v>
      </c>
      <c r="AM178" s="59">
        <f t="shared" si="113"/>
        <v>293.33333333333803</v>
      </c>
      <c r="AN178" s="59">
        <f ca="1">AVERAGE(OFFSET($AM$3,0,0,'Données projet'!$E$10+1,1))-AVERAGE(OFFSET($H$3,0,0,'Données projet'!$E$10+1,1))</f>
        <v>302.6112905010138</v>
      </c>
      <c r="AO178" s="59">
        <f t="shared" si="144"/>
        <v>423.44006663873375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0.11614084544878725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4.4860867325607932E-22</v>
      </c>
      <c r="AX178" s="21">
        <f t="shared" si="166"/>
        <v>0.11614084544878725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>
        <f>BD178*VLOOKUP('Données projet'!$B$11,Paramètres!$A$1:$I$89,3,0)*VLOOKUP('Données projet'!$B$11,Paramètres!$A$1:$I$89,5,0)</f>
        <v>0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207.91763299672158</v>
      </c>
      <c r="BJ178" s="59">
        <f t="shared" si="146"/>
        <v>230.81096055024483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0.4163686082382132</v>
      </c>
      <c r="BQ178" s="21">
        <f>EXP(-LN(2)/25)*BQ177+(1-EXP(-LN(2)/25))/(LN(2)/25)*Calculateur!BL178*Calculateur!BN178*VLOOKUP('Données projet'!$B$11,Paramètres!$A$1:$I$89,3,0)*0.475*44/12</f>
        <v>0.1080949872586492</v>
      </c>
      <c r="BR178" s="21">
        <f>EXP(-LN(2)/2)*BR177+(1-EXP(-LN(2)/2))/(LN(2)/2)*BL178*BO178*VLOOKUP('Données projet'!$B$11,Paramètres!$A$1:$I$89,3,0)*0.475*44/12</f>
        <v>4.4291381907548235E-22</v>
      </c>
      <c r="BS178" s="22">
        <f t="shared" si="169"/>
        <v>0.52446359549686239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-1.1368683772161603E-13</v>
      </c>
      <c r="O179" s="13">
        <f>N179*VLOOKUP('Données projet'!$B$9,Paramètres!$A$1:$I$89,3,0)*VLOOKUP('Données projet'!$B$9,Paramètres!$A$1:$I$89,5,0)</f>
        <v>-5.3205440053716299E-14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319.22903094674564</v>
      </c>
      <c r="T179" s="59">
        <f t="shared" si="142"/>
        <v>254.58690973142848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0.50370627354004105</v>
      </c>
      <c r="AA179" s="21">
        <f>EXP(-LN(2)/25)*AA178+(1-EXP(-LN(2)/25))/(LN(2)/25)*Calculateur!V179*Calculateur!X179*VLOOKUP('Données projet'!$B$9,Paramètres!$A$1:$I$89,3,0)*0.475*44/12</f>
        <v>0.19467541641613106</v>
      </c>
      <c r="AB179" s="21">
        <f>EXP(-LN(2)/2)*AB178+(1-EXP(-LN(2)/2))/(LN(2)/2)*V179*Y179*VLOOKUP('Données projet'!$B$9,Paramètres!$A$1:$I$89,3,0)*0.475*44/12</f>
        <v>1.1692367252369504E-21</v>
      </c>
      <c r="AC179" s="22">
        <f t="shared" si="163"/>
        <v>0.69838168995617211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1.9895196601282805E-13</v>
      </c>
      <c r="AJ179" s="13">
        <f>AI179*VLOOKUP('Données projet'!$B$10,Paramètres!$A$1:$I$89,3,0)*VLOOKUP('Données projet'!$B$10,Paramètres!$A$1:$I$89,5,0)</f>
        <v>1.8001173884840681E-13</v>
      </c>
      <c r="AK179" s="13">
        <f t="shared" si="164"/>
        <v>2.5254331426407198E-12</v>
      </c>
      <c r="AL179" s="20">
        <f t="shared" si="165"/>
        <v>4.7119831685935622E-12</v>
      </c>
      <c r="AM179" s="59">
        <f t="shared" si="113"/>
        <v>293.33333333333803</v>
      </c>
      <c r="AN179" s="59">
        <f ca="1">AVERAGE(OFFSET($AM$3,0,0,'Données projet'!$E$10+1,1))-AVERAGE(OFFSET($H$3,0,0,'Données projet'!$E$10+1,1))</f>
        <v>302.6112905010138</v>
      </c>
      <c r="AO179" s="59">
        <f t="shared" si="144"/>
        <v>423.44006663873375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0.11386339430845749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3.1721423495847387E-22</v>
      </c>
      <c r="AX179" s="21">
        <f t="shared" si="166"/>
        <v>0.11386339430845749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>
        <f>BD179*VLOOKUP('Données projet'!$B$11,Paramètres!$A$1:$I$89,3,0)*VLOOKUP('Données projet'!$B$11,Paramètres!$A$1:$I$89,5,0)</f>
        <v>0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207.91763299672158</v>
      </c>
      <c r="BJ179" s="59">
        <f t="shared" si="146"/>
        <v>230.81096055024483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0.40820387379043643</v>
      </c>
      <c r="BQ179" s="21">
        <f>EXP(-LN(2)/25)*BQ178+(1-EXP(-LN(2)/25))/(LN(2)/25)*Calculateur!BL179*Calculateur!BN179*VLOOKUP('Données projet'!$B$11,Paramètres!$A$1:$I$89,3,0)*0.475*44/12</f>
        <v>0.10513912414759312</v>
      </c>
      <c r="BR179" s="21">
        <f>EXP(-LN(2)/2)*BR178+(1-EXP(-LN(2)/2))/(LN(2)/2)*BL179*BO179*VLOOKUP('Données projet'!$B$11,Paramètres!$A$1:$I$89,3,0)*0.475*44/12</f>
        <v>3.131873649495052E-22</v>
      </c>
      <c r="BS179" s="22">
        <f t="shared" si="169"/>
        <v>0.51334299793802951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-1.1368683772161603E-13</v>
      </c>
      <c r="O180" s="13">
        <f>N180*VLOOKUP('Données projet'!$B$9,Paramètres!$A$1:$I$89,3,0)*VLOOKUP('Données projet'!$B$9,Paramètres!$A$1:$I$89,5,0)</f>
        <v>-5.3205440053716299E-14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319.22903094674564</v>
      </c>
      <c r="T180" s="59">
        <f t="shared" si="142"/>
        <v>254.58690973142848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0.49382890074641123</v>
      </c>
      <c r="AA180" s="21">
        <f>EXP(-LN(2)/25)*AA179+(1-EXP(-LN(2)/25))/(LN(2)/25)*Calculateur!V180*Calculateur!X180*VLOOKUP('Données projet'!$B$9,Paramètres!$A$1:$I$89,3,0)*0.475*44/12</f>
        <v>0.18935200691669674</v>
      </c>
      <c r="AB180" s="21">
        <f>EXP(-LN(2)/2)*AB179+(1-EXP(-LN(2)/2))/(LN(2)/2)*V180*Y180*VLOOKUP('Données projet'!$B$9,Paramètres!$A$1:$I$89,3,0)*0.475*44/12</f>
        <v>8.2677521722739973E-22</v>
      </c>
      <c r="AC180" s="22">
        <f t="shared" si="163"/>
        <v>0.68318090766310791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1.9895196601282805E-13</v>
      </c>
      <c r="AJ180" s="13">
        <f>AI180*VLOOKUP('Données projet'!$B$10,Paramètres!$A$1:$I$89,3,0)*VLOOKUP('Données projet'!$B$10,Paramètres!$A$1:$I$89,5,0)</f>
        <v>1.8001173884840681E-13</v>
      </c>
      <c r="AK180" s="13">
        <f t="shared" si="164"/>
        <v>2.5254331426407198E-12</v>
      </c>
      <c r="AL180" s="20">
        <f t="shared" si="165"/>
        <v>4.7119831685935622E-12</v>
      </c>
      <c r="AM180" s="59">
        <f t="shared" si="113"/>
        <v>293.33333333333803</v>
      </c>
      <c r="AN180" s="59">
        <f ca="1">AVERAGE(OFFSET($AM$3,0,0,'Données projet'!$E$10+1,1))-AVERAGE(OFFSET($H$3,0,0,'Données projet'!$E$10+1,1))</f>
        <v>302.6112905010138</v>
      </c>
      <c r="AO180" s="59">
        <f t="shared" si="144"/>
        <v>423.44006663873375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0.11163060259588156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2.2430433662803966E-22</v>
      </c>
      <c r="AX180" s="21">
        <f t="shared" si="166"/>
        <v>0.11163060259588156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>
        <f>BD180*VLOOKUP('Données projet'!$B$11,Paramètres!$A$1:$I$89,3,0)*VLOOKUP('Données projet'!$B$11,Paramètres!$A$1:$I$89,5,0)</f>
        <v>0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207.91763299672158</v>
      </c>
      <c r="BJ180" s="59">
        <f t="shared" si="146"/>
        <v>230.81096055024483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0.40019924480518426</v>
      </c>
      <c r="BQ180" s="21">
        <f>EXP(-LN(2)/25)*BQ179+(1-EXP(-LN(2)/25))/(LN(2)/25)*Calculateur!BL180*Calculateur!BN180*VLOOKUP('Données projet'!$B$11,Paramètres!$A$1:$I$89,3,0)*0.475*44/12</f>
        <v>0.10226408926875094</v>
      </c>
      <c r="BR180" s="21">
        <f>EXP(-LN(2)/2)*BR179+(1-EXP(-LN(2)/2))/(LN(2)/2)*BL180*BO180*VLOOKUP('Données projet'!$B$11,Paramètres!$A$1:$I$89,3,0)*0.475*44/12</f>
        <v>2.2145690953774118E-22</v>
      </c>
      <c r="BS180" s="22">
        <f t="shared" si="169"/>
        <v>0.50246333407393518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-1.1368683772161603E-13</v>
      </c>
      <c r="O181" s="13">
        <f>N181*VLOOKUP('Données projet'!$B$9,Paramètres!$A$1:$I$89,3,0)*VLOOKUP('Données projet'!$B$9,Paramètres!$A$1:$I$89,5,0)</f>
        <v>-5.3205440053716299E-14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319.22903094674564</v>
      </c>
      <c r="T181" s="59">
        <f t="shared" si="142"/>
        <v>254.58690973142848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0.48414521720866194</v>
      </c>
      <c r="AA181" s="21">
        <f>EXP(-LN(2)/25)*AA180+(1-EXP(-LN(2)/25))/(LN(2)/25)*Calculateur!V181*Calculateur!X181*VLOOKUP('Données projet'!$B$9,Paramètres!$A$1:$I$89,3,0)*0.475*44/12</f>
        <v>0.18417416632997038</v>
      </c>
      <c r="AB181" s="21">
        <f>EXP(-LN(2)/2)*AB180+(1-EXP(-LN(2)/2))/(LN(2)/2)*V181*Y181*VLOOKUP('Données projet'!$B$9,Paramètres!$A$1:$I$89,3,0)*0.475*44/12</f>
        <v>5.8461836261847531E-22</v>
      </c>
      <c r="AC181" s="22">
        <f t="shared" si="163"/>
        <v>0.66831938353863229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1.9895196601282805E-13</v>
      </c>
      <c r="AJ181" s="13">
        <f>AI181*VLOOKUP('Données projet'!$B$10,Paramètres!$A$1:$I$89,3,0)*VLOOKUP('Données projet'!$B$10,Paramètres!$A$1:$I$89,5,0)</f>
        <v>1.8001173884840681E-13</v>
      </c>
      <c r="AK181" s="13">
        <f t="shared" si="164"/>
        <v>2.5254331426407198E-12</v>
      </c>
      <c r="AL181" s="20">
        <f t="shared" si="165"/>
        <v>4.7119831685935622E-12</v>
      </c>
      <c r="AM181" s="59">
        <f t="shared" si="113"/>
        <v>293.33333333333803</v>
      </c>
      <c r="AN181" s="59">
        <f ca="1">AVERAGE(OFFSET($AM$3,0,0,'Données projet'!$E$10+1,1))-AVERAGE(OFFSET($H$3,0,0,'Données projet'!$E$10+1,1))</f>
        <v>302.6112905010138</v>
      </c>
      <c r="AO181" s="59">
        <f t="shared" si="144"/>
        <v>423.44006663873375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0.10944159456692078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1.5860711747923694E-22</v>
      </c>
      <c r="AX181" s="21">
        <f t="shared" si="166"/>
        <v>0.10944159456692078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>
        <f>BD181*VLOOKUP('Données projet'!$B$11,Paramètres!$A$1:$I$89,3,0)*VLOOKUP('Données projet'!$B$11,Paramètres!$A$1:$I$89,5,0)</f>
        <v>0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207.91763299672158</v>
      </c>
      <c r="BJ181" s="59">
        <f t="shared" si="146"/>
        <v>230.81096055024483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0.3923515817119913</v>
      </c>
      <c r="BQ181" s="21">
        <f>EXP(-LN(2)/25)*BQ180+(1-EXP(-LN(2)/25))/(LN(2)/25)*Calculateur!BL181*Calculateur!BN181*VLOOKUP('Données projet'!$B$11,Paramètres!$A$1:$I$89,3,0)*0.475*44/12</f>
        <v>9.9467672369862217E-2</v>
      </c>
      <c r="BR181" s="21">
        <f>EXP(-LN(2)/2)*BR180+(1-EXP(-LN(2)/2))/(LN(2)/2)*BL181*BO181*VLOOKUP('Données projet'!$B$11,Paramètres!$A$1:$I$89,3,0)*0.475*44/12</f>
        <v>1.565936824747526E-22</v>
      </c>
      <c r="BS181" s="22">
        <f t="shared" si="169"/>
        <v>0.49181925408185351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-1.1368683772161603E-13</v>
      </c>
      <c r="O182" s="13">
        <f>N182*VLOOKUP('Données projet'!$B$9,Paramètres!$A$1:$I$89,3,0)*VLOOKUP('Données projet'!$B$9,Paramètres!$A$1:$I$89,5,0)</f>
        <v>-5.3205440053716299E-14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319.22903094674564</v>
      </c>
      <c r="T182" s="59">
        <f t="shared" si="142"/>
        <v>254.58690973142848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0.47465142479862416</v>
      </c>
      <c r="AA182" s="21">
        <f>EXP(-LN(2)/25)*AA181+(1-EXP(-LN(2)/25))/(LN(2)/25)*Calculateur!V182*Calculateur!X182*VLOOKUP('Données projet'!$B$9,Paramètres!$A$1:$I$89,3,0)*0.475*44/12</f>
        <v>0.17913791406637888</v>
      </c>
      <c r="AB182" s="21">
        <f>EXP(-LN(2)/2)*AB181+(1-EXP(-LN(2)/2))/(LN(2)/2)*V182*Y182*VLOOKUP('Données projet'!$B$9,Paramètres!$A$1:$I$89,3,0)*0.475*44/12</f>
        <v>4.1338760861369996E-22</v>
      </c>
      <c r="AC182" s="22">
        <f t="shared" si="163"/>
        <v>0.65378933886500301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1.9895196601282805E-13</v>
      </c>
      <c r="AJ182" s="13">
        <f>AI182*VLOOKUP('Données projet'!$B$10,Paramètres!$A$1:$I$89,3,0)*VLOOKUP('Données projet'!$B$10,Paramètres!$A$1:$I$89,5,0)</f>
        <v>1.8001173884840681E-13</v>
      </c>
      <c r="AK182" s="13">
        <f t="shared" si="164"/>
        <v>2.5254331426407198E-12</v>
      </c>
      <c r="AL182" s="20">
        <f t="shared" si="165"/>
        <v>4.7119831685935622E-12</v>
      </c>
      <c r="AM182" s="59">
        <f t="shared" si="113"/>
        <v>293.33333333333803</v>
      </c>
      <c r="AN182" s="59">
        <f ca="1">AVERAGE(OFFSET($AM$3,0,0,'Données projet'!$E$10+1,1))-AVERAGE(OFFSET($H$3,0,0,'Données projet'!$E$10+1,1))</f>
        <v>302.6112905010138</v>
      </c>
      <c r="AO182" s="59">
        <f t="shared" si="144"/>
        <v>423.44006663873375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0.10729551165024485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1.1215216831401983E-22</v>
      </c>
      <c r="AX182" s="21">
        <f t="shared" si="166"/>
        <v>0.10729551165024485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>
        <f>BD182*VLOOKUP('Données projet'!$B$11,Paramètres!$A$1:$I$89,3,0)*VLOOKUP('Données projet'!$B$11,Paramètres!$A$1:$I$89,5,0)</f>
        <v>0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207.91763299672158</v>
      </c>
      <c r="BJ182" s="59">
        <f t="shared" si="146"/>
        <v>230.81096055024483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0.384657806505454</v>
      </c>
      <c r="BQ182" s="21">
        <f>EXP(-LN(2)/25)*BQ181+(1-EXP(-LN(2)/25))/(LN(2)/25)*Calculateur!BL182*Calculateur!BN182*VLOOKUP('Données projet'!$B$11,Paramètres!$A$1:$I$89,3,0)*0.475*44/12</f>
        <v>9.6747723638130778E-2</v>
      </c>
      <c r="BR182" s="21">
        <f>EXP(-LN(2)/2)*BR181+(1-EXP(-LN(2)/2))/(LN(2)/2)*BL182*BO182*VLOOKUP('Données projet'!$B$11,Paramètres!$A$1:$I$89,3,0)*0.475*44/12</f>
        <v>1.1072845476887059E-22</v>
      </c>
      <c r="BS182" s="22">
        <f t="shared" si="169"/>
        <v>0.48140553014358478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-1.1368683772161603E-13</v>
      </c>
      <c r="O183" s="13">
        <f>N183*VLOOKUP('Données projet'!$B$9,Paramètres!$A$1:$I$89,3,0)*VLOOKUP('Données projet'!$B$9,Paramètres!$A$1:$I$89,5,0)</f>
        <v>-5.3205440053716299E-14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319.22903094674564</v>
      </c>
      <c r="T183" s="59">
        <f t="shared" si="142"/>
        <v>254.58690973142848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0.46534379986710567</v>
      </c>
      <c r="AA183" s="21">
        <f>EXP(-LN(2)/25)*AA182+(1-EXP(-LN(2)/25))/(LN(2)/25)*Calculateur!V183*Calculateur!X183*VLOOKUP('Données projet'!$B$9,Paramètres!$A$1:$I$89,3,0)*0.475*44/12</f>
        <v>0.17423937838578027</v>
      </c>
      <c r="AB183" s="21">
        <f>EXP(-LN(2)/2)*AB182+(1-EXP(-LN(2)/2))/(LN(2)/2)*V183*Y183*VLOOKUP('Données projet'!$B$9,Paramètres!$A$1:$I$89,3,0)*0.475*44/12</f>
        <v>2.923091813092377E-22</v>
      </c>
      <c r="AC183" s="22">
        <f t="shared" si="163"/>
        <v>0.63958317825288591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1.9895196601282805E-13</v>
      </c>
      <c r="AJ183" s="13">
        <f>AI183*VLOOKUP('Données projet'!$B$10,Paramètres!$A$1:$I$89,3,0)*VLOOKUP('Données projet'!$B$10,Paramètres!$A$1:$I$89,5,0)</f>
        <v>1.8001173884840681E-13</v>
      </c>
      <c r="AK183" s="13">
        <f t="shared" si="164"/>
        <v>2.5254331426407198E-12</v>
      </c>
      <c r="AL183" s="20">
        <f t="shared" si="165"/>
        <v>4.7119831685935622E-12</v>
      </c>
      <c r="AM183" s="59">
        <f t="shared" si="113"/>
        <v>293.33333333333803</v>
      </c>
      <c r="AN183" s="59">
        <f ca="1">AVERAGE(OFFSET($AM$3,0,0,'Données projet'!$E$10+1,1))-AVERAGE(OFFSET($H$3,0,0,'Données projet'!$E$10+1,1))</f>
        <v>302.6112905010138</v>
      </c>
      <c r="AO183" s="59">
        <f t="shared" si="144"/>
        <v>423.44006663873375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0.10519151211058363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7.9303558739618469E-23</v>
      </c>
      <c r="AX183" s="21">
        <f t="shared" si="166"/>
        <v>0.10519151211058363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>
        <f>BD183*VLOOKUP('Données projet'!$B$11,Paramètres!$A$1:$I$89,3,0)*VLOOKUP('Données projet'!$B$11,Paramètres!$A$1:$I$89,5,0)</f>
        <v>0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207.91763299672158</v>
      </c>
      <c r="BJ183" s="59">
        <f t="shared" si="146"/>
        <v>230.81096055024483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0.37711490153797739</v>
      </c>
      <c r="BQ183" s="21">
        <f>EXP(-LN(2)/25)*BQ182+(1-EXP(-LN(2)/25))/(LN(2)/25)*Calculateur!BL183*Calculateur!BN183*VLOOKUP('Données projet'!$B$11,Paramètres!$A$1:$I$89,3,0)*0.475*44/12</f>
        <v>9.4102152047504425E-2</v>
      </c>
      <c r="BR183" s="21">
        <f>EXP(-LN(2)/2)*BR182+(1-EXP(-LN(2)/2))/(LN(2)/2)*BL183*BO183*VLOOKUP('Données projet'!$B$11,Paramètres!$A$1:$I$89,3,0)*0.475*44/12</f>
        <v>7.8296841237376301E-23</v>
      </c>
      <c r="BS183" s="22">
        <f t="shared" si="169"/>
        <v>0.47121705358548183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-1.1368683772161603E-13</v>
      </c>
      <c r="O184" s="13">
        <f>N184*VLOOKUP('Données projet'!$B$9,Paramètres!$A$1:$I$89,3,0)*VLOOKUP('Données projet'!$B$9,Paramètres!$A$1:$I$89,5,0)</f>
        <v>-5.3205440053716299E-14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319.22903094674564</v>
      </c>
      <c r="T184" s="59">
        <f t="shared" si="142"/>
        <v>254.58690973142848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0.45621869178340357</v>
      </c>
      <c r="AA184" s="21">
        <f>EXP(-LN(2)/25)*AA183+(1-EXP(-LN(2)/25))/(LN(2)/25)*Calculateur!V184*Calculateur!X184*VLOOKUP('Données projet'!$B$9,Paramètres!$A$1:$I$89,3,0)*0.475*44/12</f>
        <v>0.16947479342097044</v>
      </c>
      <c r="AB184" s="21">
        <f>EXP(-LN(2)/2)*AB183+(1-EXP(-LN(2)/2))/(LN(2)/2)*V184*Y184*VLOOKUP('Données projet'!$B$9,Paramètres!$A$1:$I$89,3,0)*0.475*44/12</f>
        <v>2.0669380430685E-22</v>
      </c>
      <c r="AC184" s="22">
        <f t="shared" si="163"/>
        <v>0.62569348520437407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1.9895196601282805E-13</v>
      </c>
      <c r="AJ184" s="13">
        <f>AI184*VLOOKUP('Données projet'!$B$10,Paramètres!$A$1:$I$89,3,0)*VLOOKUP('Données projet'!$B$10,Paramètres!$A$1:$I$89,5,0)</f>
        <v>1.8001173884840681E-13</v>
      </c>
      <c r="AK184" s="13">
        <f t="shared" si="164"/>
        <v>2.5254331426407198E-12</v>
      </c>
      <c r="AL184" s="20">
        <f t="shared" si="165"/>
        <v>4.7119831685935622E-12</v>
      </c>
      <c r="AM184" s="59">
        <f t="shared" si="113"/>
        <v>293.33333333333803</v>
      </c>
      <c r="AN184" s="59">
        <f ca="1">AVERAGE(OFFSET($AM$3,0,0,'Données projet'!$E$10+1,1))-AVERAGE(OFFSET($H$3,0,0,'Données projet'!$E$10+1,1))</f>
        <v>302.6112905010138</v>
      </c>
      <c r="AO184" s="59">
        <f t="shared" si="144"/>
        <v>423.44006663873375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0.10312877071858215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5.6076084157009915E-23</v>
      </c>
      <c r="AX184" s="21">
        <f t="shared" si="166"/>
        <v>0.10312877071858215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>
        <f>BD184*VLOOKUP('Données projet'!$B$11,Paramètres!$A$1:$I$89,3,0)*VLOOKUP('Données projet'!$B$11,Paramètres!$A$1:$I$89,5,0)</f>
        <v>0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207.91763299672158</v>
      </c>
      <c r="BJ184" s="59">
        <f t="shared" si="146"/>
        <v>230.81096055024483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0.36971990833619528</v>
      </c>
      <c r="BQ184" s="21">
        <f>EXP(-LN(2)/25)*BQ183+(1-EXP(-LN(2)/25))/(LN(2)/25)*Calculateur!BL184*Calculateur!BN184*VLOOKUP('Données projet'!$B$11,Paramètres!$A$1:$I$89,3,0)*0.475*44/12</f>
        <v>9.1528923751148308E-2</v>
      </c>
      <c r="BR184" s="21">
        <f>EXP(-LN(2)/2)*BR183+(1-EXP(-LN(2)/2))/(LN(2)/2)*BL184*BO184*VLOOKUP('Données projet'!$B$11,Paramètres!$A$1:$I$89,3,0)*0.475*44/12</f>
        <v>5.5364227384435294E-23</v>
      </c>
      <c r="BS184" s="22">
        <f t="shared" si="169"/>
        <v>0.46124883208734357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-1.1368683772161603E-13</v>
      </c>
      <c r="O185" s="13">
        <f>N185*VLOOKUP('Données projet'!$B$9,Paramètres!$A$1:$I$89,3,0)*VLOOKUP('Données projet'!$B$9,Paramètres!$A$1:$I$89,5,0)</f>
        <v>-5.3205440053716299E-14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319.22903094674564</v>
      </c>
      <c r="T185" s="59">
        <f t="shared" si="142"/>
        <v>254.58690973142848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0.44727252150345653</v>
      </c>
      <c r="AA185" s="21">
        <f>EXP(-LN(2)/25)*AA184+(1-EXP(-LN(2)/25))/(LN(2)/25)*Calculateur!V185*Calculateur!X185*VLOOKUP('Données projet'!$B$9,Paramètres!$A$1:$I$89,3,0)*0.475*44/12</f>
        <v>0.16484049628258196</v>
      </c>
      <c r="AB185" s="21">
        <f>EXP(-LN(2)/2)*AB184+(1-EXP(-LN(2)/2))/(LN(2)/2)*V185*Y185*VLOOKUP('Données projet'!$B$9,Paramètres!$A$1:$I$89,3,0)*0.475*44/12</f>
        <v>1.4615459065461888E-22</v>
      </c>
      <c r="AC185" s="22">
        <f t="shared" si="163"/>
        <v>0.61211301778603855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1.9895196601282805E-13</v>
      </c>
      <c r="AJ185" s="13">
        <f>AI185*VLOOKUP('Données projet'!$B$10,Paramètres!$A$1:$I$89,3,0)*VLOOKUP('Données projet'!$B$10,Paramètres!$A$1:$I$89,5,0)</f>
        <v>1.8001173884840681E-13</v>
      </c>
      <c r="AK185" s="13">
        <f t="shared" si="164"/>
        <v>2.5254331426407198E-12</v>
      </c>
      <c r="AL185" s="20">
        <f t="shared" si="165"/>
        <v>4.7119831685935622E-12</v>
      </c>
      <c r="AM185" s="59">
        <f t="shared" si="113"/>
        <v>293.33333333333803</v>
      </c>
      <c r="AN185" s="59">
        <f ca="1">AVERAGE(OFFSET($AM$3,0,0,'Données projet'!$E$10+1,1))-AVERAGE(OFFSET($H$3,0,0,'Données projet'!$E$10+1,1))</f>
        <v>302.6112905010138</v>
      </c>
      <c r="AO185" s="59">
        <f t="shared" si="144"/>
        <v>423.44006663873375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0.1011064784271298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3.9651779369809234E-23</v>
      </c>
      <c r="AX185" s="21">
        <f t="shared" si="166"/>
        <v>0.1011064784271298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>
        <f>BD185*VLOOKUP('Données projet'!$B$11,Paramètres!$A$1:$I$89,3,0)*VLOOKUP('Données projet'!$B$11,Paramètres!$A$1:$I$89,5,0)</f>
        <v>0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207.91763299672158</v>
      </c>
      <c r="BJ185" s="59">
        <f t="shared" si="146"/>
        <v>230.81096055024483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0.36246992644059961</v>
      </c>
      <c r="BQ185" s="21">
        <f>EXP(-LN(2)/25)*BQ184+(1-EXP(-LN(2)/25))/(LN(2)/25)*Calculateur!BL185*Calculateur!BN185*VLOOKUP('Données projet'!$B$11,Paramètres!$A$1:$I$89,3,0)*0.475*44/12</f>
        <v>8.9026060517876246E-2</v>
      </c>
      <c r="BR185" s="21">
        <f>EXP(-LN(2)/2)*BR184+(1-EXP(-LN(2)/2))/(LN(2)/2)*BL185*BO185*VLOOKUP('Données projet'!$B$11,Paramètres!$A$1:$I$89,3,0)*0.475*44/12</f>
        <v>3.9148420618688151E-23</v>
      </c>
      <c r="BS185" s="22">
        <f t="shared" si="169"/>
        <v>0.45149598695847587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-1.1368683772161603E-13</v>
      </c>
      <c r="O186" s="13">
        <f>N186*VLOOKUP('Données projet'!$B$9,Paramètres!$A$1:$I$89,3,0)*VLOOKUP('Données projet'!$B$9,Paramètres!$A$1:$I$89,5,0)</f>
        <v>-5.3205440053716299E-14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319.22903094674564</v>
      </c>
      <c r="T186" s="59">
        <f t="shared" si="142"/>
        <v>254.58690973142848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0.43850178016607416</v>
      </c>
      <c r="AA186" s="21">
        <f>EXP(-LN(2)/25)*AA185+(1-EXP(-LN(2)/25))/(LN(2)/25)*Calculateur!V186*Calculateur!X186*VLOOKUP('Données projet'!$B$9,Paramètres!$A$1:$I$89,3,0)*0.475*44/12</f>
        <v>0.16033292424314979</v>
      </c>
      <c r="AB186" s="21">
        <f>EXP(-LN(2)/2)*AB185+(1-EXP(-LN(2)/2))/(LN(2)/2)*V186*Y186*VLOOKUP('Données projet'!$B$9,Paramètres!$A$1:$I$89,3,0)*0.475*44/12</f>
        <v>1.0334690215342503E-22</v>
      </c>
      <c r="AC186" s="22">
        <f t="shared" si="163"/>
        <v>0.59883470440922393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1.9895196601282805E-13</v>
      </c>
      <c r="AJ186" s="13">
        <f>AI186*VLOOKUP('Données projet'!$B$10,Paramètres!$A$1:$I$89,3,0)*VLOOKUP('Données projet'!$B$10,Paramètres!$A$1:$I$89,5,0)</f>
        <v>1.8001173884840681E-13</v>
      </c>
      <c r="AK186" s="13">
        <f t="shared" si="164"/>
        <v>2.5254331426407198E-12</v>
      </c>
      <c r="AL186" s="20">
        <f t="shared" si="165"/>
        <v>4.7119831685935622E-12</v>
      </c>
      <c r="AM186" s="59">
        <f t="shared" si="113"/>
        <v>293.33333333333803</v>
      </c>
      <c r="AN186" s="59">
        <f ca="1">AVERAGE(OFFSET($AM$3,0,0,'Données projet'!$E$10+1,1))-AVERAGE(OFFSET($H$3,0,0,'Données projet'!$E$10+1,1))</f>
        <v>302.6112905010138</v>
      </c>
      <c r="AO186" s="59">
        <f t="shared" si="144"/>
        <v>423.44006663873375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9.9123842054036335E-2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2.8038042078504957E-23</v>
      </c>
      <c r="AX186" s="21">
        <f t="shared" si="166"/>
        <v>9.9123842054036335E-2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>
        <f>BD186*VLOOKUP('Données projet'!$B$11,Paramètres!$A$1:$I$89,3,0)*VLOOKUP('Données projet'!$B$11,Paramètres!$A$1:$I$89,5,0)</f>
        <v>0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207.91763299672158</v>
      </c>
      <c r="BJ186" s="59">
        <f t="shared" si="146"/>
        <v>230.81096055024483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0.35536211226792425</v>
      </c>
      <c r="BQ186" s="21">
        <f>EXP(-LN(2)/25)*BQ185+(1-EXP(-LN(2)/25))/(LN(2)/25)*Calculateur!BL186*Calculateur!BN186*VLOOKUP('Données projet'!$B$11,Paramètres!$A$1:$I$89,3,0)*0.475*44/12</f>
        <v>8.6591638211337862E-2</v>
      </c>
      <c r="BR186" s="21">
        <f>EXP(-LN(2)/2)*BR185+(1-EXP(-LN(2)/2))/(LN(2)/2)*BL186*BO186*VLOOKUP('Données projet'!$B$11,Paramètres!$A$1:$I$89,3,0)*0.475*44/12</f>
        <v>2.7682113692217647E-23</v>
      </c>
      <c r="BS186" s="22">
        <f t="shared" si="169"/>
        <v>0.44195375047926211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-1.1368683772161603E-13</v>
      </c>
      <c r="O187" s="13">
        <f>N187*VLOOKUP('Données projet'!$B$9,Paramètres!$A$1:$I$89,3,0)*VLOOKUP('Données projet'!$B$9,Paramètres!$A$1:$I$89,5,0)</f>
        <v>-5.3205440053716299E-14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319.22903094674564</v>
      </c>
      <c r="T187" s="59">
        <f t="shared" si="142"/>
        <v>254.58690973142848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0.42990302771669392</v>
      </c>
      <c r="AA187" s="21">
        <f>EXP(-LN(2)/25)*AA186+(1-EXP(-LN(2)/25))/(LN(2)/25)*Calculateur!V187*Calculateur!X187*VLOOKUP('Données projet'!$B$9,Paramètres!$A$1:$I$89,3,0)*0.475*44/12</f>
        <v>0.15594861199817883</v>
      </c>
      <c r="AB187" s="21">
        <f>EXP(-LN(2)/2)*AB186+(1-EXP(-LN(2)/2))/(LN(2)/2)*V187*Y187*VLOOKUP('Données projet'!$B$9,Paramètres!$A$1:$I$89,3,0)*0.475*44/12</f>
        <v>7.307729532730945E-23</v>
      </c>
      <c r="AC187" s="22">
        <f t="shared" si="163"/>
        <v>0.58585163971487275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1.9895196601282805E-13</v>
      </c>
      <c r="AJ187" s="13">
        <f>AI187*VLOOKUP('Données projet'!$B$10,Paramètres!$A$1:$I$89,3,0)*VLOOKUP('Données projet'!$B$10,Paramètres!$A$1:$I$89,5,0)</f>
        <v>1.8001173884840681E-13</v>
      </c>
      <c r="AK187" s="13">
        <f t="shared" si="164"/>
        <v>2.5254331426407198E-12</v>
      </c>
      <c r="AL187" s="20">
        <f t="shared" si="165"/>
        <v>4.7119831685935622E-12</v>
      </c>
      <c r="AM187" s="59">
        <f t="shared" si="113"/>
        <v>293.33333333333803</v>
      </c>
      <c r="AN187" s="59">
        <f ca="1">AVERAGE(OFFSET($AM$3,0,0,'Données projet'!$E$10+1,1))-AVERAGE(OFFSET($H$3,0,0,'Données projet'!$E$10+1,1))</f>
        <v>302.6112905010138</v>
      </c>
      <c r="AO187" s="59">
        <f t="shared" si="144"/>
        <v>423.44006663873375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9.7180083970930448E-2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1.9825889684904617E-23</v>
      </c>
      <c r="AX187" s="21">
        <f t="shared" si="166"/>
        <v>9.7180083970930448E-2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>
        <f>BD187*VLOOKUP('Données projet'!$B$11,Paramètres!$A$1:$I$89,3,0)*VLOOKUP('Données projet'!$B$11,Paramètres!$A$1:$I$89,5,0)</f>
        <v>0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207.91763299672158</v>
      </c>
      <c r="BJ187" s="59">
        <f t="shared" si="146"/>
        <v>230.81096055024483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0.34839367799583648</v>
      </c>
      <c r="BQ187" s="21">
        <f>EXP(-LN(2)/25)*BQ186+(1-EXP(-LN(2)/25))/(LN(2)/25)*Calculateur!BL187*Calculateur!BN187*VLOOKUP('Données projet'!$B$11,Paramètres!$A$1:$I$89,3,0)*0.475*44/12</f>
        <v>8.4223785310792484E-2</v>
      </c>
      <c r="BR187" s="21">
        <f>EXP(-LN(2)/2)*BR186+(1-EXP(-LN(2)/2))/(LN(2)/2)*BL187*BO187*VLOOKUP('Données projet'!$B$11,Paramètres!$A$1:$I$89,3,0)*0.475*44/12</f>
        <v>1.9574210309344075E-23</v>
      </c>
      <c r="BS187" s="22">
        <f t="shared" si="169"/>
        <v>0.43261746330662898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-1.1368683772161603E-13</v>
      </c>
      <c r="O188" s="13">
        <f>N188*VLOOKUP('Données projet'!$B$9,Paramètres!$A$1:$I$89,3,0)*VLOOKUP('Données projet'!$B$9,Paramètres!$A$1:$I$89,5,0)</f>
        <v>-5.3205440053716299E-14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319.22903094674564</v>
      </c>
      <c r="T188" s="59">
        <f t="shared" si="142"/>
        <v>254.58690973142848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0.4214728915581249</v>
      </c>
      <c r="AA188" s="21">
        <f>EXP(-LN(2)/25)*AA187+(1-EXP(-LN(2)/25))/(LN(2)/25)*Calculateur!V188*Calculateur!X188*VLOOKUP('Données projet'!$B$9,Paramètres!$A$1:$I$89,3,0)*0.475*44/12</f>
        <v>0.15168418900210756</v>
      </c>
      <c r="AB188" s="21">
        <f>EXP(-LN(2)/2)*AB187+(1-EXP(-LN(2)/2))/(LN(2)/2)*V188*Y188*VLOOKUP('Données projet'!$B$9,Paramètres!$A$1:$I$89,3,0)*0.475*44/12</f>
        <v>5.1673451076712519E-23</v>
      </c>
      <c r="AC188" s="22">
        <f t="shared" si="163"/>
        <v>0.5731570805602324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1.9895196601282805E-13</v>
      </c>
      <c r="AJ188" s="13">
        <f>AI188*VLOOKUP('Données projet'!$B$10,Paramètres!$A$1:$I$89,3,0)*VLOOKUP('Données projet'!$B$10,Paramètres!$A$1:$I$89,5,0)</f>
        <v>1.8001173884840681E-13</v>
      </c>
      <c r="AK188" s="13">
        <f t="shared" si="164"/>
        <v>2.5254331426407198E-12</v>
      </c>
      <c r="AL188" s="20">
        <f t="shared" si="165"/>
        <v>4.7119831685935622E-12</v>
      </c>
      <c r="AM188" s="59">
        <f t="shared" si="113"/>
        <v>293.33333333333803</v>
      </c>
      <c r="AN188" s="59">
        <f ca="1">AVERAGE(OFFSET($AM$3,0,0,'Données projet'!$E$10+1,1))-AVERAGE(OFFSET($H$3,0,0,'Données projet'!$E$10+1,1))</f>
        <v>302.6112905010138</v>
      </c>
      <c r="AO188" s="59">
        <f t="shared" si="144"/>
        <v>423.44006663873375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9.5274441798258905E-2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1.4019021039252479E-23</v>
      </c>
      <c r="AX188" s="21">
        <f t="shared" si="166"/>
        <v>9.5274441798258905E-2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>
        <f>BD188*VLOOKUP('Données projet'!$B$11,Paramètres!$A$1:$I$89,3,0)*VLOOKUP('Données projet'!$B$11,Paramètres!$A$1:$I$89,5,0)</f>
        <v>0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207.91763299672158</v>
      </c>
      <c r="BJ188" s="59">
        <f t="shared" si="146"/>
        <v>230.81096055024483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0.34156189046949914</v>
      </c>
      <c r="BQ188" s="21">
        <f>EXP(-LN(2)/25)*BQ187+(1-EXP(-LN(2)/25))/(LN(2)/25)*Calculateur!BL188*Calculateur!BN188*VLOOKUP('Données projet'!$B$11,Paramètres!$A$1:$I$89,3,0)*0.475*44/12</f>
        <v>8.1920681472332488E-2</v>
      </c>
      <c r="BR188" s="21">
        <f>EXP(-LN(2)/2)*BR187+(1-EXP(-LN(2)/2))/(LN(2)/2)*BL188*BO188*VLOOKUP('Données projet'!$B$11,Paramètres!$A$1:$I$89,3,0)*0.475*44/12</f>
        <v>1.3841056846108824E-23</v>
      </c>
      <c r="BS188" s="22">
        <f t="shared" si="169"/>
        <v>0.42348257194183164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-1.1368683772161603E-13</v>
      </c>
      <c r="O189" s="13">
        <f>N189*VLOOKUP('Données projet'!$B$9,Paramètres!$A$1:$I$89,3,0)*VLOOKUP('Données projet'!$B$9,Paramètres!$A$1:$I$89,5,0)</f>
        <v>-5.3205440053716299E-14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319.22903094674564</v>
      </c>
      <c r="T189" s="59">
        <f t="shared" si="142"/>
        <v>254.58690973142848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0.41320806522775005</v>
      </c>
      <c r="AA189" s="21">
        <f>EXP(-LN(2)/25)*AA188+(1-EXP(-LN(2)/25))/(LN(2)/25)*Calculateur!V189*Calculateur!X189*VLOOKUP('Données projet'!$B$9,Paramètres!$A$1:$I$89,3,0)*0.475*44/12</f>
        <v>0.1475363768771201</v>
      </c>
      <c r="AB189" s="21">
        <f>EXP(-LN(2)/2)*AB188+(1-EXP(-LN(2)/2))/(LN(2)/2)*V189*Y189*VLOOKUP('Données projet'!$B$9,Paramètres!$A$1:$I$89,3,0)*0.475*44/12</f>
        <v>3.6538647663654731E-23</v>
      </c>
      <c r="AC189" s="22">
        <f t="shared" si="163"/>
        <v>0.56074444210487018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1.9895196601282805E-13</v>
      </c>
      <c r="AJ189" s="13">
        <f>AI189*VLOOKUP('Données projet'!$B$10,Paramètres!$A$1:$I$89,3,0)*VLOOKUP('Données projet'!$B$10,Paramètres!$A$1:$I$89,5,0)</f>
        <v>1.8001173884840681E-13</v>
      </c>
      <c r="AK189" s="13">
        <f t="shared" si="164"/>
        <v>2.5254331426407198E-12</v>
      </c>
      <c r="AL189" s="20">
        <f t="shared" si="165"/>
        <v>4.7119831685935622E-12</v>
      </c>
      <c r="AM189" s="59">
        <f t="shared" si="113"/>
        <v>293.33333333333803</v>
      </c>
      <c r="AN189" s="59">
        <f ca="1">AVERAGE(OFFSET($AM$3,0,0,'Données projet'!$E$10+1,1))-AVERAGE(OFFSET($H$3,0,0,'Données projet'!$E$10+1,1))</f>
        <v>302.6112905010138</v>
      </c>
      <c r="AO189" s="59">
        <f t="shared" si="144"/>
        <v>423.44006663873375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9.3406168106266493E-2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9.9129448424523086E-24</v>
      </c>
      <c r="AX189" s="21">
        <f t="shared" si="166"/>
        <v>9.3406168106266493E-2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>
        <f>BD189*VLOOKUP('Données projet'!$B$11,Paramètres!$A$1:$I$89,3,0)*VLOOKUP('Données projet'!$B$11,Paramètres!$A$1:$I$89,5,0)</f>
        <v>0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207.91763299672158</v>
      </c>
      <c r="BJ189" s="59">
        <f t="shared" si="146"/>
        <v>230.81096055024483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0.33486407012957436</v>
      </c>
      <c r="BQ189" s="21">
        <f>EXP(-LN(2)/25)*BQ188+(1-EXP(-LN(2)/25))/(LN(2)/25)*Calculateur!BL189*Calculateur!BN189*VLOOKUP('Données projet'!$B$11,Paramètres!$A$1:$I$89,3,0)*0.475*44/12</f>
        <v>7.9680556129450145E-2</v>
      </c>
      <c r="BR189" s="21">
        <f>EXP(-LN(2)/2)*BR188+(1-EXP(-LN(2)/2))/(LN(2)/2)*BL189*BO189*VLOOKUP('Données projet'!$B$11,Paramètres!$A$1:$I$89,3,0)*0.475*44/12</f>
        <v>9.7871051546720376E-24</v>
      </c>
      <c r="BS189" s="22">
        <f t="shared" si="169"/>
        <v>0.4145446262590245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-1.1368683772161603E-13</v>
      </c>
      <c r="O190" s="13">
        <f>N190*VLOOKUP('Données projet'!$B$9,Paramètres!$A$1:$I$89,3,0)*VLOOKUP('Données projet'!$B$9,Paramètres!$A$1:$I$89,5,0)</f>
        <v>-5.3205440053716299E-14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319.22903094674564</v>
      </c>
      <c r="T190" s="59">
        <f t="shared" si="142"/>
        <v>254.58690973142848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0.40510530710066756</v>
      </c>
      <c r="AA190" s="21">
        <f>EXP(-LN(2)/25)*AA189+(1-EXP(-LN(2)/25))/(LN(2)/25)*Calculateur!V190*Calculateur!X190*VLOOKUP('Données projet'!$B$9,Paramètres!$A$1:$I$89,3,0)*0.475*44/12</f>
        <v>0.14350198689281438</v>
      </c>
      <c r="AB190" s="21">
        <f>EXP(-LN(2)/2)*AB189+(1-EXP(-LN(2)/2))/(LN(2)/2)*V190*Y190*VLOOKUP('Données projet'!$B$9,Paramètres!$A$1:$I$89,3,0)*0.475*44/12</f>
        <v>2.5836725538356262E-23</v>
      </c>
      <c r="AC190" s="22">
        <f t="shared" si="163"/>
        <v>0.54860729399348196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1.9895196601282805E-13</v>
      </c>
      <c r="AJ190" s="13">
        <f>AI190*VLOOKUP('Données projet'!$B$10,Paramètres!$A$1:$I$89,3,0)*VLOOKUP('Données projet'!$B$10,Paramètres!$A$1:$I$89,5,0)</f>
        <v>1.8001173884840681E-13</v>
      </c>
      <c r="AK190" s="13">
        <f t="shared" si="164"/>
        <v>2.5254331426407198E-12</v>
      </c>
      <c r="AL190" s="20">
        <f t="shared" si="165"/>
        <v>4.7119831685935622E-12</v>
      </c>
      <c r="AM190" s="59">
        <f t="shared" si="113"/>
        <v>293.33333333333803</v>
      </c>
      <c r="AN190" s="59">
        <f ca="1">AVERAGE(OFFSET($AM$3,0,0,'Données projet'!$E$10+1,1))-AVERAGE(OFFSET($H$3,0,0,'Données projet'!$E$10+1,1))</f>
        <v>302.6112905010138</v>
      </c>
      <c r="AO190" s="59">
        <f t="shared" si="144"/>
        <v>423.44006663873375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9.1574530121839623E-2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7.0095105196262393E-24</v>
      </c>
      <c r="AX190" s="21">
        <f t="shared" si="166"/>
        <v>9.1574530121839623E-2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>
        <f>BD190*VLOOKUP('Données projet'!$B$11,Paramètres!$A$1:$I$89,3,0)*VLOOKUP('Données projet'!$B$11,Paramètres!$A$1:$I$89,5,0)</f>
        <v>0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207.91763299672158</v>
      </c>
      <c r="BJ190" s="59">
        <f t="shared" si="146"/>
        <v>230.81096055024483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0.32829758996124847</v>
      </c>
      <c r="BQ190" s="21">
        <f>EXP(-LN(2)/25)*BQ189+(1-EXP(-LN(2)/25))/(LN(2)/25)*Calculateur!BL190*Calculateur!BN190*VLOOKUP('Données projet'!$B$11,Paramètres!$A$1:$I$89,3,0)*0.475*44/12</f>
        <v>7.7501687131871999E-2</v>
      </c>
      <c r="BR190" s="21">
        <f>EXP(-LN(2)/2)*BR189+(1-EXP(-LN(2)/2))/(LN(2)/2)*BL190*BO190*VLOOKUP('Données projet'!$B$11,Paramètres!$A$1:$I$89,3,0)*0.475*44/12</f>
        <v>6.9205284230544118E-24</v>
      </c>
      <c r="BS190" s="22">
        <f t="shared" si="169"/>
        <v>0.40579927709312047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-1.1368683772161603E-13</v>
      </c>
      <c r="O191" s="13">
        <f>N191*VLOOKUP('Données projet'!$B$9,Paramètres!$A$1:$I$89,3,0)*VLOOKUP('Données projet'!$B$9,Paramètres!$A$1:$I$89,5,0)</f>
        <v>-5.3205440053716299E-14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319.22903094674564</v>
      </c>
      <c r="T191" s="59">
        <f t="shared" si="142"/>
        <v>254.58690973142848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0.39716143911826268</v>
      </c>
      <c r="AA191" s="21">
        <f>EXP(-LN(2)/25)*AA190+(1-EXP(-LN(2)/25))/(LN(2)/25)*Calculateur!V191*Calculateur!X191*VLOOKUP('Données projet'!$B$9,Paramètres!$A$1:$I$89,3,0)*0.475*44/12</f>
        <v>0.13957791751478885</v>
      </c>
      <c r="AB191" s="21">
        <f>EXP(-LN(2)/2)*AB190+(1-EXP(-LN(2)/2))/(LN(2)/2)*V191*Y191*VLOOKUP('Données projet'!$B$9,Paramètres!$A$1:$I$89,3,0)*0.475*44/12</f>
        <v>1.8269323831827368E-23</v>
      </c>
      <c r="AC191" s="22">
        <f t="shared" si="163"/>
        <v>0.5367393566330515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1.9895196601282805E-13</v>
      </c>
      <c r="AJ191" s="13">
        <f>AI191*VLOOKUP('Données projet'!$B$10,Paramètres!$A$1:$I$89,3,0)*VLOOKUP('Données projet'!$B$10,Paramètres!$A$1:$I$89,5,0)</f>
        <v>1.8001173884840681E-13</v>
      </c>
      <c r="AK191" s="13">
        <f t="shared" si="164"/>
        <v>2.5254331426407198E-12</v>
      </c>
      <c r="AL191" s="20">
        <f t="shared" si="165"/>
        <v>4.7119831685935622E-12</v>
      </c>
      <c r="AM191" s="59">
        <f t="shared" si="113"/>
        <v>293.33333333333803</v>
      </c>
      <c r="AN191" s="59">
        <f ca="1">AVERAGE(OFFSET($AM$3,0,0,'Données projet'!$E$10+1,1))-AVERAGE(OFFSET($H$3,0,0,'Données projet'!$E$10+1,1))</f>
        <v>302.6112905010138</v>
      </c>
      <c r="AO191" s="59">
        <f t="shared" si="144"/>
        <v>423.44006663873375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8.9778809441098506E-2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4.9564724212261543E-24</v>
      </c>
      <c r="AX191" s="21">
        <f t="shared" si="166"/>
        <v>8.9778809441098506E-2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>
        <f>BD191*VLOOKUP('Données projet'!$B$11,Paramètres!$A$1:$I$89,3,0)*VLOOKUP('Données projet'!$B$11,Paramètres!$A$1:$I$89,5,0)</f>
        <v>0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207.91763299672158</v>
      </c>
      <c r="BJ191" s="59">
        <f t="shared" si="146"/>
        <v>230.81096055024483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0.32185987446386605</v>
      </c>
      <c r="BQ191" s="21">
        <f>EXP(-LN(2)/25)*BQ190+(1-EXP(-LN(2)/25))/(LN(2)/25)*Calculateur!BL191*Calculateur!BN191*VLOOKUP('Données projet'!$B$11,Paramètres!$A$1:$I$89,3,0)*0.475*44/12</f>
        <v>7.5382399421614371E-2</v>
      </c>
      <c r="BR191" s="21">
        <f>EXP(-LN(2)/2)*BR190+(1-EXP(-LN(2)/2))/(LN(2)/2)*BL191*BO191*VLOOKUP('Données projet'!$B$11,Paramètres!$A$1:$I$89,3,0)*0.475*44/12</f>
        <v>4.8935525773360188E-24</v>
      </c>
      <c r="BS191" s="22">
        <f t="shared" si="169"/>
        <v>0.39724227388548039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-1.1368683772161603E-13</v>
      </c>
      <c r="O192" s="13">
        <f>N192*VLOOKUP('Données projet'!$B$9,Paramètres!$A$1:$I$89,3,0)*VLOOKUP('Données projet'!$B$9,Paramètres!$A$1:$I$89,5,0)</f>
        <v>-5.3205440053716299E-14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319.22903094674564</v>
      </c>
      <c r="T192" s="59">
        <f t="shared" si="142"/>
        <v>254.58690973142848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0.38937334554171177</v>
      </c>
      <c r="AA192" s="21">
        <f>EXP(-LN(2)/25)*AA191+(1-EXP(-LN(2)/25))/(LN(2)/25)*Calculateur!V192*Calculateur!X192*VLOOKUP('Données projet'!$B$9,Paramètres!$A$1:$I$89,3,0)*0.475*44/12</f>
        <v>0.13576115202026326</v>
      </c>
      <c r="AB192" s="21">
        <f>EXP(-LN(2)/2)*AB191+(1-EXP(-LN(2)/2))/(LN(2)/2)*V192*Y192*VLOOKUP('Données projet'!$B$9,Paramètres!$A$1:$I$89,3,0)*0.475*44/12</f>
        <v>1.2918362769178134E-23</v>
      </c>
      <c r="AC192" s="22">
        <f t="shared" si="163"/>
        <v>0.52513449756197506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1.9895196601282805E-13</v>
      </c>
      <c r="AJ192" s="13">
        <f>AI192*VLOOKUP('Données projet'!$B$10,Paramètres!$A$1:$I$89,3,0)*VLOOKUP('Données projet'!$B$10,Paramètres!$A$1:$I$89,5,0)</f>
        <v>1.8001173884840681E-13</v>
      </c>
      <c r="AK192" s="13">
        <f t="shared" si="164"/>
        <v>2.5254331426407198E-12</v>
      </c>
      <c r="AL192" s="20">
        <f t="shared" si="165"/>
        <v>4.7119831685935622E-12</v>
      </c>
      <c r="AM192" s="59">
        <f t="shared" si="113"/>
        <v>293.33333333333803</v>
      </c>
      <c r="AN192" s="59">
        <f ca="1">AVERAGE(OFFSET($AM$3,0,0,'Données projet'!$E$10+1,1))-AVERAGE(OFFSET($H$3,0,0,'Données projet'!$E$10+1,1))</f>
        <v>302.6112905010138</v>
      </c>
      <c r="AO192" s="59">
        <f t="shared" si="144"/>
        <v>423.44006663873375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8.801830174762526E-2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3.5047552598131197E-24</v>
      </c>
      <c r="AX192" s="21">
        <f t="shared" si="166"/>
        <v>8.801830174762526E-2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>
        <f>BD192*VLOOKUP('Données projet'!$B$11,Paramètres!$A$1:$I$89,3,0)*VLOOKUP('Données projet'!$B$11,Paramètres!$A$1:$I$89,5,0)</f>
        <v>0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207.91763299672158</v>
      </c>
      <c r="BJ192" s="59">
        <f t="shared" si="146"/>
        <v>230.81096055024483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0.31554839864076856</v>
      </c>
      <c r="BQ192" s="21">
        <f>EXP(-LN(2)/25)*BQ191+(1-EXP(-LN(2)/25))/(LN(2)/25)*Calculateur!BL192*Calculateur!BN192*VLOOKUP('Données projet'!$B$11,Paramètres!$A$1:$I$89,3,0)*0.475*44/12</f>
        <v>7.3321063745242235E-2</v>
      </c>
      <c r="BR192" s="21">
        <f>EXP(-LN(2)/2)*BR191+(1-EXP(-LN(2)/2))/(LN(2)/2)*BL192*BO192*VLOOKUP('Données projet'!$B$11,Paramètres!$A$1:$I$89,3,0)*0.475*44/12</f>
        <v>3.4602642115272059E-24</v>
      </c>
      <c r="BS192" s="22">
        <f t="shared" si="169"/>
        <v>0.38886946238601078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-1.1368683772161603E-13</v>
      </c>
      <c r="O193" s="13">
        <f>N193*VLOOKUP('Données projet'!$B$9,Paramètres!$A$1:$I$89,3,0)*VLOOKUP('Données projet'!$B$9,Paramètres!$A$1:$I$89,5,0)</f>
        <v>-5.3205440053716299E-14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319.22903094674564</v>
      </c>
      <c r="T193" s="59">
        <f t="shared" si="142"/>
        <v>254.58690973142848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0.38173797172992896</v>
      </c>
      <c r="AA193" s="21">
        <f>EXP(-LN(2)/25)*AA192+(1-EXP(-LN(2)/25))/(LN(2)/25)*Calculateur!V193*Calculateur!X193*VLOOKUP('Données projet'!$B$9,Paramètres!$A$1:$I$89,3,0)*0.475*44/12</f>
        <v>0.13204875617890047</v>
      </c>
      <c r="AB193" s="21">
        <f>EXP(-LN(2)/2)*AB192+(1-EXP(-LN(2)/2))/(LN(2)/2)*V193*Y193*VLOOKUP('Données projet'!$B$9,Paramètres!$A$1:$I$89,3,0)*0.475*44/12</f>
        <v>9.1346619159136856E-24</v>
      </c>
      <c r="AC193" s="22">
        <f t="shared" si="163"/>
        <v>0.5137867279088294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1.9895196601282805E-13</v>
      </c>
      <c r="AJ193" s="13">
        <f>AI193*VLOOKUP('Données projet'!$B$10,Paramètres!$A$1:$I$89,3,0)*VLOOKUP('Données projet'!$B$10,Paramètres!$A$1:$I$89,5,0)</f>
        <v>1.8001173884840681E-13</v>
      </c>
      <c r="AK193" s="13">
        <f t="shared" si="164"/>
        <v>2.5254331426407198E-12</v>
      </c>
      <c r="AL193" s="20">
        <f t="shared" si="165"/>
        <v>4.7119831685935622E-12</v>
      </c>
      <c r="AM193" s="59">
        <f t="shared" si="113"/>
        <v>293.33333333333803</v>
      </c>
      <c r="AN193" s="59">
        <f ca="1">AVERAGE(OFFSET($AM$3,0,0,'Données projet'!$E$10+1,1))-AVERAGE(OFFSET($H$3,0,0,'Données projet'!$E$10+1,1))</f>
        <v>302.6112905010138</v>
      </c>
      <c r="AO193" s="59">
        <f t="shared" si="144"/>
        <v>423.44006663873375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8.6292316536217356E-2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2.4782362106130771E-24</v>
      </c>
      <c r="AX193" s="21">
        <f t="shared" si="166"/>
        <v>8.6292316536217356E-2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>
        <f>BD193*VLOOKUP('Données projet'!$B$11,Paramètres!$A$1:$I$89,3,0)*VLOOKUP('Données projet'!$B$11,Paramètres!$A$1:$I$89,5,0)</f>
        <v>0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207.91763299672158</v>
      </c>
      <c r="BJ193" s="59">
        <f t="shared" si="146"/>
        <v>230.81096055024483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0.30936068700894187</v>
      </c>
      <c r="BQ193" s="21">
        <f>EXP(-LN(2)/25)*BQ192+(1-EXP(-LN(2)/25))/(LN(2)/25)*Calculateur!BL193*Calculateur!BN193*VLOOKUP('Données projet'!$B$11,Paramètres!$A$1:$I$89,3,0)*0.475*44/12</f>
        <v>7.1316095401341414E-2</v>
      </c>
      <c r="BR193" s="21">
        <f>EXP(-LN(2)/2)*BR192+(1-EXP(-LN(2)/2))/(LN(2)/2)*BL193*BO193*VLOOKUP('Données projet'!$B$11,Paramètres!$A$1:$I$89,3,0)*0.475*44/12</f>
        <v>2.4467762886680094E-24</v>
      </c>
      <c r="BS193" s="22">
        <f t="shared" si="169"/>
        <v>0.3806767824102833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-1.1368683772161603E-13</v>
      </c>
      <c r="O194" s="13">
        <f>N194*VLOOKUP('Données projet'!$B$9,Paramètres!$A$1:$I$89,3,0)*VLOOKUP('Données projet'!$B$9,Paramètres!$A$1:$I$89,5,0)</f>
        <v>-5.3205440053716299E-14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319.22903094674564</v>
      </c>
      <c r="T194" s="59">
        <f t="shared" si="142"/>
        <v>254.58690973142848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0.37425232294147703</v>
      </c>
      <c r="AA194" s="21">
        <f>EXP(-LN(2)/25)*AA193+(1-EXP(-LN(2)/25))/(LN(2)/25)*Calculateur!V194*Calculateur!X194*VLOOKUP('Données projet'!$B$9,Paramètres!$A$1:$I$89,3,0)*0.475*44/12</f>
        <v>0.12843787599704615</v>
      </c>
      <c r="AB194" s="21">
        <f>EXP(-LN(2)/2)*AB193+(1-EXP(-LN(2)/2))/(LN(2)/2)*V194*Y194*VLOOKUP('Données projet'!$B$9,Paramètres!$A$1:$I$89,3,0)*0.475*44/12</f>
        <v>6.4591813845890678E-24</v>
      </c>
      <c r="AC194" s="22">
        <f t="shared" si="163"/>
        <v>0.50269019893852318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1.9895196601282805E-13</v>
      </c>
      <c r="AJ194" s="13">
        <f>AI194*VLOOKUP('Données projet'!$B$10,Paramètres!$A$1:$I$89,3,0)*VLOOKUP('Données projet'!$B$10,Paramètres!$A$1:$I$89,5,0)</f>
        <v>1.8001173884840681E-13</v>
      </c>
      <c r="AK194" s="13">
        <f t="shared" si="164"/>
        <v>2.5254331426407198E-12</v>
      </c>
      <c r="AL194" s="20">
        <f t="shared" si="165"/>
        <v>4.7119831685935622E-12</v>
      </c>
      <c r="AM194" s="59">
        <f t="shared" si="113"/>
        <v>293.33333333333803</v>
      </c>
      <c r="AN194" s="59">
        <f ca="1">AVERAGE(OFFSET($AM$3,0,0,'Données projet'!$E$10+1,1))-AVERAGE(OFFSET($H$3,0,0,'Données projet'!$E$10+1,1))</f>
        <v>302.6112905010138</v>
      </c>
      <c r="AO194" s="59">
        <f t="shared" si="144"/>
        <v>423.44006663873375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8.4600176842058131E-2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1.7523776299065598E-24</v>
      </c>
      <c r="AX194" s="21">
        <f t="shared" si="166"/>
        <v>8.4600176842058131E-2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>
        <f>BD194*VLOOKUP('Données projet'!$B$11,Paramètres!$A$1:$I$89,3,0)*VLOOKUP('Données projet'!$B$11,Paramètres!$A$1:$I$89,5,0)</f>
        <v>0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207.91763299672158</v>
      </c>
      <c r="BJ194" s="59">
        <f t="shared" si="146"/>
        <v>230.81096055024483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0.30329431262808387</v>
      </c>
      <c r="BQ194" s="21">
        <f>EXP(-LN(2)/25)*BQ193+(1-EXP(-LN(2)/25))/(LN(2)/25)*Calculateur!BL194*Calculateur!BN194*VLOOKUP('Données projet'!$B$11,Paramètres!$A$1:$I$89,3,0)*0.475*44/12</f>
        <v>6.9365953022241272E-2</v>
      </c>
      <c r="BR194" s="21">
        <f>EXP(-LN(2)/2)*BR193+(1-EXP(-LN(2)/2))/(LN(2)/2)*BL194*BO194*VLOOKUP('Données projet'!$B$11,Paramètres!$A$1:$I$89,3,0)*0.475*44/12</f>
        <v>1.7301321057636029E-24</v>
      </c>
      <c r="BS194" s="22">
        <f t="shared" si="169"/>
        <v>0.37266026565032517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-1.1368683772161603E-13</v>
      </c>
      <c r="O195" s="13">
        <f>N195*VLOOKUP('Données projet'!$B$9,Paramètres!$A$1:$I$89,3,0)*VLOOKUP('Données projet'!$B$9,Paramètres!$A$1:$I$89,5,0)</f>
        <v>-5.3205440053716299E-14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319.22903094674564</v>
      </c>
      <c r="T195" s="59">
        <f t="shared" si="142"/>
        <v>254.58690973142848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0.36691346315997175</v>
      </c>
      <c r="AA195" s="21">
        <f>EXP(-LN(2)/25)*AA194+(1-EXP(-LN(2)/25))/(LN(2)/25)*Calculateur!V195*Calculateur!X195*VLOOKUP('Données projet'!$B$9,Paramètres!$A$1:$I$89,3,0)*0.475*44/12</f>
        <v>0.12492573552365258</v>
      </c>
      <c r="AB195" s="21">
        <f>EXP(-LN(2)/2)*AB194+(1-EXP(-LN(2)/2))/(LN(2)/2)*V195*Y195*VLOOKUP('Données projet'!$B$9,Paramètres!$A$1:$I$89,3,0)*0.475*44/12</f>
        <v>4.5673309579568435E-24</v>
      </c>
      <c r="AC195" s="22">
        <f t="shared" si="163"/>
        <v>0.49183919868362436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1.9895196601282805E-13</v>
      </c>
      <c r="AJ195" s="13">
        <f>AI195*VLOOKUP('Données projet'!$B$10,Paramètres!$A$1:$I$89,3,0)*VLOOKUP('Données projet'!$B$10,Paramètres!$A$1:$I$89,5,0)</f>
        <v>1.8001173884840681E-13</v>
      </c>
      <c r="AK195" s="13">
        <f t="shared" si="164"/>
        <v>2.5254331426407198E-12</v>
      </c>
      <c r="AL195" s="20">
        <f t="shared" si="165"/>
        <v>4.7119831685935622E-12</v>
      </c>
      <c r="AM195" s="59">
        <f t="shared" si="113"/>
        <v>293.33333333333803</v>
      </c>
      <c r="AN195" s="59">
        <f ca="1">AVERAGE(OFFSET($AM$3,0,0,'Données projet'!$E$10+1,1))-AVERAGE(OFFSET($H$3,0,0,'Données projet'!$E$10+1,1))</f>
        <v>302.6112905010138</v>
      </c>
      <c r="AO195" s="59">
        <f t="shared" si="144"/>
        <v>423.44006663873375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8.2941218975198072E-2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1.2391181053065386E-24</v>
      </c>
      <c r="AX195" s="21">
        <f t="shared" si="166"/>
        <v>8.2941218975198072E-2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>
        <f>BD195*VLOOKUP('Données projet'!$B$11,Paramètres!$A$1:$I$89,3,0)*VLOOKUP('Données projet'!$B$11,Paramètres!$A$1:$I$89,5,0)</f>
        <v>0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207.91763299672158</v>
      </c>
      <c r="BJ195" s="59">
        <f t="shared" si="146"/>
        <v>230.81096055024483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0.29734689614871146</v>
      </c>
      <c r="BQ195" s="21">
        <f>EXP(-LN(2)/25)*BQ194+(1-EXP(-LN(2)/25))/(LN(2)/25)*Calculateur!BL195*Calculateur!BN195*VLOOKUP('Données projet'!$B$11,Paramètres!$A$1:$I$89,3,0)*0.475*44/12</f>
        <v>6.7469137389051151E-2</v>
      </c>
      <c r="BR195" s="21">
        <f>EXP(-LN(2)/2)*BR194+(1-EXP(-LN(2)/2))/(LN(2)/2)*BL195*BO195*VLOOKUP('Données projet'!$B$11,Paramètres!$A$1:$I$89,3,0)*0.475*44/12</f>
        <v>1.2233881443340047E-24</v>
      </c>
      <c r="BS195" s="22">
        <f t="shared" si="169"/>
        <v>0.3648160335377626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-1.1368683772161603E-13</v>
      </c>
      <c r="O196" s="13">
        <f>N196*VLOOKUP('Données projet'!$B$9,Paramètres!$A$1:$I$89,3,0)*VLOOKUP('Données projet'!$B$9,Paramètres!$A$1:$I$89,5,0)</f>
        <v>-5.3205440053716299E-14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319.22903094674564</v>
      </c>
      <c r="T196" s="59">
        <f t="shared" si="142"/>
        <v>254.58690973142848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0.3597185139425193</v>
      </c>
      <c r="AA196" s="21">
        <f>EXP(-LN(2)/25)*AA195+(1-EXP(-LN(2)/25))/(LN(2)/25)*Calculateur!V196*Calculateur!X196*VLOOKUP('Données projet'!$B$9,Paramètres!$A$1:$I$89,3,0)*0.475*44/12</f>
        <v>0.12150963471619938</v>
      </c>
      <c r="AB196" s="21">
        <f>EXP(-LN(2)/2)*AB195+(1-EXP(-LN(2)/2))/(LN(2)/2)*V196*Y196*VLOOKUP('Données projet'!$B$9,Paramètres!$A$1:$I$89,3,0)*0.475*44/12</f>
        <v>3.2295906922945346E-24</v>
      </c>
      <c r="AC196" s="22">
        <f t="shared" si="163"/>
        <v>0.48122814865871866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1.9895196601282805E-13</v>
      </c>
      <c r="AJ196" s="13">
        <f>AI196*VLOOKUP('Données projet'!$B$10,Paramètres!$A$1:$I$89,3,0)*VLOOKUP('Données projet'!$B$10,Paramètres!$A$1:$I$89,5,0)</f>
        <v>1.8001173884840681E-13</v>
      </c>
      <c r="AK196" s="13">
        <f t="shared" si="164"/>
        <v>2.5254331426407198E-12</v>
      </c>
      <c r="AL196" s="20">
        <f t="shared" si="165"/>
        <v>4.7119831685935622E-12</v>
      </c>
      <c r="AM196" s="59">
        <f t="shared" ref="AM196:AM203" si="193">AL196+(AD196+AE196)*44/12</f>
        <v>293.33333333333803</v>
      </c>
      <c r="AN196" s="59">
        <f ca="1">AVERAGE(OFFSET($AM$3,0,0,'Données projet'!$E$10+1,1))-AVERAGE(OFFSET($H$3,0,0,'Données projet'!$E$10+1,1))</f>
        <v>302.6112905010138</v>
      </c>
      <c r="AO196" s="59">
        <f t="shared" si="144"/>
        <v>423.44006663873375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8.1314792260242755E-2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8.7618881495327992E-25</v>
      </c>
      <c r="AX196" s="21">
        <f t="shared" si="166"/>
        <v>8.1314792260242755E-2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>
        <f>BD196*VLOOKUP('Données projet'!$B$11,Paramètres!$A$1:$I$89,3,0)*VLOOKUP('Données projet'!$B$11,Paramètres!$A$1:$I$89,5,0)</f>
        <v>0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207.91763299672158</v>
      </c>
      <c r="BJ196" s="59">
        <f t="shared" si="146"/>
        <v>230.81096055024483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0.2915161048789337</v>
      </c>
      <c r="BQ196" s="21">
        <f>EXP(-LN(2)/25)*BQ195+(1-EXP(-LN(2)/25))/(LN(2)/25)*Calculateur!BL196*Calculateur!BN196*VLOOKUP('Données projet'!$B$11,Paramètres!$A$1:$I$89,3,0)*0.475*44/12</f>
        <v>6.5624190279099812E-2</v>
      </c>
      <c r="BR196" s="21">
        <f>EXP(-LN(2)/2)*BR195+(1-EXP(-LN(2)/2))/(LN(2)/2)*BL196*BO196*VLOOKUP('Données projet'!$B$11,Paramètres!$A$1:$I$89,3,0)*0.475*44/12</f>
        <v>8.6506605288180147E-25</v>
      </c>
      <c r="BS196" s="22">
        <f t="shared" si="169"/>
        <v>0.35714029515803353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-1.1368683772161603E-13</v>
      </c>
      <c r="O197" s="13">
        <f>N197*VLOOKUP('Données projet'!$B$9,Paramètres!$A$1:$I$89,3,0)*VLOOKUP('Données projet'!$B$9,Paramètres!$A$1:$I$89,5,0)</f>
        <v>-5.3205440053716299E-14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319.22903094674564</v>
      </c>
      <c r="T197" s="59">
        <f t="shared" ref="T197:T203" si="204">$T$3</f>
        <v>254.58690973142848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0.35266465329073537</v>
      </c>
      <c r="AA197" s="21">
        <f>EXP(-LN(2)/25)*AA196+(1-EXP(-LN(2)/25))/(LN(2)/25)*Calculateur!V197*Calculateur!X197*VLOOKUP('Données projet'!$B$9,Paramètres!$A$1:$I$89,3,0)*0.475*44/12</f>
        <v>0.11818694736497093</v>
      </c>
      <c r="AB197" s="21">
        <f>EXP(-LN(2)/2)*AB196+(1-EXP(-LN(2)/2))/(LN(2)/2)*V197*Y197*VLOOKUP('Données projet'!$B$9,Paramètres!$A$1:$I$89,3,0)*0.475*44/12</f>
        <v>2.2836654789784221E-24</v>
      </c>
      <c r="AC197" s="22">
        <f t="shared" si="163"/>
        <v>0.4708516006557063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1.9895196601282805E-13</v>
      </c>
      <c r="AJ197" s="13">
        <f>AI197*VLOOKUP('Données projet'!$B$10,Paramètres!$A$1:$I$89,3,0)*VLOOKUP('Données projet'!$B$10,Paramètres!$A$1:$I$89,5,0)</f>
        <v>1.8001173884840681E-13</v>
      </c>
      <c r="AK197" s="13">
        <f t="shared" si="164"/>
        <v>2.5254331426407198E-12</v>
      </c>
      <c r="AL197" s="20">
        <f t="shared" si="165"/>
        <v>4.7119831685935622E-12</v>
      </c>
      <c r="AM197" s="59">
        <f t="shared" si="193"/>
        <v>293.33333333333803</v>
      </c>
      <c r="AN197" s="59">
        <f ca="1">AVERAGE(OFFSET($AM$3,0,0,'Données projet'!$E$10+1,1))-AVERAGE(OFFSET($H$3,0,0,'Données projet'!$E$10+1,1))</f>
        <v>302.6112905010138</v>
      </c>
      <c r="AO197" s="59">
        <f t="shared" ref="AO197:AO203" si="205">$AO$3</f>
        <v>423.44006663873375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7.9720258781145359E-2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6.1955905265326929E-25</v>
      </c>
      <c r="AX197" s="21">
        <f t="shared" si="166"/>
        <v>7.9720258781145359E-2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>
        <f>BD197*VLOOKUP('Données projet'!$B$11,Paramètres!$A$1:$I$89,3,0)*VLOOKUP('Données projet'!$B$11,Paramètres!$A$1:$I$89,5,0)</f>
        <v>0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207.91763299672158</v>
      </c>
      <c r="BJ197" s="59">
        <f t="shared" ref="BJ197:BJ203" si="206">$BJ$3</f>
        <v>230.81096055024483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0.28579965186952477</v>
      </c>
      <c r="BQ197" s="21">
        <f>EXP(-LN(2)/25)*BQ196+(1-EXP(-LN(2)/25))/(LN(2)/25)*Calculateur!BL197*Calculateur!BN197*VLOOKUP('Données projet'!$B$11,Paramètres!$A$1:$I$89,3,0)*0.475*44/12</f>
        <v>6.382969334489165E-2</v>
      </c>
      <c r="BR197" s="21">
        <f>EXP(-LN(2)/2)*BR196+(1-EXP(-LN(2)/2))/(LN(2)/2)*BL197*BO197*VLOOKUP('Données projet'!$B$11,Paramètres!$A$1:$I$89,3,0)*0.475*44/12</f>
        <v>6.1169407216700235E-25</v>
      </c>
      <c r="BS197" s="22">
        <f t="shared" si="169"/>
        <v>0.34962934521441641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-1.1368683772161603E-13</v>
      </c>
      <c r="O198" s="13">
        <f>N198*VLOOKUP('Données projet'!$B$9,Paramètres!$A$1:$I$89,3,0)*VLOOKUP('Données projet'!$B$9,Paramètres!$A$1:$I$89,5,0)</f>
        <v>-5.3205440053716299E-14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319.22903094674564</v>
      </c>
      <c r="T198" s="59">
        <f t="shared" si="204"/>
        <v>254.58690973142848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0.34574911454390278</v>
      </c>
      <c r="AA198" s="21">
        <f>EXP(-LN(2)/25)*AA197+(1-EXP(-LN(2)/25))/(LN(2)/25)*Calculateur!V198*Calculateur!X198*VLOOKUP('Données projet'!$B$9,Paramètres!$A$1:$I$89,3,0)*0.475*44/12</f>
        <v>0.11495511907409435</v>
      </c>
      <c r="AB198" s="21">
        <f>EXP(-LN(2)/2)*AB197+(1-EXP(-LN(2)/2))/(LN(2)/2)*V198*Y198*VLOOKUP('Données projet'!$B$9,Paramètres!$A$1:$I$89,3,0)*0.475*44/12</f>
        <v>1.6147953461472675E-24</v>
      </c>
      <c r="AC198" s="22">
        <f t="shared" si="163"/>
        <v>0.46070423361799712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1.9895196601282805E-13</v>
      </c>
      <c r="AJ198" s="13">
        <f>AI198*VLOOKUP('Données projet'!$B$10,Paramètres!$A$1:$I$89,3,0)*VLOOKUP('Données projet'!$B$10,Paramètres!$A$1:$I$89,5,0)</f>
        <v>1.8001173884840681E-13</v>
      </c>
      <c r="AK198" s="13">
        <f t="shared" si="164"/>
        <v>2.5254331426407198E-12</v>
      </c>
      <c r="AL198" s="20">
        <f t="shared" si="165"/>
        <v>4.7119831685935622E-12</v>
      </c>
      <c r="AM198" s="59">
        <f t="shared" si="193"/>
        <v>293.33333333333803</v>
      </c>
      <c r="AN198" s="59">
        <f ca="1">AVERAGE(OFFSET($AM$3,0,0,'Données projet'!$E$10+1,1))-AVERAGE(OFFSET($H$3,0,0,'Données projet'!$E$10+1,1))</f>
        <v>302.6112905010138</v>
      </c>
      <c r="AO198" s="59">
        <f t="shared" si="205"/>
        <v>423.44006663873375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7.8156993131003674E-2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4.3809440747663996E-25</v>
      </c>
      <c r="AX198" s="21">
        <f t="shared" si="166"/>
        <v>7.8156993131003674E-2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>
        <f>BD198*VLOOKUP('Données projet'!$B$11,Paramètres!$A$1:$I$89,3,0)*VLOOKUP('Données projet'!$B$11,Paramètres!$A$1:$I$89,5,0)</f>
        <v>0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207.91763299672158</v>
      </c>
      <c r="BJ198" s="59">
        <f t="shared" si="206"/>
        <v>230.81096055024483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0.28019529501693829</v>
      </c>
      <c r="BQ198" s="21">
        <f>EXP(-LN(2)/25)*BQ197+(1-EXP(-LN(2)/25))/(LN(2)/25)*Calculateur!BL198*Calculateur!BN198*VLOOKUP('Données projet'!$B$11,Paramètres!$A$1:$I$89,3,0)*0.475*44/12</f>
        <v>6.2084267023717901E-2</v>
      </c>
      <c r="BR198" s="21">
        <f>EXP(-LN(2)/2)*BR197+(1-EXP(-LN(2)/2))/(LN(2)/2)*BL198*BO198*VLOOKUP('Données projet'!$B$11,Paramètres!$A$1:$I$89,3,0)*0.475*44/12</f>
        <v>4.3253302644090074E-25</v>
      </c>
      <c r="BS198" s="22">
        <f t="shared" si="169"/>
        <v>0.34227956204065618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-1.1368683772161603E-13</v>
      </c>
      <c r="O199" s="13">
        <f>N199*VLOOKUP('Données projet'!$B$9,Paramètres!$A$1:$I$89,3,0)*VLOOKUP('Données projet'!$B$9,Paramètres!$A$1:$I$89,5,0)</f>
        <v>-5.3205440053716299E-14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319.22903094674564</v>
      </c>
      <c r="T199" s="59">
        <f t="shared" si="204"/>
        <v>254.58690973142848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0.33896918529383346</v>
      </c>
      <c r="AA199" s="21">
        <f>EXP(-LN(2)/25)*AA198+(1-EXP(-LN(2)/25))/(LN(2)/25)*Calculateur!V199*Calculateur!X199*VLOOKUP('Données projet'!$B$9,Paramètres!$A$1:$I$89,3,0)*0.475*44/12</f>
        <v>0.11181166529778626</v>
      </c>
      <c r="AB199" s="21">
        <f>EXP(-LN(2)/2)*AB198+(1-EXP(-LN(2)/2))/(LN(2)/2)*V199*Y199*VLOOKUP('Données projet'!$B$9,Paramètres!$A$1:$I$89,3,0)*0.475*44/12</f>
        <v>1.1418327394892113E-24</v>
      </c>
      <c r="AC199" s="22">
        <f t="shared" si="163"/>
        <v>0.45078085059161971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1.9895196601282805E-13</v>
      </c>
      <c r="AJ199" s="13">
        <f>AI199*VLOOKUP('Données projet'!$B$10,Paramètres!$A$1:$I$89,3,0)*VLOOKUP('Données projet'!$B$10,Paramètres!$A$1:$I$89,5,0)</f>
        <v>1.8001173884840681E-13</v>
      </c>
      <c r="AK199" s="13">
        <f t="shared" si="164"/>
        <v>2.5254331426407198E-12</v>
      </c>
      <c r="AL199" s="20">
        <f t="shared" si="165"/>
        <v>4.7119831685935622E-12</v>
      </c>
      <c r="AM199" s="59">
        <f t="shared" si="193"/>
        <v>293.33333333333803</v>
      </c>
      <c r="AN199" s="59">
        <f ca="1">AVERAGE(OFFSET($AM$3,0,0,'Données projet'!$E$10+1,1))-AVERAGE(OFFSET($H$3,0,0,'Données projet'!$E$10+1,1))</f>
        <v>302.6112905010138</v>
      </c>
      <c r="AO199" s="59">
        <f t="shared" si="205"/>
        <v>423.44006663873375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7.6624382166763372E-2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3.0977952632663464E-25</v>
      </c>
      <c r="AX199" s="21">
        <f t="shared" si="166"/>
        <v>7.6624382166763372E-2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>
        <f>BD199*VLOOKUP('Données projet'!$B$11,Paramètres!$A$1:$I$89,3,0)*VLOOKUP('Données projet'!$B$11,Paramètres!$A$1:$I$89,5,0)</f>
        <v>0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207.91763299672158</v>
      </c>
      <c r="BJ199" s="59">
        <f t="shared" si="206"/>
        <v>230.81096055024483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0.27470083618391089</v>
      </c>
      <c r="BQ199" s="21">
        <f>EXP(-LN(2)/25)*BQ198+(1-EXP(-LN(2)/25))/(LN(2)/25)*Calculateur!BL199*Calculateur!BN199*VLOOKUP('Données projet'!$B$11,Paramètres!$A$1:$I$89,3,0)*0.475*44/12</f>
        <v>6.038656947708463E-2</v>
      </c>
      <c r="BR199" s="21">
        <f>EXP(-LN(2)/2)*BR198+(1-EXP(-LN(2)/2))/(LN(2)/2)*BL199*BO199*VLOOKUP('Données projet'!$B$11,Paramètres!$A$1:$I$89,3,0)*0.475*44/12</f>
        <v>3.0584703608350118E-25</v>
      </c>
      <c r="BS199" s="22">
        <f t="shared" si="169"/>
        <v>0.33508740566099554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-1.1368683772161603E-13</v>
      </c>
      <c r="O200" s="13">
        <f>N200*VLOOKUP('Données projet'!$B$9,Paramètres!$A$1:$I$89,3,0)*VLOOKUP('Données projet'!$B$9,Paramètres!$A$1:$I$89,5,0)</f>
        <v>-5.3205440053716299E-14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319.22903094674564</v>
      </c>
      <c r="T200" s="59">
        <f t="shared" si="204"/>
        <v>254.58690973142848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0.33232220632100945</v>
      </c>
      <c r="AA200" s="21">
        <f>EXP(-LN(2)/25)*AA199+(1-EXP(-LN(2)/25))/(LN(2)/25)*Calculateur!V200*Calculateur!X200*VLOOKUP('Données projet'!$B$9,Paramètres!$A$1:$I$89,3,0)*0.475*44/12</f>
        <v>0.10875416943029836</v>
      </c>
      <c r="AB200" s="21">
        <f>EXP(-LN(2)/2)*AB199+(1-EXP(-LN(2)/2))/(LN(2)/2)*V200*Y200*VLOOKUP('Données projet'!$B$9,Paramètres!$A$1:$I$89,3,0)*0.475*44/12</f>
        <v>8.0739767307363384E-25</v>
      </c>
      <c r="AC200" s="22">
        <f t="shared" si="163"/>
        <v>0.44107637575130781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1.9895196601282805E-13</v>
      </c>
      <c r="AJ200" s="13">
        <f>AI200*VLOOKUP('Données projet'!$B$10,Paramètres!$A$1:$I$89,3,0)*VLOOKUP('Données projet'!$B$10,Paramètres!$A$1:$I$89,5,0)</f>
        <v>1.8001173884840681E-13</v>
      </c>
      <c r="AK200" s="13">
        <f t="shared" si="164"/>
        <v>2.5254331426407198E-12</v>
      </c>
      <c r="AL200" s="20">
        <f t="shared" si="165"/>
        <v>4.7119831685935622E-12</v>
      </c>
      <c r="AM200" s="59">
        <f t="shared" si="193"/>
        <v>293.33333333333803</v>
      </c>
      <c r="AN200" s="59">
        <f ca="1">AVERAGE(OFFSET($AM$3,0,0,'Données projet'!$E$10+1,1))-AVERAGE(OFFSET($H$3,0,0,'Données projet'!$E$10+1,1))</f>
        <v>302.6112905010138</v>
      </c>
      <c r="AO200" s="59">
        <f t="shared" si="205"/>
        <v>423.44006663873375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7.5121824768731443E-2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2.1904720373831998E-25</v>
      </c>
      <c r="AX200" s="21">
        <f t="shared" si="166"/>
        <v>7.5121824768731443E-2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>
        <f>BD200*VLOOKUP('Données projet'!$B$11,Paramètres!$A$1:$I$89,3,0)*VLOOKUP('Données projet'!$B$11,Paramètres!$A$1:$I$89,5,0)</f>
        <v>0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207.91763299672158</v>
      </c>
      <c r="BJ200" s="59">
        <f t="shared" si="206"/>
        <v>230.81096055024483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0.26931412033731017</v>
      </c>
      <c r="BQ200" s="21">
        <f>EXP(-LN(2)/25)*BQ199+(1-EXP(-LN(2)/25))/(LN(2)/25)*Calculateur!BL200*Calculateur!BN200*VLOOKUP('Données projet'!$B$11,Paramètres!$A$1:$I$89,3,0)*0.475*44/12</f>
        <v>5.873529555914208E-2</v>
      </c>
      <c r="BR200" s="21">
        <f>EXP(-LN(2)/2)*BR199+(1-EXP(-LN(2)/2))/(LN(2)/2)*BL200*BO200*VLOOKUP('Données projet'!$B$11,Paramètres!$A$1:$I$89,3,0)*0.475*44/12</f>
        <v>2.1626651322045037E-25</v>
      </c>
      <c r="BS200" s="22">
        <f t="shared" si="169"/>
        <v>0.32804941589645226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-1.1368683772161603E-13</v>
      </c>
      <c r="O201" s="13">
        <f>N201*VLOOKUP('Données projet'!$B$9,Paramètres!$A$1:$I$89,3,0)*VLOOKUP('Données projet'!$B$9,Paramètres!$A$1:$I$89,5,0)</f>
        <v>-5.3205440053716299E-14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319.22903094674564</v>
      </c>
      <c r="T201" s="59">
        <f t="shared" si="204"/>
        <v>254.58690973142848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0.32580557055158571</v>
      </c>
      <c r="AA201" s="21">
        <f>EXP(-LN(2)/25)*AA200+(1-EXP(-LN(2)/25))/(LN(2)/25)*Calculateur!V201*Calculateur!X201*VLOOKUP('Données projet'!$B$9,Paramètres!$A$1:$I$89,3,0)*0.475*44/12</f>
        <v>0.10578028094809365</v>
      </c>
      <c r="AB201" s="21">
        <f>EXP(-LN(2)/2)*AB200+(1-EXP(-LN(2)/2))/(LN(2)/2)*V201*Y201*VLOOKUP('Données projet'!$B$9,Paramètres!$A$1:$I$89,3,0)*0.475*44/12</f>
        <v>5.7091636974460572E-25</v>
      </c>
      <c r="AC201" s="22">
        <f t="shared" si="163"/>
        <v>0.43158585149967937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1.9895196601282805E-13</v>
      </c>
      <c r="AJ201" s="13">
        <f>AI201*VLOOKUP('Données projet'!$B$10,Paramètres!$A$1:$I$89,3,0)*VLOOKUP('Données projet'!$B$10,Paramètres!$A$1:$I$89,5,0)</f>
        <v>1.8001173884840681E-13</v>
      </c>
      <c r="AK201" s="13">
        <f t="shared" si="164"/>
        <v>2.5254331426407198E-12</v>
      </c>
      <c r="AL201" s="20">
        <f t="shared" si="165"/>
        <v>4.7119831685935622E-12</v>
      </c>
      <c r="AM201" s="59">
        <f t="shared" si="193"/>
        <v>293.33333333333803</v>
      </c>
      <c r="AN201" s="59">
        <f ca="1">AVERAGE(OFFSET($AM$3,0,0,'Données projet'!$E$10+1,1))-AVERAGE(OFFSET($H$3,0,0,'Données projet'!$E$10+1,1))</f>
        <v>302.6112905010138</v>
      </c>
      <c r="AO201" s="59">
        <f t="shared" si="205"/>
        <v>423.44006663873375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7.3648731604805395E-2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1.5488976316331732E-25</v>
      </c>
      <c r="AX201" s="21">
        <f t="shared" si="166"/>
        <v>7.3648731604805395E-2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>
        <f>BD201*VLOOKUP('Données projet'!$B$11,Paramètres!$A$1:$I$89,3,0)*VLOOKUP('Données projet'!$B$11,Paramètres!$A$1:$I$89,5,0)</f>
        <v>0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207.91763299672158</v>
      </c>
      <c r="BJ201" s="59">
        <f t="shared" si="206"/>
        <v>230.81096055024483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0.26403303470288908</v>
      </c>
      <c r="BQ201" s="21">
        <f>EXP(-LN(2)/25)*BQ200+(1-EXP(-LN(2)/25))/(LN(2)/25)*Calculateur!BL201*Calculateur!BN201*VLOOKUP('Données projet'!$B$11,Paramètres!$A$1:$I$89,3,0)*0.475*44/12</f>
        <v>5.7129175813322386E-2</v>
      </c>
      <c r="BR201" s="21">
        <f>EXP(-LN(2)/2)*BR200+(1-EXP(-LN(2)/2))/(LN(2)/2)*BL201*BO201*VLOOKUP('Données projet'!$B$11,Paramètres!$A$1:$I$89,3,0)*0.475*44/12</f>
        <v>1.5292351804175059E-25</v>
      </c>
      <c r="BS201" s="22">
        <f t="shared" si="169"/>
        <v>0.32116221051621147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-1.1368683772161603E-13</v>
      </c>
      <c r="O202" s="13">
        <f>N202*VLOOKUP('Données projet'!$B$9,Paramètres!$A$1:$I$89,3,0)*VLOOKUP('Données projet'!$B$9,Paramètres!$A$1:$I$89,5,0)</f>
        <v>-5.3205440053716299E-14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319.22903094674564</v>
      </c>
      <c r="T202" s="59">
        <f t="shared" si="204"/>
        <v>254.58690973142848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0.319416722034845</v>
      </c>
      <c r="AA202" s="21">
        <f>EXP(-LN(2)/25)*AA201+(1-EXP(-LN(2)/25))/(LN(2)/25)*Calculateur!V202*Calculateur!X202*VLOOKUP('Données projet'!$B$9,Paramètres!$A$1:$I$89,3,0)*0.475*44/12</f>
        <v>0.10288771360282482</v>
      </c>
      <c r="AB202" s="21">
        <f>EXP(-LN(2)/2)*AB201+(1-EXP(-LN(2)/2))/(LN(2)/2)*V202*Y202*VLOOKUP('Données projet'!$B$9,Paramètres!$A$1:$I$89,3,0)*0.475*44/12</f>
        <v>4.0369883653681701E-25</v>
      </c>
      <c r="AC202" s="22">
        <f t="shared" si="163"/>
        <v>0.42230443563766984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1.9895196601282805E-13</v>
      </c>
      <c r="AJ202" s="13">
        <f>AI202*VLOOKUP('Données projet'!$B$10,Paramètres!$A$1:$I$89,3,0)*VLOOKUP('Données projet'!$B$10,Paramètres!$A$1:$I$89,5,0)</f>
        <v>1.8001173884840681E-13</v>
      </c>
      <c r="AK202" s="13">
        <f t="shared" si="164"/>
        <v>2.5254331426407198E-12</v>
      </c>
      <c r="AL202" s="20">
        <f t="shared" si="165"/>
        <v>4.7119831685935622E-12</v>
      </c>
      <c r="AM202" s="59">
        <f t="shared" si="193"/>
        <v>293.33333333333803</v>
      </c>
      <c r="AN202" s="59">
        <f ca="1">AVERAGE(OFFSET($AM$3,0,0,'Données projet'!$E$10+1,1))-AVERAGE(OFFSET($H$3,0,0,'Données projet'!$E$10+1,1))</f>
        <v>302.6112905010138</v>
      </c>
      <c r="AO202" s="59">
        <f t="shared" si="205"/>
        <v>423.44006663873375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7.2204524899325828E-2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1.0952360186915999E-25</v>
      </c>
      <c r="AX202" s="21">
        <f t="shared" si="166"/>
        <v>7.2204524899325828E-2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>
        <f>BD202*VLOOKUP('Données projet'!$B$11,Paramètres!$A$1:$I$89,3,0)*VLOOKUP('Données projet'!$B$11,Paramètres!$A$1:$I$89,5,0)</f>
        <v>0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207.91763299672158</v>
      </c>
      <c r="BJ202" s="59">
        <f t="shared" si="206"/>
        <v>230.81096055024483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0.25885550793661477</v>
      </c>
      <c r="BQ202" s="21">
        <f>EXP(-LN(2)/25)*BQ201+(1-EXP(-LN(2)/25))/(LN(2)/25)*Calculateur!BL202*Calculateur!BN202*VLOOKUP('Données projet'!$B$11,Paramètres!$A$1:$I$89,3,0)*0.475*44/12</f>
        <v>5.5566975496414303E-2</v>
      </c>
      <c r="BR202" s="21">
        <f>EXP(-LN(2)/2)*BR201+(1-EXP(-LN(2)/2))/(LN(2)/2)*BL202*BO202*VLOOKUP('Données projet'!$B$11,Paramètres!$A$1:$I$89,3,0)*0.475*44/12</f>
        <v>1.0813325661022518E-25</v>
      </c>
      <c r="BS202" s="22">
        <f t="shared" si="169"/>
        <v>0.31442248343302909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-1.1368683772161603E-13</v>
      </c>
      <c r="O203" s="13">
        <f>N203*VLOOKUP('Données projet'!$B$9,Paramètres!$A$1:$I$89,3,0)*VLOOKUP('Données projet'!$B$9,Paramètres!$A$1:$I$89,5,0)</f>
        <v>-5.3205440053716299E-14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319.22903094674564</v>
      </c>
      <c r="T203" s="59">
        <f t="shared" si="204"/>
        <v>254.58690973142848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0.31315315494070478</v>
      </c>
      <c r="AA203" s="21">
        <f>EXP(-LN(2)/25)*AA202+(1-EXP(-LN(2)/25))/(LN(2)/25)*Calculateur!V203*Calculateur!X203*VLOOKUP('Données projet'!$B$9,Paramètres!$A$1:$I$89,3,0)*0.475*44/12</f>
        <v>0.10007424366372587</v>
      </c>
      <c r="AB203" s="21">
        <f>EXP(-LN(2)/2)*AB202+(1-EXP(-LN(2)/2))/(LN(2)/2)*V203*Y203*VLOOKUP('Données projet'!$B$9,Paramètres!$A$1:$I$89,3,0)*0.475*44/12</f>
        <v>2.854581848723029E-25</v>
      </c>
      <c r="AC203" s="22">
        <f t="shared" si="163"/>
        <v>0.41322739860443064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1.9895196601282805E-13</v>
      </c>
      <c r="AJ203" s="13">
        <f>AI203*VLOOKUP('Données projet'!$B$10,Paramètres!$A$1:$I$89,3,0)*VLOOKUP('Données projet'!$B$10,Paramètres!$A$1:$I$89,5,0)</f>
        <v>1.8001173884840681E-13</v>
      </c>
      <c r="AK203" s="13">
        <f t="shared" si="164"/>
        <v>2.5254331426407198E-12</v>
      </c>
      <c r="AL203" s="20">
        <f t="shared" si="165"/>
        <v>4.7119831685935622E-12</v>
      </c>
      <c r="AM203" s="59">
        <f t="shared" si="193"/>
        <v>293.33333333333803</v>
      </c>
      <c r="AN203" s="59">
        <f ca="1">AVERAGE(OFFSET($AM$3,0,0,'Données projet'!$E$10+1,1))-AVERAGE(OFFSET($H$3,0,0,'Données projet'!$E$10+1,1))</f>
        <v>302.6112905010138</v>
      </c>
      <c r="AO203" s="59">
        <f t="shared" si="205"/>
        <v>423.44006663873375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7.0788638206461613E-2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7.7444881581658661E-26</v>
      </c>
      <c r="AX203" s="21">
        <f t="shared" si="166"/>
        <v>7.0788638206461613E-2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>
        <f>BD203*VLOOKUP('Données projet'!$B$11,Paramètres!$A$1:$I$89,3,0)*VLOOKUP('Données projet'!$B$11,Paramètres!$A$1:$I$89,5,0)</f>
        <v>0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207.91763299672158</v>
      </c>
      <c r="BJ203" s="59">
        <f t="shared" si="206"/>
        <v>230.81096055024483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0.25377950931224763</v>
      </c>
      <c r="BQ203" s="21">
        <f>EXP(-LN(2)/25)*BQ202+(1-EXP(-LN(2)/25))/(LN(2)/25)*Calculateur!BL203*Calculateur!BN203*VLOOKUP('Données projet'!$B$11,Paramètres!$A$1:$I$89,3,0)*0.475*44/12</f>
        <v>5.4047493629324615E-2</v>
      </c>
      <c r="BR203" s="21">
        <f>EXP(-LN(2)/2)*BR202+(1-EXP(-LN(2)/2))/(LN(2)/2)*BL203*BO203*VLOOKUP('Données projet'!$B$11,Paramètres!$A$1:$I$89,3,0)*0.475*44/12</f>
        <v>7.6461759020875294E-26</v>
      </c>
      <c r="BS203" s="22">
        <f t="shared" si="169"/>
        <v>0.30782700294157223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1.2880503926580862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1.9472943612303364</v>
      </c>
      <c r="BA205" s="82">
        <f>EXP(LN('Données projet'!B88)/'Données projet'!A88)</f>
        <v>1.3076604860118306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90" zoomScaleNormal="90" workbookViewId="0">
      <selection activeCell="J28" sqref="J28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Cèdre de l'Atlas</v>
      </c>
      <c r="B6" s="146">
        <f>'Données projet'!D9</f>
        <v>0.48960000000000004</v>
      </c>
      <c r="C6" s="147">
        <f ca="1">IF(OR('Données projet'!B9="",'Données projet'!C9="",'Données projet'!C9=0%),0,Calculateur!S3)</f>
        <v>319.22903094674564</v>
      </c>
      <c r="D6" s="147">
        <f>IF(OR('Données projet'!B9="",'Données projet'!C9="",'Données projet'!C9=0%),0,Calculateur!T3)</f>
        <v>254.58690973142848</v>
      </c>
      <c r="E6" s="147">
        <f ca="1">MIN(C6,D6)</f>
        <v>254.58690973142848</v>
      </c>
      <c r="F6" s="147">
        <f ca="1">E6*B6</f>
        <v>124.64575100450739</v>
      </c>
      <c r="G6" s="147">
        <f ca="1">F6*(100%-'Données projet'!$C$24)*(100%-'Données projet'!$C$25)*(100%-'Données projet'!$C$26)*(100%-'Données projet'!$C$27)</f>
        <v>112.18117590405666</v>
      </c>
      <c r="H6" s="148">
        <f>IF(OR('Données projet'!B9="",'Données projet'!C9="",'Données projet'!C9=0%),0,AVERAGE(Calculateur!$AC$3:$AC$33)*B6)</f>
        <v>1.9159945752499212</v>
      </c>
      <c r="I6" s="149">
        <f>H6*(100%-'Données projet'!$C$24)*(100%-'Données projet'!$C$25)*(100%-'Données projet'!$C$26)*(100%-'Données projet'!$C$27)</f>
        <v>1.724395117724929</v>
      </c>
      <c r="J6" s="150">
        <f>IF(OR('Données projet'!B9="",'Données projet'!C9="",'Données projet'!C9=0%),0,SUM(Calculateur!$V$3:$V$33)*VLOOKUP('Données projet'!$B$9,Paramètres!$A$1:$I$89,9,0)*B6)</f>
        <v>22.421232000000003</v>
      </c>
      <c r="K6" s="151">
        <f>J6*(100%-'Données projet'!$C$24)*(100%-'Données projet'!$C$25)*(100%-'Données projet'!$C$26)*(100%-'Données projet'!$C$27)</f>
        <v>20.179108800000005</v>
      </c>
      <c r="L6" s="152">
        <f ca="1">G6+I6+K6</f>
        <v>134.08467982178158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Robinier faux-acacia</v>
      </c>
      <c r="B7" s="154">
        <f>'Données projet'!D10</f>
        <v>0.67320000000000002</v>
      </c>
      <c r="C7" s="147">
        <f ca="1">IF(OR('Données projet'!B10="",'Données projet'!C10="",'Données projet'!C10=0%),0,Calculateur!AN3)</f>
        <v>302.6112905010138</v>
      </c>
      <c r="D7" s="147">
        <f>IF(OR('Données projet'!B10="",'Données projet'!C10="",'Données projet'!C10=0%),0,Calculateur!AO3)</f>
        <v>423.44006663873375</v>
      </c>
      <c r="E7" s="147">
        <f t="shared" ref="E7:E15" ca="1" si="0">MIN(C7,D7)</f>
        <v>302.6112905010138</v>
      </c>
      <c r="F7" s="147">
        <f t="shared" ref="F7:F15" ca="1" si="1">E7*B7</f>
        <v>203.71792076528249</v>
      </c>
      <c r="G7" s="147">
        <f ca="1">F7*(100%-'Données projet'!$C$24)*(100%-'Données projet'!$C$25)*(100%-'Données projet'!$C$26)*(100%-'Données projet'!$C$27)</f>
        <v>183.34612868875425</v>
      </c>
      <c r="H7" s="155">
        <f>IF(OR('Données projet'!B10="",'Données projet'!C10="",'Données projet'!C10=0%),0,AVERAGE(Calculateur!$AX$3:$AX$33)*B7)</f>
        <v>1.6125577870211456</v>
      </c>
      <c r="I7" s="149">
        <f>H7*(100%-'Données projet'!$C$24)*(100%-'Données projet'!$C$25)*(100%-'Données projet'!$C$26)*(100%-'Données projet'!$C$27)</f>
        <v>1.4513020083190311</v>
      </c>
      <c r="J7" s="150">
        <f>IF(OR('Données projet'!B10="",'Données projet'!C10="",'Données projet'!C10=0%),0,SUM(Calculateur!$AQ$3:$AQ$33)*VLOOKUP('Données projet'!$B$10,Paramètres!$A$1:$I$89,9,0)*B7)</f>
        <v>12.790800000000001</v>
      </c>
      <c r="K7" s="151">
        <f>J7*(100%-'Données projet'!$C$24)*(100%-'Données projet'!$C$25)*(100%-'Données projet'!$C$26)*(100%-'Données projet'!$C$27)</f>
        <v>11.51172</v>
      </c>
      <c r="L7" s="152">
        <f t="shared" ref="L7:L15" ca="1" si="2">G7+I7+K7</f>
        <v>196.30915069707328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>Pin maritime</v>
      </c>
      <c r="B8" s="154">
        <f>'Données projet'!D11</f>
        <v>0.36719999999999997</v>
      </c>
      <c r="C8" s="147">
        <f ca="1">IF(OR('Données projet'!B11="",'Données projet'!C11="",'Données projet'!C11=0%),0,Calculateur!BI3)</f>
        <v>207.91763299672158</v>
      </c>
      <c r="D8" s="147">
        <f>IF(OR('Données projet'!B11="",'Données projet'!C11="",'Données projet'!C11=0%),0,Calculateur!BJ3)</f>
        <v>230.81096055024483</v>
      </c>
      <c r="E8" s="147">
        <f t="shared" ca="1" si="0"/>
        <v>207.91763299672158</v>
      </c>
      <c r="F8" s="147">
        <f t="shared" ca="1" si="1"/>
        <v>76.347354836396164</v>
      </c>
      <c r="G8" s="147">
        <f ca="1">F8*(100%-'Données projet'!$C$24)*(100%-'Données projet'!$C$25)*(100%-'Données projet'!$C$26)*(100%-'Données projet'!$C$27)</f>
        <v>68.712619352756548</v>
      </c>
      <c r="H8" s="155">
        <f>IF(OR('Données projet'!B11="",'Données projet'!C11="",'Données projet'!C11=0%),0,AVERAGE(Calculateur!$BS$3:$BS$33)*B8)</f>
        <v>1.6772120571006703</v>
      </c>
      <c r="I8" s="149">
        <f>H8*(100%-'Données projet'!$C$24)*(100%-'Données projet'!$C$25)*(100%-'Données projet'!$C$26)*(100%-'Données projet'!$C$27)</f>
        <v>1.5094908513906033</v>
      </c>
      <c r="J8" s="150">
        <f>IF(OR('Données projet'!B11="",'Données projet'!C11="",'Données projet'!C11=0%),0,SUM(Calculateur!$BL$3:$BL$33)*VLOOKUP('Données projet'!$B$11,Paramètres!$A$1:$I$89,9,0)*B8)</f>
        <v>14.08212</v>
      </c>
      <c r="K8" s="151">
        <f>J8*(100%-'Données projet'!$C$24)*(100%-'Données projet'!$C$25)*(100%-'Données projet'!$C$26)*(100%-'Données projet'!$C$27)</f>
        <v>12.673908000000001</v>
      </c>
      <c r="L8" s="152">
        <f t="shared" ca="1" si="2"/>
        <v>82.896018204147154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404.71102660618607</v>
      </c>
      <c r="G16" s="166">
        <f t="shared" ca="1" si="3"/>
        <v>364.2399239455674</v>
      </c>
      <c r="H16" s="167">
        <f t="shared" si="3"/>
        <v>5.2057644193717376</v>
      </c>
      <c r="I16" s="167">
        <f t="shared" si="3"/>
        <v>4.6851879774345635</v>
      </c>
      <c r="J16" s="168">
        <f t="shared" si="3"/>
        <v>49.294152000000011</v>
      </c>
      <c r="K16" s="168">
        <f t="shared" si="3"/>
        <v>44.364736800000003</v>
      </c>
      <c r="L16" s="169">
        <f t="shared" ca="1" si="3"/>
        <v>413.28984872300202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Cèdre de l'Atlas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Robinier faux-acacia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>Pin maritime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F1" zoomScale="80" zoomScaleNormal="80" workbookViewId="0">
      <selection activeCell="Q24" sqref="Q24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Cèdre de l'Atlas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-1217.3571140123506</v>
      </c>
      <c r="U10" s="178">
        <f>'Données projet'!D9</f>
        <v>0.48960000000000004</v>
      </c>
      <c r="V10" s="177">
        <f>U10*T10</f>
        <v>-596.01804302044695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Robinier faux-acacia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-709.83422578877617</v>
      </c>
      <c r="U11" s="178">
        <f>'Données projet'!D10</f>
        <v>0.67320000000000002</v>
      </c>
      <c r="V11" s="177">
        <f t="shared" ref="V11" si="0">U11*T11</f>
        <v>-477.86040080100412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Pin maritime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-415.48210562425834</v>
      </c>
      <c r="U12" s="178">
        <f>'Données projet'!D11</f>
        <v>0.36719999999999997</v>
      </c>
      <c r="V12" s="177">
        <f t="shared" ref="V12:V19" si="1">U12*T12</f>
        <v>-152.56502918522764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Cèdre de l'Atlas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>
        <f>1600*(0.7+1.2)</f>
        <v>3040</v>
      </c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0</v>
      </c>
      <c r="I20" s="191">
        <f>(2500+750+858)/1.53</f>
        <v>2684.9673202614376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v>450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2</v>
      </c>
      <c r="I22" s="191">
        <v>500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20</v>
      </c>
      <c r="B23" s="181">
        <f>'Données projet'!D36</f>
        <v>39.5</v>
      </c>
      <c r="C23" s="193">
        <v>2</v>
      </c>
      <c r="D23" s="182">
        <f>B23*C23</f>
        <v>79</v>
      </c>
      <c r="E23" s="193"/>
      <c r="F23" s="230"/>
      <c r="H23" s="190">
        <v>3</v>
      </c>
      <c r="I23" s="191">
        <v>550</v>
      </c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-7431.2321526566293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30</v>
      </c>
      <c r="B24" s="181">
        <f>'Données projet'!D37</f>
        <v>67</v>
      </c>
      <c r="C24" s="193">
        <v>4</v>
      </c>
      <c r="D24" s="182">
        <f t="shared" ref="D24:D42" si="2">B24*C24</f>
        <v>268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40</v>
      </c>
      <c r="B25" s="181">
        <f>'Données projet'!D38</f>
        <v>70</v>
      </c>
      <c r="C25" s="193">
        <v>27</v>
      </c>
      <c r="D25" s="182">
        <f t="shared" si="2"/>
        <v>1890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>
        <v>0</v>
      </c>
      <c r="Q25" s="234"/>
      <c r="R25" s="23"/>
      <c r="S25" s="186" t="s">
        <v>266</v>
      </c>
      <c r="T25" s="299">
        <f ca="1">T23-T24</f>
        <v>-7431.2321526566293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50</v>
      </c>
      <c r="B26" s="181">
        <f>'Données projet'!D39</f>
        <v>75</v>
      </c>
      <c r="C26" s="193">
        <v>27</v>
      </c>
      <c r="D26" s="182">
        <f t="shared" si="2"/>
        <v>2025</v>
      </c>
      <c r="E26" s="193"/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60</v>
      </c>
      <c r="B27" s="181">
        <f>'Données projet'!D40</f>
        <v>80</v>
      </c>
      <c r="C27" s="193">
        <v>26.7</v>
      </c>
      <c r="D27" s="182">
        <f t="shared" si="2"/>
        <v>2136</v>
      </c>
      <c r="E27" s="193"/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70</v>
      </c>
      <c r="B28" s="181">
        <f>'Données projet'!D41</f>
        <v>87</v>
      </c>
      <c r="C28" s="193">
        <v>46</v>
      </c>
      <c r="D28" s="182">
        <f t="shared" si="2"/>
        <v>4002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80</v>
      </c>
      <c r="B29" s="181">
        <f>'Données projet'!D42</f>
        <v>93</v>
      </c>
      <c r="C29" s="193">
        <v>46</v>
      </c>
      <c r="D29" s="182">
        <f t="shared" si="2"/>
        <v>4278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90</v>
      </c>
      <c r="B30" s="181">
        <f>'Données projet'!D43</f>
        <v>98</v>
      </c>
      <c r="C30" s="193">
        <v>46</v>
      </c>
      <c r="D30" s="182">
        <f t="shared" si="2"/>
        <v>4508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100</v>
      </c>
      <c r="B31" s="181">
        <f>'Données projet'!D44</f>
        <v>675.5</v>
      </c>
      <c r="C31" s="193">
        <v>75</v>
      </c>
      <c r="D31" s="182">
        <f t="shared" si="2"/>
        <v>50662.5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Robinier faux-acacia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>
        <f>1600*(0.7+0.55)</f>
        <v>2000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5</v>
      </c>
      <c r="B54" s="181">
        <f>'Données projet'!D62</f>
        <v>4</v>
      </c>
      <c r="C54" s="191">
        <v>2</v>
      </c>
      <c r="D54" s="179">
        <f>B54*C54</f>
        <v>8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10</v>
      </c>
      <c r="B55" s="181">
        <f>'Données projet'!D63</f>
        <v>21</v>
      </c>
      <c r="C55" s="191">
        <v>2</v>
      </c>
      <c r="D55" s="179">
        <f t="shared" ref="D55:D73" si="4">B55*C55</f>
        <v>42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15</v>
      </c>
      <c r="B56" s="181">
        <f>'Données projet'!D64</f>
        <v>17</v>
      </c>
      <c r="C56" s="191">
        <v>2</v>
      </c>
      <c r="D56" s="179">
        <f t="shared" si="4"/>
        <v>34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20</v>
      </c>
      <c r="B57" s="181">
        <f>'Données projet'!D65</f>
        <v>14</v>
      </c>
      <c r="C57" s="191">
        <v>10</v>
      </c>
      <c r="D57" s="179">
        <f t="shared" si="4"/>
        <v>140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25</v>
      </c>
      <c r="B58" s="181">
        <f>'Données projet'!D66</f>
        <v>11</v>
      </c>
      <c r="C58" s="191">
        <v>10</v>
      </c>
      <c r="D58" s="179">
        <f t="shared" si="4"/>
        <v>110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30</v>
      </c>
      <c r="B59" s="181">
        <f>'Données projet'!D67</f>
        <v>9</v>
      </c>
      <c r="C59" s="191">
        <v>25</v>
      </c>
      <c r="D59" s="179">
        <f t="shared" si="4"/>
        <v>225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35</v>
      </c>
      <c r="B60" s="181">
        <f>'Données projet'!D68</f>
        <v>7</v>
      </c>
      <c r="C60" s="191">
        <v>25</v>
      </c>
      <c r="D60" s="179">
        <f t="shared" si="4"/>
        <v>175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40</v>
      </c>
      <c r="B61" s="181">
        <f>'Données projet'!D69</f>
        <v>6</v>
      </c>
      <c r="C61" s="191">
        <v>30</v>
      </c>
      <c r="D61" s="179">
        <f t="shared" si="4"/>
        <v>180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45</v>
      </c>
      <c r="B62" s="181">
        <f>'Données projet'!D70</f>
        <v>252</v>
      </c>
      <c r="C62" s="191">
        <v>30</v>
      </c>
      <c r="D62" s="179">
        <f t="shared" si="4"/>
        <v>7560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>Pin maritime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>
        <f>1600*(0.7+0.35)</f>
        <v>1679.9999999999998</v>
      </c>
      <c r="F79" s="231"/>
      <c r="G79" s="206"/>
      <c r="H79" s="190"/>
      <c r="I79" s="191"/>
      <c r="J79" s="4"/>
      <c r="K79" s="173"/>
      <c r="L79" s="4"/>
      <c r="M79" s="4"/>
      <c r="N79" s="4"/>
      <c r="O79" s="194" t="str">
        <f>IF(O78+1&lt;=MIN('Données projet'!$E$9:$E$18),O78+1,"STOP")</f>
        <v>STOP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12</v>
      </c>
      <c r="B85" s="181">
        <f>'Données projet'!D88</f>
        <v>0</v>
      </c>
      <c r="C85" s="191">
        <v>0</v>
      </c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16</v>
      </c>
      <c r="B86" s="181">
        <f>'Données projet'!D89</f>
        <v>8</v>
      </c>
      <c r="C86" s="191">
        <v>1.95</v>
      </c>
      <c r="D86" s="179">
        <f t="shared" ref="D86:D104" si="6">B86*C86</f>
        <v>15.6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20</v>
      </c>
      <c r="B87" s="181">
        <f>'Données projet'!D90</f>
        <v>14</v>
      </c>
      <c r="C87" s="191">
        <v>1.95</v>
      </c>
      <c r="D87" s="179">
        <f t="shared" si="6"/>
        <v>27.3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24</v>
      </c>
      <c r="B88" s="181">
        <f>'Données projet'!D91</f>
        <v>20</v>
      </c>
      <c r="C88" s="191">
        <v>4.4800000000000004</v>
      </c>
      <c r="D88" s="179">
        <f t="shared" si="6"/>
        <v>89.600000000000009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28</v>
      </c>
      <c r="B89" s="181">
        <f>'Données projet'!D92</f>
        <v>23</v>
      </c>
      <c r="C89" s="191">
        <v>4.4800000000000004</v>
      </c>
      <c r="D89" s="179">
        <f t="shared" si="6"/>
        <v>103.04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34</v>
      </c>
      <c r="B90" s="181">
        <f>'Données projet'!D93</f>
        <v>38</v>
      </c>
      <c r="C90" s="191">
        <v>4.8</v>
      </c>
      <c r="D90" s="179">
        <f t="shared" si="6"/>
        <v>182.4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40</v>
      </c>
      <c r="B91" s="181">
        <f>'Données projet'!D94</f>
        <v>31</v>
      </c>
      <c r="C91" s="191">
        <v>4.8</v>
      </c>
      <c r="D91" s="179">
        <f t="shared" si="6"/>
        <v>148.79999999999998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46</v>
      </c>
      <c r="B92" s="181">
        <f>'Données projet'!D95</f>
        <v>23</v>
      </c>
      <c r="C92" s="191">
        <v>27</v>
      </c>
      <c r="D92" s="179">
        <f t="shared" si="6"/>
        <v>621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54</v>
      </c>
      <c r="B93" s="181">
        <f>'Données projet'!D96</f>
        <v>22</v>
      </c>
      <c r="C93" s="191">
        <v>45</v>
      </c>
      <c r="D93" s="179">
        <f t="shared" si="6"/>
        <v>990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62</v>
      </c>
      <c r="B94" s="181">
        <f>'Données projet'!D97</f>
        <v>241</v>
      </c>
      <c r="C94" s="191">
        <v>60</v>
      </c>
      <c r="D94" s="179">
        <f t="shared" si="6"/>
        <v>14460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Vianney FALCONNET</cp:lastModifiedBy>
  <dcterms:created xsi:type="dcterms:W3CDTF">2021-02-01T08:22:39Z</dcterms:created>
  <dcterms:modified xsi:type="dcterms:W3CDTF">2024-05-27T14:28:06Z</dcterms:modified>
</cp:coreProperties>
</file>