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099\Z00FAHGS\"/>
    </mc:Choice>
  </mc:AlternateContent>
  <xr:revisionPtr revIDLastSave="0" documentId="13_ncr:1_{226F4EAE-5FE3-47AE-956C-59E92E65C571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3" i="6" l="1"/>
  <c r="I20" i="6"/>
  <c r="E172" i="6"/>
  <c r="E141" i="6"/>
  <c r="E110" i="6"/>
  <c r="E79" i="6"/>
  <c r="E48" i="6"/>
  <c r="E17" i="6"/>
  <c r="B104" i="1" l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72" i="1"/>
  <c r="B71" i="1"/>
  <c r="B70" i="1"/>
  <c r="B69" i="1"/>
  <c r="B68" i="1"/>
  <c r="B67" i="1"/>
  <c r="B66" i="1"/>
  <c r="B65" i="1"/>
  <c r="B64" i="1"/>
  <c r="B63" i="1"/>
  <c r="B6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V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HG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HI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EC140" i="2"/>
  <c r="HG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DI154" i="2"/>
  <c r="EA155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X156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CN156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DG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HH161" i="2"/>
  <c r="EB161" i="2"/>
  <c r="HG161" i="2"/>
  <c r="FS161" i="2"/>
  <c r="A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C162" i="2"/>
  <c r="DI161" i="2"/>
  <c r="HG162" i="2"/>
  <c r="EW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Y163" i="2"/>
  <c r="FR164" i="2"/>
  <c r="EV164" i="2"/>
  <c r="EX164" i="2"/>
  <c r="DI163" i="2"/>
  <c r="DH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EB167" i="2"/>
  <c r="DG167" i="2"/>
  <c r="FR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A169" i="2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EW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EA178" i="2"/>
  <c r="EW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D178" i="2"/>
  <c r="EB179" i="2"/>
  <c r="EV179" i="2"/>
  <c r="EA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A185" i="2"/>
  <c r="EB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HH186" i="2"/>
  <c r="FR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EB192" i="2"/>
  <c r="EW192" i="2"/>
  <c r="HG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FQ193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ED193" i="2"/>
  <c r="CN193" i="2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AA195" i="2"/>
  <c r="FQ195" i="2"/>
  <c r="EY194" i="2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EB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EY201" i="2"/>
  <c r="FR202" i="2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DN155" i="2" a="1"/>
  <c r="DN155" i="2" s="1"/>
  <c r="CS66" i="2" a="1"/>
  <c r="CS66" i="2" s="1"/>
  <c r="DN25" i="2" a="1"/>
  <c r="DN25" i="2" s="1"/>
  <c r="DN153" i="2" a="1"/>
  <c r="DN153" i="2" s="1"/>
  <c r="DN115" i="2" a="1"/>
  <c r="DN115" i="2" s="1"/>
  <c r="DN177" i="2" a="1"/>
  <c r="DN17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65" i="2" a="1"/>
  <c r="EI165" i="2" s="1"/>
  <c r="EI34" i="2" a="1"/>
  <c r="EI34" i="2" s="1"/>
  <c r="CS185" i="2" a="1"/>
  <c r="CS185" i="2" s="1"/>
  <c r="CS56" i="2" a="1"/>
  <c r="CS56" i="2" s="1"/>
  <c r="DN135" i="2" a="1"/>
  <c r="DN135" i="2" s="1"/>
  <c r="DN164" i="2" a="1"/>
  <c r="DN164" i="2" s="1"/>
  <c r="DN49" i="2" a="1"/>
  <c r="DN49" i="2" s="1"/>
  <c r="DN55" i="2" a="1"/>
  <c r="DN55" i="2" s="1"/>
  <c r="DN70" i="2" a="1"/>
  <c r="DN70" i="2" s="1"/>
  <c r="DN133" i="2" a="1"/>
  <c r="DN133" i="2" s="1"/>
  <c r="DN6" i="2" a="1"/>
  <c r="DN6" i="2" s="1"/>
  <c r="DO6" i="2" s="1"/>
  <c r="DN30" i="2" a="1"/>
  <c r="DN30" i="2" s="1"/>
  <c r="DN132" i="2" a="1"/>
  <c r="DN132" i="2" s="1"/>
  <c r="CS72" i="2" a="1"/>
  <c r="CS72" i="2" s="1"/>
  <c r="FD82" i="2" a="1"/>
  <c r="FD82" i="2" s="1"/>
  <c r="HJ202" i="2"/>
  <c r="AX200" i="2"/>
  <c r="FR203" i="2" l="1"/>
  <c r="EI37" i="2" a="1"/>
  <c r="EI37" i="2" s="1"/>
  <c r="EI153" i="2" a="1"/>
  <c r="EI153" i="2" s="1"/>
  <c r="EI35" i="2" a="1"/>
  <c r="EI35" i="2" s="1"/>
  <c r="EI106" i="2" a="1"/>
  <c r="EI106" i="2" s="1"/>
  <c r="EI139" i="2" a="1"/>
  <c r="EI139" i="2" s="1"/>
  <c r="EI20" i="2" a="1"/>
  <c r="EI20" i="2" s="1"/>
  <c r="DN65" i="2" a="1"/>
  <c r="DN65" i="2" s="1"/>
  <c r="DN184" i="2" a="1"/>
  <c r="DN184" i="2" s="1"/>
  <c r="DN168" i="2" a="1"/>
  <c r="DN168" i="2" s="1"/>
  <c r="DN152" i="2" a="1"/>
  <c r="DN152" i="2" s="1"/>
  <c r="DN123" i="2" a="1"/>
  <c r="DN123" i="2" s="1"/>
  <c r="DN29" i="2" a="1"/>
  <c r="DN29" i="2" s="1"/>
  <c r="DN162" i="2" a="1"/>
  <c r="DN162" i="2" s="1"/>
  <c r="DN86" i="2" a="1"/>
  <c r="DN86" i="2" s="1"/>
  <c r="DN124" i="2" a="1"/>
  <c r="DN124" i="2" s="1"/>
  <c r="CS161" i="2" a="1"/>
  <c r="CS161" i="2" s="1"/>
  <c r="CS134" i="2" a="1"/>
  <c r="CS134" i="2" s="1"/>
  <c r="CS137" i="2" a="1"/>
  <c r="CS137" i="2" s="1"/>
  <c r="CS24" i="2" a="1"/>
  <c r="CS24" i="2" s="1"/>
  <c r="CS114" i="2" a="1"/>
  <c r="CS114" i="2" s="1"/>
  <c r="CS116" i="2" a="1"/>
  <c r="CS116" i="2" s="1"/>
  <c r="CS120" i="2" a="1"/>
  <c r="CS120" i="2" s="1"/>
  <c r="EI67" i="2" a="1"/>
  <c r="EI67" i="2" s="1"/>
  <c r="EI166" i="2" a="1"/>
  <c r="EI166" i="2" s="1"/>
  <c r="EI57" i="2" a="1"/>
  <c r="EI57" i="2" s="1"/>
  <c r="EI178" i="2" a="1"/>
  <c r="EI178" i="2" s="1"/>
  <c r="EI198" i="2" a="1"/>
  <c r="EI198" i="2" s="1"/>
  <c r="EI142" i="2" a="1"/>
  <c r="EI142" i="2" s="1"/>
  <c r="EI170" i="2" a="1"/>
  <c r="EI170" i="2" s="1"/>
  <c r="EI16" i="2" a="1"/>
  <c r="EI16" i="2" s="1"/>
  <c r="EI36" i="2" a="1"/>
  <c r="EI36" i="2" s="1"/>
  <c r="EI145" i="2" a="1"/>
  <c r="EI145" i="2" s="1"/>
  <c r="EI113" i="2" a="1"/>
  <c r="EI113" i="2" s="1"/>
  <c r="EI87" i="2" a="1"/>
  <c r="EI87" i="2" s="1"/>
  <c r="EI195" i="2" a="1"/>
  <c r="EI195" i="2" s="1"/>
  <c r="EI162" i="2" a="1"/>
  <c r="EI162" i="2" s="1"/>
  <c r="EI71" i="2" a="1"/>
  <c r="EI71" i="2" s="1"/>
  <c r="EI128" i="2" a="1"/>
  <c r="EI128" i="2" s="1"/>
  <c r="EI109" i="2" a="1"/>
  <c r="EI109" i="2" s="1"/>
  <c r="EI150" i="2" a="1"/>
  <c r="EI150" i="2" s="1"/>
  <c r="DN41" i="2" a="1"/>
  <c r="DN41" i="2" s="1"/>
  <c r="DN187" i="2" a="1"/>
  <c r="DN187" i="2" s="1"/>
  <c r="DN38" i="2" a="1"/>
  <c r="DN38" i="2" s="1"/>
  <c r="DN170" i="2" a="1"/>
  <c r="DN170" i="2" s="1"/>
  <c r="DN31" i="2" a="1"/>
  <c r="DN31" i="2" s="1"/>
  <c r="DN114" i="2" a="1"/>
  <c r="DN114" i="2" s="1"/>
  <c r="DN192" i="2" a="1"/>
  <c r="DN192" i="2" s="1"/>
  <c r="DN129" i="2" a="1"/>
  <c r="DN129" i="2" s="1"/>
  <c r="DN43" i="2" a="1"/>
  <c r="DN43" i="2" s="1"/>
  <c r="DN110" i="2" a="1"/>
  <c r="DN110" i="2" s="1"/>
  <c r="DN150" i="2" a="1"/>
  <c r="DN150" i="2" s="1"/>
  <c r="DN176" i="2" a="1"/>
  <c r="DN176" i="2" s="1"/>
  <c r="DN167" i="2" a="1"/>
  <c r="DN167" i="2" s="1"/>
  <c r="DN103" i="2" a="1"/>
  <c r="DN103" i="2" s="1"/>
  <c r="DN66" i="2" a="1"/>
  <c r="DN66" i="2" s="1"/>
  <c r="DN50" i="2" a="1"/>
  <c r="DN50" i="2" s="1"/>
  <c r="DN186" i="2" a="1"/>
  <c r="DN186" i="2" s="1"/>
  <c r="DN46" i="2" a="1"/>
  <c r="DN46" i="2" s="1"/>
  <c r="DN45" i="2" a="1"/>
  <c r="DN45" i="2" s="1"/>
  <c r="DN190" i="2" a="1"/>
  <c r="DN190" i="2" s="1"/>
  <c r="DN16" i="2" a="1"/>
  <c r="DN16" i="2" s="1"/>
  <c r="DN80" i="2" a="1"/>
  <c r="DN80" i="2" s="1"/>
  <c r="DN188" i="2" a="1"/>
  <c r="DN188" i="2" s="1"/>
  <c r="DN113" i="2" a="1"/>
  <c r="DN113" i="2" s="1"/>
  <c r="DN137" i="2" a="1"/>
  <c r="DN137" i="2" s="1"/>
  <c r="CS129" i="2" a="1"/>
  <c r="CS129" i="2" s="1"/>
  <c r="CS52" i="2" a="1"/>
  <c r="CS52" i="2" s="1"/>
  <c r="BX107" i="2" a="1"/>
  <c r="BX107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64" i="2" a="1"/>
  <c r="BC164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82" i="2" a="1"/>
  <c r="BC82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34" i="2" l="1"/>
  <c r="FJ83" i="2"/>
  <c r="FJ55" i="2"/>
  <c r="FJ156" i="2"/>
  <c r="FJ107" i="2"/>
  <c r="FJ117" i="2"/>
  <c r="FJ75" i="2"/>
  <c r="FJ13" i="2"/>
  <c r="FJ194" i="2"/>
  <c r="FJ167" i="2"/>
  <c r="FJ116" i="2"/>
  <c r="FJ133" i="2"/>
  <c r="FJ50" i="2"/>
  <c r="FJ164" i="2"/>
  <c r="FJ193" i="2"/>
  <c r="FJ122" i="2"/>
  <c r="FJ5" i="2"/>
  <c r="FJ62" i="2"/>
  <c r="FJ74" i="2"/>
  <c r="FJ179" i="2"/>
  <c r="FJ203" i="2"/>
  <c r="FJ81" i="2"/>
  <c r="FJ151" i="2"/>
  <c r="FJ160" i="2"/>
  <c r="FJ127" i="2"/>
  <c r="FJ120" i="2"/>
  <c r="FJ40" i="2"/>
  <c r="FJ3" i="2"/>
  <c r="C13" i="4" s="1"/>
  <c r="E13" i="4" s="1"/>
  <c r="F13" i="4" s="1"/>
  <c r="G13" i="4" s="1"/>
  <c r="L13" i="4" s="1"/>
  <c r="FJ77" i="2"/>
  <c r="FJ185" i="2"/>
  <c r="FJ66" i="2"/>
  <c r="FJ34" i="2"/>
  <c r="FJ56" i="2"/>
  <c r="FJ158" i="2"/>
  <c r="FJ32" i="2"/>
  <c r="FJ64" i="2"/>
  <c r="FJ146" i="2"/>
  <c r="FJ41" i="2"/>
  <c r="FJ131" i="2"/>
  <c r="FJ150" i="2"/>
  <c r="FJ171" i="2"/>
  <c r="FJ174" i="2"/>
  <c r="FJ159" i="2"/>
  <c r="FJ86" i="2"/>
  <c r="FJ90" i="2"/>
  <c r="FJ72" i="2"/>
  <c r="FJ60" i="2"/>
  <c r="FJ12" i="2"/>
  <c r="FJ155" i="2"/>
  <c r="FJ154" i="2"/>
  <c r="FJ28" i="2"/>
  <c r="FJ22" i="2"/>
  <c r="FJ162" i="2"/>
  <c r="FJ125" i="2"/>
  <c r="FJ199" i="2"/>
  <c r="FJ202" i="2"/>
  <c r="FJ20" i="2"/>
  <c r="FJ145" i="2"/>
  <c r="FJ39" i="2"/>
  <c r="FJ112" i="2"/>
  <c r="FJ166" i="2"/>
  <c r="FJ38" i="2"/>
  <c r="FJ4" i="2"/>
  <c r="FJ42" i="2"/>
  <c r="FJ137" i="2"/>
  <c r="FJ63" i="2"/>
  <c r="FJ97" i="2"/>
  <c r="FJ196" i="2"/>
  <c r="FJ182" i="2"/>
  <c r="FJ16" i="2"/>
  <c r="FJ17" i="2"/>
  <c r="FJ73" i="2"/>
  <c r="FJ197" i="2"/>
  <c r="FJ181" i="2"/>
  <c r="FJ25" i="2"/>
  <c r="FJ48" i="2"/>
  <c r="FJ33" i="2"/>
  <c r="FJ114" i="2"/>
  <c r="FJ143" i="2"/>
  <c r="FJ118" i="2"/>
  <c r="FJ169" i="2"/>
  <c r="FJ92" i="2"/>
  <c r="FJ45" i="2"/>
  <c r="FJ61" i="2"/>
  <c r="FJ51" i="2"/>
  <c r="FJ111" i="2"/>
  <c r="FJ10" i="2"/>
  <c r="FJ110" i="2"/>
  <c r="FJ187" i="2"/>
  <c r="FJ148" i="2"/>
  <c r="FJ29" i="2"/>
  <c r="FJ113" i="2"/>
  <c r="FJ183" i="2"/>
  <c r="FJ18" i="2"/>
  <c r="FJ49" i="2"/>
  <c r="FJ189" i="2"/>
  <c r="FJ15" i="2"/>
  <c r="FJ186" i="2"/>
  <c r="FJ149" i="2"/>
  <c r="FJ178" i="2"/>
  <c r="FJ67" i="2"/>
  <c r="FJ191" i="2"/>
  <c r="FJ79" i="2"/>
  <c r="FJ177" i="2"/>
  <c r="FJ78" i="2"/>
  <c r="FJ168" i="2"/>
  <c r="FJ123" i="2"/>
  <c r="FJ104" i="2"/>
  <c r="FJ58" i="2"/>
  <c r="FJ140" i="2"/>
  <c r="FJ37" i="2"/>
  <c r="FJ147" i="2"/>
  <c r="FJ68" i="2"/>
  <c r="FJ23" i="2"/>
  <c r="FJ136" i="2"/>
  <c r="FJ115" i="2"/>
  <c r="FJ172" i="2"/>
  <c r="FJ35" i="2"/>
  <c r="FJ139" i="2"/>
  <c r="FJ184" i="2"/>
  <c r="FJ95" i="2"/>
  <c r="FJ11" i="2"/>
  <c r="FJ36" i="2"/>
  <c r="FJ30" i="2"/>
  <c r="FJ44" i="2"/>
  <c r="FJ88" i="2"/>
  <c r="FJ7" i="2"/>
  <c r="FJ70" i="2"/>
  <c r="FJ124" i="2"/>
  <c r="FJ85" i="2"/>
  <c r="FJ76" i="2"/>
  <c r="FJ89" i="2"/>
  <c r="FJ54" i="2"/>
  <c r="FJ69" i="2"/>
  <c r="FJ87" i="2"/>
  <c r="FJ105" i="2"/>
  <c r="FJ26" i="2"/>
  <c r="FJ190" i="2"/>
  <c r="FJ91" i="2"/>
  <c r="FJ102" i="2"/>
  <c r="FJ82" i="2"/>
  <c r="FJ43" i="2"/>
  <c r="FJ6" i="2"/>
  <c r="FJ99" i="2"/>
  <c r="FJ119" i="2"/>
  <c r="FJ175" i="2"/>
  <c r="FJ128" i="2"/>
  <c r="FJ101" i="2"/>
  <c r="FJ144" i="2"/>
  <c r="FJ109" i="2"/>
  <c r="FJ121" i="2"/>
  <c r="FJ100" i="2"/>
  <c r="FJ165" i="2"/>
  <c r="FJ21" i="2"/>
  <c r="FJ200" i="2"/>
  <c r="FJ47" i="2"/>
  <c r="FJ24" i="2"/>
  <c r="FJ152" i="2"/>
  <c r="FJ52" i="2"/>
  <c r="FJ176" i="2"/>
  <c r="FJ96" i="2"/>
  <c r="FJ71" i="2"/>
  <c r="FJ138" i="2"/>
  <c r="FJ65" i="2"/>
  <c r="FJ108" i="2"/>
  <c r="FJ14" i="2"/>
  <c r="FJ126" i="2"/>
  <c r="FJ84" i="2"/>
  <c r="FJ163" i="2"/>
  <c r="FJ170" i="2"/>
  <c r="FJ195" i="2"/>
  <c r="FJ135" i="2"/>
  <c r="FJ80" i="2"/>
  <c r="FJ57" i="2"/>
  <c r="FJ201" i="2"/>
  <c r="FJ198" i="2"/>
  <c r="FJ94" i="2"/>
  <c r="FJ103" i="2"/>
  <c r="FJ46" i="2"/>
  <c r="FJ31" i="2"/>
  <c r="FJ188" i="2"/>
  <c r="FJ130" i="2"/>
  <c r="FJ153" i="2"/>
  <c r="FJ59" i="2"/>
  <c r="FJ27" i="2"/>
  <c r="FJ142" i="2"/>
  <c r="FJ192" i="2"/>
  <c r="FJ98" i="2"/>
  <c r="FJ141" i="2"/>
  <c r="FJ8" i="2"/>
  <c r="FJ9" i="2"/>
  <c r="FJ157" i="2"/>
  <c r="FJ19" i="2"/>
  <c r="FJ180" i="2"/>
  <c r="FJ129" i="2"/>
  <c r="FJ93" i="2"/>
  <c r="FJ106" i="2"/>
  <c r="FJ161" i="2"/>
  <c r="FJ53" i="2"/>
  <c r="FJ173" i="2"/>
  <c r="FJ132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<sst xmlns="http://schemas.openxmlformats.org/spreadsheetml/2006/main" count="1176" uniqueCount="324">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</sst>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762.37389283099253</c:v>
                </c:pt>
                <c:pt idx="42">
                  <c:v>1211.9377360122469</c:v>
                </c:pt>
                <c:pt idx="43">
                  <c:v>1658.2038638201002</c:v>
                </c:pt>
                <c:pt idx="44">
                  <c:v>2102.1960005635624</c:v>
                </c:pt>
                <c:pt idx="45">
                  <c:v>2544.4629743373057</c:v>
                </c:pt>
                <c:pt idx="46">
                  <c:v>2985.3461144081225</c:v>
                </c:pt>
                <c:pt idx="47">
                  <c:v>2635.4905890100417</c:v>
                </c:pt>
                <c:pt idx="48">
                  <c:v>2320.4478191729836</c:v>
                </c:pt>
                <c:pt idx="49">
                  <c:v>2004.6252112622769</c:v>
                </c:pt>
                <c:pt idx="50">
                  <c:v>1687.8801252099399</c:v>
                </c:pt>
                <c:pt idx="51">
                  <c:v>1370.0104099799862</c:v>
                </c:pt>
                <c:pt idx="52">
                  <c:v>1050.7084333926971</c:v>
                </c:pt>
                <c:pt idx="53">
                  <c:v>729.45168525398014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8.5698623034672732</c:v>
                </c:pt>
                <c:pt idx="2">
                  <c:v>16.761458347574003</c:v>
                </c:pt>
                <c:pt idx="3">
                  <c:v>24.830893377685694</c:v>
                </c:pt>
                <c:pt idx="4">
                  <c:v>32.825025516397595</c:v>
                </c:pt>
                <c:pt idx="5">
                  <c:v>40.765092400980706</c:v>
                </c:pt>
                <c:pt idx="6">
                  <c:v>48.663208866430516</c:v>
                </c:pt>
                <c:pt idx="7">
                  <c:v>56.527184878441716</c:v>
                </c:pt>
                <c:pt idx="8">
                  <c:v>64.362460386457897</c:v>
                </c:pt>
                <c:pt idx="9">
                  <c:v>72.17303382252183</c:v>
                </c:pt>
                <c:pt idx="10">
                  <c:v>79.96196295188075</c:v>
                </c:pt>
                <c:pt idx="11">
                  <c:v>87.731658597791963</c:v>
                </c:pt>
                <c:pt idx="12">
                  <c:v>95.484068110758514</c:v>
                </c:pt>
                <c:pt idx="13">
                  <c:v>103.22079577517586</c:v>
                </c:pt>
                <c:pt idx="14">
                  <c:v>110.94318504188995</c:v>
                </c:pt>
                <c:pt idx="15">
                  <c:v>118.65237656501718</c:v>
                </c:pt>
                <c:pt idx="16">
                  <c:v>126.34935030718243</c:v>
                </c:pt>
                <c:pt idx="17">
                  <c:v>134.03495681222435</c:v>
                </c:pt>
                <c:pt idx="18">
                  <c:v>141.70994090731321</c:v>
                </c:pt>
                <c:pt idx="19">
                  <c:v>149.37495998692776</c:v>
                </c:pt>
                <c:pt idx="20">
                  <c:v>157.03059833776308</c:v>
                </c:pt>
                <c:pt idx="21">
                  <c:v>164.67737851723862</c:v>
                </c:pt>
                <c:pt idx="22">
                  <c:v>172.31577050326371</c:v>
                </c:pt>
                <c:pt idx="23">
                  <c:v>179.94619913338329</c:v>
                </c:pt>
                <c:pt idx="24">
                  <c:v>187.56905021365296</c:v>
                </c:pt>
                <c:pt idx="25">
                  <c:v>195.184675580679</c:v>
                </c:pt>
                <c:pt idx="26">
                  <c:v>202.79339733093306</c:v>
                </c:pt>
                <c:pt idx="27">
                  <c:v>210.39551138110212</c:v>
                </c:pt>
                <c:pt idx="28">
                  <c:v>217.99129048615103</c:v>
                </c:pt>
                <c:pt idx="29">
                  <c:v>225.58098681411772</c:v>
                </c:pt>
                <c:pt idx="30">
                  <c:v>233.16483415578645</c:v>
                </c:pt>
                <c:pt idx="31">
                  <c:v>240.74304983146149</c:v>
                </c:pt>
                <c:pt idx="32">
                  <c:v>248.31583634479477</c:v>
                </c:pt>
                <c:pt idx="33">
                  <c:v>255.88338282407631</c:v>
                </c:pt>
                <c:pt idx="34">
                  <c:v>263.4458662839159</c:v>
                </c:pt>
                <c:pt idx="35">
                  <c:v>271.00345273431941</c:v>
                </c:pt>
                <c:pt idx="36">
                  <c:v>278.55629815945139</c:v>
                </c:pt>
                <c:pt idx="37">
                  <c:v>222.04759488719617</c:v>
                </c:pt>
                <c:pt idx="38">
                  <c:v>240.45390585666851</c:v>
                </c:pt>
                <c:pt idx="39">
                  <c:v>258.82814826436964</c:v>
                </c:pt>
                <c:pt idx="40">
                  <c:v>277.17291871114884</c:v>
                </c:pt>
                <c:pt idx="41">
                  <c:v>295.49044190999768</c:v>
                </c:pt>
                <c:pt idx="42">
                  <c:v>313.78264418987732</c:v>
                </c:pt>
                <c:pt idx="43">
                  <c:v>246.00409932809703</c:v>
                </c:pt>
                <c:pt idx="44">
                  <c:v>263.33044574140382</c:v>
                </c:pt>
                <c:pt idx="45">
                  <c:v>280.63107851839709</c:v>
                </c:pt>
                <c:pt idx="46">
                  <c:v>297.90780578547009</c:v>
                </c:pt>
                <c:pt idx="47">
                  <c:v>315.16220879551764</c:v>
                </c:pt>
                <c:pt idx="48">
                  <c:v>332.39568151871453</c:v>
                </c:pt>
                <c:pt idx="49">
                  <c:v>263.67670394581285</c:v>
                </c:pt>
                <c:pt idx="50">
                  <c:v>279.93952342847643</c:v>
                </c:pt>
                <c:pt idx="51">
                  <c:v>296.18116215846936</c:v>
                </c:pt>
                <c:pt idx="52">
                  <c:v>312.4029450394047</c:v>
                </c:pt>
                <c:pt idx="53">
                  <c:v>328.60604813455319</c:v>
                </c:pt>
                <c:pt idx="54">
                  <c:v>344.79152205649945</c:v>
                </c:pt>
                <c:pt idx="55">
                  <c:v>296.44017298274053</c:v>
                </c:pt>
                <c:pt idx="56">
                  <c:v>312.23047315162324</c:v>
                </c:pt>
                <c:pt idx="57">
                  <c:v>328.00306325226046</c:v>
                </c:pt>
                <c:pt idx="58">
                  <c:v>343.75891472050535</c:v>
                </c:pt>
                <c:pt idx="59">
                  <c:v>359.4989026747794</c:v>
                </c:pt>
                <c:pt idx="60">
                  <c:v>375.22381935311881</c:v>
                </c:pt>
                <c:pt idx="61">
                  <c:v>390.93438517954024</c:v>
                </c:pt>
                <c:pt idx="62">
                  <c:v>406.63125795835572</c:v>
                </c:pt>
                <c:pt idx="63">
                  <c:v>343.24258549876896</c:v>
                </c:pt>
                <c:pt idx="64">
                  <c:v>360.27260545055532</c:v>
                </c:pt>
                <c:pt idx="65">
                  <c:v>377.28502432944293</c:v>
                </c:pt>
                <c:pt idx="66">
                  <c:v>394.28074727616126</c:v>
                </c:pt>
                <c:pt idx="67">
                  <c:v>411.26059505034641</c:v>
                </c:pt>
                <c:pt idx="68">
                  <c:v>428.22531512817204</c:v>
                </c:pt>
                <c:pt idx="69">
                  <c:v>445.17559094968988</c:v>
                </c:pt>
                <c:pt idx="70">
                  <c:v>462.11204968448237</c:v>
                </c:pt>
                <c:pt idx="71">
                  <c:v>368.52319101183554</c:v>
                </c:pt>
                <c:pt idx="72">
                  <c:v>383.98225493635573</c:v>
                </c:pt>
                <c:pt idx="73">
                  <c:v>399.42779651294518</c:v>
                </c:pt>
                <c:pt idx="74">
                  <c:v>414.86041216554025</c:v>
                </c:pt>
                <c:pt idx="75">
                  <c:v>430.28065033294865</c:v>
                </c:pt>
                <c:pt idx="76">
                  <c:v>445.68901694659036</c:v>
                </c:pt>
                <c:pt idx="77">
                  <c:v>461.08598011130675</c:v>
                </c:pt>
                <c:pt idx="78">
                  <c:v>476.47197412844912</c:v>
                </c:pt>
                <c:pt idx="79">
                  <c:v>403.43006328769519</c:v>
                </c:pt>
                <c:pt idx="80">
                  <c:v>416.68863227470979</c:v>
                </c:pt>
                <c:pt idx="81">
                  <c:v>429.93810914903224</c:v>
                </c:pt>
                <c:pt idx="82">
                  <c:v>443.17881356463732</c:v>
                </c:pt>
                <c:pt idx="83">
                  <c:v>456.41104451831387</c:v>
                </c:pt>
                <c:pt idx="84">
                  <c:v>469.63508225738565</c:v>
                </c:pt>
                <c:pt idx="85">
                  <c:v>482.85118996138743</c:v>
                </c:pt>
                <c:pt idx="86">
                  <c:v>496.0596152300559</c:v>
                </c:pt>
                <c:pt idx="87">
                  <c:v>509.26059140461683</c:v>
                </c:pt>
                <c:pt idx="88">
                  <c:v>441.7866604675728</c:v>
                </c:pt>
                <c:pt idx="89">
                  <c:v>454.31269266448425</c:v>
                </c:pt>
                <c:pt idx="90">
                  <c:v>466.83134543080132</c:v>
                </c:pt>
                <c:pt idx="91">
                  <c:v>479.34284452811477</c:v>
                </c:pt>
                <c:pt idx="92">
                  <c:v>491.84740297234777</c:v>
                </c:pt>
                <c:pt idx="93">
                  <c:v>504.34522206590549</c:v>
                </c:pt>
                <c:pt idx="94">
                  <c:v>516.83649232220898</c:v>
                </c:pt>
                <c:pt idx="95">
                  <c:v>529.32139429620918</c:v>
                </c:pt>
                <c:pt idx="96">
                  <c:v>541.80009933248755</c:v>
                </c:pt>
                <c:pt idx="97">
                  <c:v>554.2727702408605</c:v>
                </c:pt>
                <c:pt idx="98">
                  <c:v>481.3932422945615</c:v>
                </c:pt>
                <c:pt idx="99">
                  <c:v>494.51143108209016</c:v>
                </c:pt>
                <c:pt idx="100">
                  <c:v>507.62224688986112</c:v>
                </c:pt>
                <c:pt idx="101">
                  <c:v>520.7259069396199</c:v>
                </c:pt>
                <c:pt idx="102">
                  <c:v>533.82261663157146</c:v>
                </c:pt>
                <c:pt idx="103">
                  <c:v>546.91257046804856</c:v>
                </c:pt>
                <c:pt idx="104">
                  <c:v>559.9959528841764</c:v>
                </c:pt>
                <c:pt idx="105">
                  <c:v>573.07293899689466</c:v>
                </c:pt>
                <c:pt idx="106">
                  <c:v>586.14369528207715</c:v>
                </c:pt>
                <c:pt idx="107">
                  <c:v>599.20838018813527</c:v>
                </c:pt>
                <c:pt idx="108">
                  <c:v>519.0883336350588</c:v>
                </c:pt>
                <c:pt idx="109">
                  <c:v>533.00427216719834</c:v>
                </c:pt>
                <c:pt idx="110">
                  <c:v>546.91257046804822</c:v>
                </c:pt>
                <c:pt idx="111">
                  <c:v>560.81345013847726</c:v>
                </c:pt>
                <c:pt idx="112">
                  <c:v>574.7071209020188</c:v>
                </c:pt>
                <c:pt idx="113">
                  <c:v>588.59378151919896</c:v>
                </c:pt>
                <c:pt idx="114">
                  <c:v>602.47362061112779</c:v>
                </c:pt>
                <c:pt idx="115">
                  <c:v>616.34681740327744</c:v>
                </c:pt>
                <c:pt idx="116">
                  <c:v>630.21354239884931</c:v>
                </c:pt>
                <c:pt idx="117">
                  <c:v>644.07395798982145</c:v>
                </c:pt>
                <c:pt idx="118">
                  <c:v>564.66216522949742</c:v>
                </c:pt>
                <c:pt idx="119">
                  <c:v>577.09012903081884</c:v>
                </c:pt>
                <c:pt idx="120">
                  <c:v>589.51250904160293</c:v>
                </c:pt>
                <c:pt idx="121">
                  <c:v>601.92943947030119</c:v>
                </c:pt>
                <c:pt idx="122">
                  <c:v>614.34104853866006</c:v>
                </c:pt>
                <c:pt idx="123">
                  <c:v>626.74745886686094</c:v>
                </c:pt>
                <c:pt idx="124">
                  <c:v>639.1487878265973</c:v>
                </c:pt>
                <c:pt idx="125">
                  <c:v>651.54514786533343</c:v>
                </c:pt>
                <c:pt idx="126">
                  <c:v>663.93664680461609</c:v>
                </c:pt>
                <c:pt idx="127">
                  <c:v>676.32338811496811</c:v>
                </c:pt>
                <c:pt idx="128">
                  <c:v>688.70547116960813</c:v>
                </c:pt>
                <c:pt idx="129">
                  <c:v>701.08299147898572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9.5038249253286846</c:v>
                </c:pt>
                <c:pt idx="2">
                  <c:v>18.591885388849974</c:v>
                </c:pt>
                <c:pt idx="3">
                  <c:v>27.545674801277908</c:v>
                </c:pt>
                <c:pt idx="4">
                  <c:v>36.416696413669172</c:v>
                </c:pt>
                <c:pt idx="5">
                  <c:v>45.228293187790854</c:v>
                </c:pt>
                <c:pt idx="6">
                  <c:v>53.993780923630787</c:v>
                </c:pt>
                <c:pt idx="7">
                  <c:v>62.721743802578231</c:v>
                </c:pt>
                <c:pt idx="8">
                  <c:v>71.418161045874058</c:v>
                </c:pt>
                <c:pt idx="9">
                  <c:v>80.087427457192092</c:v>
                </c:pt>
                <c:pt idx="10">
                  <c:v>88.732903923449712</c:v>
                </c:pt>
                <c:pt idx="11">
                  <c:v>97.357240257072093</c:v>
                </c:pt>
                <c:pt idx="12">
                  <c:v>105.96257685285735</c:v>
                </c:pt>
                <c:pt idx="13">
                  <c:v>114.5506770307469</c:v>
                </c:pt>
                <c:pt idx="14">
                  <c:v>123.12301742024199</c:v>
                </c:pt>
                <c:pt idx="15">
                  <c:v>131.68085175051641</c:v>
                </c:pt>
                <c:pt idx="16">
                  <c:v>140.22525712962104</c:v>
                </c:pt>
                <c:pt idx="17">
                  <c:v>148.75716841730761</c:v>
                </c:pt>
                <c:pt idx="18">
                  <c:v>157.27740427677944</c:v>
                </c:pt>
                <c:pt idx="19">
                  <c:v>165.78668727119114</c:v>
                </c:pt>
                <c:pt idx="20">
                  <c:v>174.28565960860985</c:v>
                </c:pt>
                <c:pt idx="21">
                  <c:v>182.77489564849517</c:v>
                </c:pt>
                <c:pt idx="22">
                  <c:v>191.25491195849665</c:v>
                </c:pt>
                <c:pt idx="23">
                  <c:v>199.7261754910555</c:v>
                </c:pt>
                <c:pt idx="24">
                  <c:v>208.18911029786315</c:v>
                </c:pt>
                <c:pt idx="25">
                  <c:v>216.64410309371007</c:v>
                </c:pt>
                <c:pt idx="26">
                  <c:v>225.0915079050601</c:v>
                </c:pt>
                <c:pt idx="27">
                  <c:v>233.53164998334407</c:v>
                </c:pt>
                <c:pt idx="28">
                  <c:v>241.96482912220833</c:v>
                </c:pt>
                <c:pt idx="29">
                  <c:v>250.39132248755382</c:v>
                </c:pt>
                <c:pt idx="30">
                  <c:v>258.81138704625801</c:v>
                </c:pt>
                <c:pt idx="31">
                  <c:v>267.22526166197116</c:v>
                </c:pt>
                <c:pt idx="32">
                  <c:v>275.63316891288963</c:v>
                </c:pt>
                <c:pt idx="33">
                  <c:v>284.03531667592512</c:v>
                </c:pt>
                <c:pt idx="34">
                  <c:v>292.43189951345812</c:v>
                </c:pt>
                <c:pt idx="35">
                  <c:v>300.82309989235983</c:v>
                </c:pt>
                <c:pt idx="36">
                  <c:v>309.20908925978028</c:v>
                </c:pt>
                <c:pt idx="37">
                  <c:v>246.46835048233575</c:v>
                </c:pt>
                <c:pt idx="38">
                  <c:v>266.90423231001654</c:v>
                </c:pt>
                <c:pt idx="39">
                  <c:v>287.30486656275286</c:v>
                </c:pt>
                <c:pt idx="40">
                  <c:v>307.67310724702276</c:v>
                </c:pt>
                <c:pt idx="41">
                  <c:v>328.0113996155464</c:v>
                </c:pt>
                <c:pt idx="42">
                  <c:v>348.3218609576773</c:v>
                </c:pt>
                <c:pt idx="43">
                  <c:v>273.06648912870236</c:v>
                </c:pt>
                <c:pt idx="44">
                  <c:v>292.3037483190094</c:v>
                </c:pt>
                <c:pt idx="45">
                  <c:v>311.51274483481546</c:v>
                </c:pt>
                <c:pt idx="46">
                  <c:v>330.69546604527699</c:v>
                </c:pt>
                <c:pt idx="47">
                  <c:v>349.85364995568125</c:v>
                </c:pt>
                <c:pt idx="48">
                  <c:v>368.98882872292893</c:v>
                </c:pt>
                <c:pt idx="49">
                  <c:v>292.68819813988773</c:v>
                </c:pt>
                <c:pt idx="50">
                  <c:v>310.74490180919628</c:v>
                </c:pt>
                <c:pt idx="51">
                  <c:v>328.77832504040913</c:v>
                </c:pt>
                <c:pt idx="52">
                  <c:v>346.78992407717425</c:v>
                </c:pt>
                <c:pt idx="53">
                  <c:v>364.78099156799249</c:v>
                </c:pt>
                <c:pt idx="54">
                  <c:v>382.75268227452926</c:v>
                </c:pt>
                <c:pt idx="55">
                  <c:v>329.06591188698377</c:v>
                </c:pt>
                <c:pt idx="56">
                  <c:v>346.59842153198491</c:v>
                </c:pt>
                <c:pt idx="57">
                  <c:v>364.11146547839263</c:v>
                </c:pt>
                <c:pt idx="58">
                  <c:v>381.60611146221277</c:v>
                </c:pt>
                <c:pt idx="59">
                  <c:v>399.08332135390123</c:v>
                </c:pt>
                <c:pt idx="60">
                  <c:v>416.54396592745007</c:v>
                </c:pt>
                <c:pt idx="61">
                  <c:v>433.9888370237818</c:v>
                </c:pt>
                <c:pt idx="62">
                  <c:v>451.41865765651147</c:v>
                </c:pt>
                <c:pt idx="63">
                  <c:v>381.03279796912801</c:v>
                </c:pt>
                <c:pt idx="64">
                  <c:v>399.94242211783916</c:v>
                </c:pt>
                <c:pt idx="65">
                  <c:v>418.83270036820545</c:v>
                </c:pt>
                <c:pt idx="66">
                  <c:v>437.70462758915511</c:v>
                </c:pt>
                <c:pt idx="67">
                  <c:v>456.55910590367739</c:v>
                </c:pt>
                <c:pt idx="68">
                  <c:v>475.39695688657889</c:v>
                </c:pt>
                <c:pt idx="69">
                  <c:v>494.21893172853089</c:v>
                </c:pt>
                <c:pt idx="70">
                  <c:v>513.02571977154446</c:v>
                </c:pt>
                <c:pt idx="71">
                  <c:v>409.10369709650541</c:v>
                </c:pt>
                <c:pt idx="72">
                  <c:v>426.26923464137013</c:v>
                </c:pt>
                <c:pt idx="73">
                  <c:v>443.4199093440684</c:v>
                </c:pt>
                <c:pt idx="74">
                  <c:v>460.55637675309475</c:v>
                </c:pt>
                <c:pt idx="75">
                  <c:v>477.67923967496478</c:v>
                </c:pt>
                <c:pt idx="76">
                  <c:v>494.78905419497386</c:v>
                </c:pt>
                <c:pt idx="77">
                  <c:v>511.88633482202277</c:v>
                </c:pt>
                <c:pt idx="78">
                  <c:v>528.97155891052296</c:v>
                </c:pt>
                <c:pt idx="79">
                  <c:v>447.86403623255592</c:v>
                </c:pt>
                <c:pt idx="80">
                  <c:v>462.58645250591263</c:v>
                </c:pt>
                <c:pt idx="81">
                  <c:v>477.29887534938598</c:v>
                </c:pt>
                <c:pt idx="82">
                  <c:v>492.001656104814</c:v>
                </c:pt>
                <c:pt idx="83">
                  <c:v>506.69512340906527</c:v>
                </c:pt>
                <c:pt idx="84">
                  <c:v>521.37958529087587</c:v>
                </c:pt>
                <c:pt idx="85">
                  <c:v>536.05533101923231</c:v>
                </c:pt>
                <c:pt idx="86">
                  <c:v>550.7226327388712</c:v>
                </c:pt>
                <c:pt idx="87">
                  <c:v>565.38174692254552</c:v>
                </c:pt>
                <c:pt idx="88">
                  <c:v>490.45577293405859</c:v>
                </c:pt>
                <c:pt idx="89">
                  <c:v>504.36504413134952</c:v>
                </c:pt>
                <c:pt idx="90">
                  <c:v>518.26620436205633</c:v>
                </c:pt>
                <c:pt idx="91">
                  <c:v>532.15950176791534</c:v>
                </c:pt>
                <c:pt idx="92">
                  <c:v>546.04517048149398</c:v>
                </c:pt>
                <c:pt idx="93">
                  <c:v>559.92343176066129</c:v>
                </c:pt>
                <c:pt idx="94">
                  <c:v>573.79449500476937</c:v>
                </c:pt>
                <c:pt idx="95">
                  <c:v>587.65855866750098</c:v>
                </c:pt>
                <c:pt idx="96">
                  <c:v>601.51581107912784</c:v>
                </c:pt>
                <c:pt idx="97">
                  <c:v>615.36643118909194</c:v>
                </c:pt>
                <c:pt idx="98">
                  <c:v>534.43635766098839</c:v>
                </c:pt>
                <c:pt idx="99">
                  <c:v>549.00344654997537</c:v>
                </c:pt>
                <c:pt idx="100">
                  <c:v>563.56243156269772</c:v>
                </c:pt>
                <c:pt idx="101">
                  <c:v>578.11355145447681</c:v>
                </c:pt>
                <c:pt idx="102">
                  <c:v>592.65703198720212</c:v>
                </c:pt>
                <c:pt idx="103">
                  <c:v>607.19308694456629</c:v>
                </c:pt>
                <c:pt idx="104">
                  <c:v>621.72191904507463</c:v>
                </c:pt>
                <c:pt idx="105">
                  <c:v>636.24372076531824</c:v>
                </c:pt>
                <c:pt idx="106">
                  <c:v>650.75867508421834</c:v>
                </c:pt>
                <c:pt idx="107">
                  <c:v>665.266956157457</c:v>
                </c:pt>
                <c:pt idx="108">
                  <c:v>576.29508375625221</c:v>
                </c:pt>
                <c:pt idx="109">
                  <c:v>591.74828416086541</c:v>
                </c:pt>
                <c:pt idx="110">
                  <c:v>607.19308694456618</c:v>
                </c:pt>
                <c:pt idx="111">
                  <c:v>622.62973567590791</c:v>
                </c:pt>
                <c:pt idx="112">
                  <c:v>638.05846086868894</c:v>
                </c:pt>
                <c:pt idx="113">
                  <c:v>653.47948098691779</c:v>
                </c:pt>
                <c:pt idx="114">
                  <c:v>668.89300335004725</c:v>
                </c:pt>
                <c:pt idx="115">
                  <c:v>684.29922495048811</c:v>
                </c:pt>
                <c:pt idx="116">
                  <c:v>699.69833319372481</c:v>
                </c:pt>
                <c:pt idx="117">
                  <c:v>715.09050656993907</c:v>
                </c:pt>
                <c:pt idx="118">
                  <c:v>626.90367134037831</c:v>
                </c:pt>
                <c:pt idx="119">
                  <c:v>640.70476580589502</c:v>
                </c:pt>
                <c:pt idx="120">
                  <c:v>654.49972294985503</c:v>
                </c:pt>
                <c:pt idx="121">
                  <c:v>668.28869028503152</c:v>
                </c:pt>
                <c:pt idx="122">
                  <c:v>682.07180874401831</c:v>
                </c:pt>
                <c:pt idx="123">
                  <c:v>695.84921310255265</c:v>
                </c:pt>
                <c:pt idx="124">
                  <c:v>709.62103236759094</c:v>
                </c:pt>
                <c:pt idx="125">
                  <c:v>723.38739013371344</c:v>
                </c:pt>
                <c:pt idx="126">
                  <c:v>737.14840491100722</c:v>
                </c:pt>
                <c:pt idx="127">
                  <c:v>750.90419042721044</c:v>
                </c:pt>
                <c:pt idx="128">
                  <c:v>764.65485590658511</c:v>
                </c:pt>
                <c:pt idx="129">
                  <c:v>778.40050632769987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8.4361867965929829</c:v>
                </c:pt>
                <c:pt idx="2">
                  <c:v>16.499503329257902</c:v>
                </c:pt>
                <c:pt idx="3">
                  <c:v>24.442401483590455</c:v>
                </c:pt>
                <c:pt idx="4">
                  <c:v>32.31107094769235</c:v>
                </c:pt>
                <c:pt idx="5">
                  <c:v>40.126446402409357</c:v>
                </c:pt>
                <c:pt idx="6">
                  <c:v>47.90046986374329</c:v>
                </c:pt>
                <c:pt idx="7">
                  <c:v>55.640839887665692</c:v>
                </c:pt>
                <c:pt idx="8">
                  <c:v>63.352918822349579</c:v>
                </c:pt>
                <c:pt idx="9">
                  <c:v>71.040648061916642</c:v>
                </c:pt>
                <c:pt idx="10">
                  <c:v>78.707041752372689</c:v>
                </c:pt>
                <c:pt idx="11">
                  <c:v>86.354476326407607</c:v>
                </c:pt>
                <c:pt idx="12">
                  <c:v>93.98487135542922</c:v>
                </c:pt>
                <c:pt idx="13">
                  <c:v>101.59980823860064</c:v>
                </c:pt>
                <c:pt idx="14">
                  <c:v>109.20061126234464</c:v>
                </c:pt>
                <c:pt idx="15">
                  <c:v>116.78840480926458</c:v>
                </c:pt>
                <c:pt idx="16">
                  <c:v>124.36415486274791</c:v>
                </c:pt>
                <c:pt idx="17">
                  <c:v>131.92869983356411</c:v>
                </c:pt>
                <c:pt idx="18">
                  <c:v>139.48277392387024</c:v>
                </c:pt>
                <c:pt idx="19">
                  <c:v>147.02702515036552</c:v>
                </c:pt>
                <c:pt idx="20">
                  <c:v>154.56202946485317</c:v>
                </c:pt>
                <c:pt idx="21">
                  <c:v>162.08830197043343</c:v>
                </c:pt>
                <c:pt idx="22">
                  <c:v>169.60630594074698</c:v>
                </c:pt>
                <c:pt idx="23">
                  <c:v>177.11646015300042</c:v>
                </c:pt>
                <c:pt idx="24">
                  <c:v>184.61914490969846</c:v>
                </c:pt>
                <c:pt idx="25">
                  <c:v>192.11470702847259</c:v>
                </c:pt>
                <c:pt idx="26">
                  <c:v>199.60346401106528</c:v>
                </c:pt>
                <c:pt idx="27">
                  <c:v>207.08570755289045</c:v>
                </c:pt>
                <c:pt idx="28">
                  <c:v>214.56170651804396</c:v>
                </c:pt>
                <c:pt idx="29">
                  <c:v>222.03170947736837</c:v>
                </c:pt>
                <c:pt idx="30">
                  <c:v>229.49594688660548</c:v>
                </c:pt>
                <c:pt idx="31">
                  <c:v>236.95463296597003</c:v>
                </c:pt>
                <c:pt idx="32">
                  <c:v>244.40796733038462</c:v>
                </c:pt>
                <c:pt idx="33">
                  <c:v>251.85613641021061</c:v>
                </c:pt>
                <c:pt idx="34">
                  <c:v>259.29931469493164</c:v>
                </c:pt>
                <c:pt idx="35">
                  <c:v>266.73766582640883</c:v>
                </c:pt>
                <c:pt idx="36">
                  <c:v>274.17134356368132</c:v>
                </c:pt>
                <c:pt idx="37">
                  <c:v>218.55404205326874</c:v>
                </c:pt>
                <c:pt idx="38">
                  <c:v>236.67004975018767</c:v>
                </c:pt>
                <c:pt idx="39">
                  <c:v>254.75444634567864</c:v>
                </c:pt>
                <c:pt idx="40">
                  <c:v>272.80979139989284</c:v>
                </c:pt>
                <c:pt idx="41">
                  <c:v>290.83827789013066</c:v>
                </c:pt>
                <c:pt idx="42">
                  <c:v>308.84180466613208</c:v>
                </c:pt>
                <c:pt idx="43">
                  <c:v>242.13269620380959</c:v>
                </c:pt>
                <c:pt idx="44">
                  <c:v>259.18571507452549</c:v>
                </c:pt>
                <c:pt idx="45">
                  <c:v>276.21338711580171</c:v>
                </c:pt>
                <c:pt idx="46">
                  <c:v>293.21749466097839</c:v>
                </c:pt>
                <c:pt idx="47">
                  <c:v>310.19959640626377</c:v>
                </c:pt>
                <c:pt idx="48">
                  <c:v>327.16106643674794</c:v>
                </c:pt>
                <c:pt idx="49">
                  <c:v>259.52651056144788</c:v>
                </c:pt>
                <c:pt idx="50">
                  <c:v>275.53274374757098</c:v>
                </c:pt>
                <c:pt idx="51">
                  <c:v>291.51809832598582</c:v>
                </c:pt>
                <c:pt idx="52">
                  <c:v>307.48388030045982</c:v>
                </c:pt>
                <c:pt idx="53">
                  <c:v>323.43124895763657</c:v>
                </c:pt>
                <c:pt idx="54">
                  <c:v>339.36123992303646</c:v>
                </c:pt>
                <c:pt idx="55">
                  <c:v>291.77302185274738</c:v>
                </c:pt>
                <c:pt idx="56">
                  <c:v>307.3141303962106</c:v>
                </c:pt>
                <c:pt idx="57">
                  <c:v>322.83778150682724</c:v>
                </c:pt>
                <c:pt idx="58">
                  <c:v>338.34493276284837</c:v>
                </c:pt>
                <c:pt idx="59">
                  <c:v>353.83644679906791</c:v>
                </c:pt>
                <c:pt idx="60">
                  <c:v>369.31310455218915</c:v>
                </c:pt>
                <c:pt idx="61">
                  <c:v>384.775616169329</c:v>
                </c:pt>
                <c:pt idx="62">
                  <c:v>400.22463007117307</c:v>
                </c:pt>
                <c:pt idx="63">
                  <c:v>337.83675399354098</c:v>
                </c:pt>
                <c:pt idx="64">
                  <c:v>354.5979351806829</c:v>
                </c:pt>
                <c:pt idx="65">
                  <c:v>371.34176637549893</c:v>
                </c:pt>
                <c:pt idx="66">
                  <c:v>388.06913980682026</c:v>
                </c:pt>
                <c:pt idx="67">
                  <c:v>404.78086452608801</c:v>
                </c:pt>
                <c:pt idx="68">
                  <c:v>421.47767734667417</c:v>
                </c:pt>
                <c:pt idx="69">
                  <c:v>438.16025195930911</c:v>
                </c:pt>
                <c:pt idx="70">
                  <c:v>454.82920658695599</c:v>
                </c:pt>
                <c:pt idx="71">
                  <c:v>362.7182658824068</c:v>
                </c:pt>
                <c:pt idx="72">
                  <c:v>377.93325577983643</c:v>
                </c:pt>
                <c:pt idx="73">
                  <c:v>393.1349162266024</c:v>
                </c:pt>
                <c:pt idx="74">
                  <c:v>408.32383513861078</c:v>
                </c:pt>
                <c:pt idx="75">
                  <c:v>423.50055313115007</c:v>
                </c:pt>
                <c:pt idx="76">
                  <c:v>438.66556891849217</c:v>
                </c:pt>
                <c:pt idx="77">
                  <c:v>453.81934392792891</c:v>
                </c:pt>
                <c:pt idx="78">
                  <c:v>468.96230626547191</c:v>
                </c:pt>
                <c:pt idx="79">
                  <c:v>397.07398498616294</c:v>
                </c:pt>
                <c:pt idx="80">
                  <c:v>410.123184520184</c:v>
                </c:pt>
                <c:pt idx="81">
                  <c:v>423.16342164115514</c:v>
                </c:pt>
                <c:pt idx="82">
                  <c:v>436.19501144316445</c:v>
                </c:pt>
                <c:pt idx="83">
                  <c:v>449.2182486577899</c:v>
                </c:pt>
                <c:pt idx="84">
                  <c:v>462.23340953460684</c:v>
                </c:pt>
                <c:pt idx="85">
                  <c:v>475.24075349887522</c:v>
                </c:pt>
                <c:pt idx="86">
                  <c:v>488.24052461830371</c:v>
                </c:pt>
                <c:pt idx="87">
                  <c:v>501.23295290548845</c:v>
                </c:pt>
                <c:pt idx="88">
                  <c:v>434.82484567529627</c:v>
                </c:pt>
                <c:pt idx="89">
                  <c:v>447.15303963575957</c:v>
                </c:pt>
                <c:pt idx="90">
                  <c:v>459.47395943373732</c:v>
                </c:pt>
                <c:pt idx="91">
                  <c:v>471.78782761031522</c:v>
                </c:pt>
                <c:pt idx="92">
                  <c:v>484.09485414272848</c:v>
                </c:pt>
                <c:pt idx="93">
                  <c:v>496.39523746178929</c:v>
                </c:pt>
                <c:pt idx="94">
                  <c:v>508.68916536323104</c:v>
                </c:pt>
                <c:pt idx="95">
                  <c:v>520.9768158263754</c:v>
                </c:pt>
                <c:pt idx="96">
                  <c:v>533.25835775156031</c:v>
                </c:pt>
                <c:pt idx="97">
                  <c:v>545.53395162610934</c:v>
                </c:pt>
                <c:pt idx="98">
                  <c:v>473.80583638937441</c:v>
                </c:pt>
                <c:pt idx="99">
                  <c:v>486.71679780936898</c:v>
                </c:pt>
                <c:pt idx="100">
                  <c:v>499.62049142569282</c:v>
                </c:pt>
                <c:pt idx="101">
                  <c:v>512.51713136140813</c:v>
                </c:pt>
                <c:pt idx="102">
                  <c:v>525.40692008667077</c:v>
                </c:pt>
                <c:pt idx="103">
                  <c:v>538.29004932922385</c:v>
                </c:pt>
                <c:pt idx="104">
                  <c:v>551.16670089321224</c:v>
                </c:pt>
                <c:pt idx="105">
                  <c:v>564.03704739752004</c:v>
                </c:pt>
                <c:pt idx="106">
                  <c:v>576.90125294323013</c:v>
                </c:pt>
                <c:pt idx="107">
                  <c:v>589.75947371847656</c:v>
                </c:pt>
                <c:pt idx="108">
                  <c:v>510.9054300904383</c:v>
                </c:pt>
                <c:pt idx="109">
                  <c:v>524.60150533125091</c:v>
                </c:pt>
                <c:pt idx="110">
                  <c:v>538.29004932922362</c:v>
                </c:pt>
                <c:pt idx="111">
                  <c:v>551.97128052407265</c:v>
                </c:pt>
                <c:pt idx="112">
                  <c:v>565.64540564761012</c:v>
                </c:pt>
                <c:pt idx="113">
                  <c:v>579.3126206250289</c:v>
                </c:pt>
                <c:pt idx="114">
                  <c:v>592.97311138674547</c:v>
                </c:pt>
                <c:pt idx="115">
                  <c:v>606.62705460156758</c:v>
                </c:pt>
                <c:pt idx="116">
                  <c:v>620.27461834045619</c:v>
                </c:pt>
                <c:pt idx="117">
                  <c:v>633.91596267885609</c:v>
                </c:pt>
                <c:pt idx="118">
                  <c:v>555.7591799094605</c:v>
                </c:pt>
                <c:pt idx="119">
                  <c:v>567.99075675898609</c:v>
                </c:pt>
                <c:pt idx="120">
                  <c:v>580.21682947114834</c:v>
                </c:pt>
                <c:pt idx="121">
                  <c:v>592.43753033990606</c:v>
                </c:pt>
                <c:pt idx="122">
                  <c:v>604.65298575791246</c:v>
                </c:pt>
                <c:pt idx="123">
                  <c:v>616.86331659616394</c:v>
                </c:pt>
                <c:pt idx="124">
                  <c:v>629.0686385520379</c:v>
                </c:pt>
                <c:pt idx="125">
                  <c:v>641.2690624689277</c:v>
                </c:pt>
                <c:pt idx="126">
                  <c:v>653.46469463029769</c:v>
                </c:pt>
                <c:pt idx="127">
                  <c:v>665.65563703065629</c:v>
                </c:pt>
                <c:pt idx="128">
                  <c:v>677.84198762565632</c:v>
                </c:pt>
                <c:pt idx="129">
                  <c:v>690.02384056328356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5" sqref="F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5.36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0.31</v>
      </c>
      <c r="D9" s="33">
        <f t="shared" ref="D9:D18" si="0">C9*$C$5</f>
        <v>1.6616000000000002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0.3</v>
      </c>
      <c r="D10" s="33">
        <f t="shared" si="0"/>
        <v>1.6080000000000001</v>
      </c>
      <c r="E10" s="34">
        <v>65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0.18</v>
      </c>
      <c r="D11" s="33">
        <f t="shared" si="0"/>
        <v>0.96479999999999999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13</v>
      </c>
      <c r="C12" s="32">
        <v>0.18</v>
      </c>
      <c r="D12" s="33">
        <f t="shared" si="0"/>
        <v>0.96479999999999999</v>
      </c>
      <c r="E12" s="34">
        <v>70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</v>
      </c>
      <c r="C13" s="32">
        <v>0.01</v>
      </c>
      <c r="D13" s="33">
        <f t="shared" si="0"/>
        <v>5.3600000000000002E-2</v>
      </c>
      <c r="E13" s="34">
        <v>129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52</v>
      </c>
      <c r="C14" s="32">
        <v>0.01</v>
      </c>
      <c r="D14" s="33">
        <f t="shared" si="0"/>
        <v>5.3600000000000002E-2</v>
      </c>
      <c r="E14" s="34">
        <v>129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6</v>
      </c>
      <c r="C15" s="32">
        <v>5.0000000000000001E-3</v>
      </c>
      <c r="D15" s="33">
        <f t="shared" si="0"/>
        <v>2.6800000000000001E-2</v>
      </c>
      <c r="E15" s="34">
        <v>129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0.995</v>
      </c>
      <c r="D19" s="38">
        <f>SUM(D9:D18)</f>
        <v>5.3332000000000015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36</v>
      </c>
      <c r="C36" s="60">
        <v>1</v>
      </c>
      <c r="D36" s="60">
        <v>0</v>
      </c>
      <c r="E36" s="51">
        <v>0.2</v>
      </c>
      <c r="F36" s="51">
        <v>0.2</v>
      </c>
      <c r="G36" s="51">
        <v>0.6</v>
      </c>
      <c r="H36" s="51"/>
      <c r="I36" s="49">
        <f>IFERROR(B36/A36,"")</f>
        <v>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81</v>
      </c>
      <c r="C37" s="60">
        <v>2</v>
      </c>
      <c r="D37" s="60">
        <v>15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11.25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119</v>
      </c>
      <c r="C38" s="60">
        <v>3</v>
      </c>
      <c r="D38" s="60">
        <v>22</v>
      </c>
      <c r="E38" s="51">
        <v>0.4</v>
      </c>
      <c r="F38" s="51">
        <v>0.3</v>
      </c>
      <c r="G38" s="51">
        <v>0.3</v>
      </c>
      <c r="H38" s="51"/>
      <c r="I38" s="53">
        <f t="shared" si="1"/>
        <v>13.25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v>157</v>
      </c>
      <c r="C39" s="60">
        <v>4</v>
      </c>
      <c r="D39" s="60">
        <v>31</v>
      </c>
      <c r="E39" s="51">
        <v>0.4</v>
      </c>
      <c r="F39" s="51">
        <v>0.3</v>
      </c>
      <c r="G39" s="51">
        <v>0.3</v>
      </c>
      <c r="H39" s="51"/>
      <c r="I39" s="49">
        <f t="shared" si="1"/>
        <v>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v>190</v>
      </c>
      <c r="C40" s="60">
        <v>5</v>
      </c>
      <c r="D40" s="60">
        <v>35</v>
      </c>
      <c r="E40" s="51">
        <v>0.4</v>
      </c>
      <c r="F40" s="51">
        <v>0.3</v>
      </c>
      <c r="G40" s="51">
        <v>0.3</v>
      </c>
      <c r="H40" s="51"/>
      <c r="I40" s="49">
        <f t="shared" si="1"/>
        <v>16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v>244</v>
      </c>
      <c r="C41" s="60">
        <v>6</v>
      </c>
      <c r="D41" s="60">
        <v>46</v>
      </c>
      <c r="E41" s="51"/>
      <c r="F41" s="51"/>
      <c r="G41" s="51"/>
      <c r="H41" s="51"/>
      <c r="I41" s="53">
        <f t="shared" si="1"/>
        <v>14.833333333333334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275</v>
      </c>
      <c r="C42" s="60">
        <v>7</v>
      </c>
      <c r="D42" s="60">
        <v>41</v>
      </c>
      <c r="E42" s="51"/>
      <c r="F42" s="51"/>
      <c r="G42" s="51"/>
      <c r="H42" s="51"/>
      <c r="I42" s="53">
        <f t="shared" si="1"/>
        <v>12.833333333333334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v>2393</v>
      </c>
      <c r="C43" s="60">
        <v>8</v>
      </c>
      <c r="D43" s="60">
        <v>29</v>
      </c>
      <c r="E43" s="51"/>
      <c r="F43" s="51"/>
      <c r="G43" s="51"/>
      <c r="H43" s="51"/>
      <c r="I43" s="49">
        <f t="shared" si="1"/>
        <v>359.83333333333331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v>311</v>
      </c>
      <c r="C44" s="60">
        <v>9</v>
      </c>
      <c r="D44" s="60">
        <v>16</v>
      </c>
      <c r="E44" s="51"/>
      <c r="F44" s="51"/>
      <c r="G44" s="51"/>
      <c r="H44" s="51"/>
      <c r="I44" s="49">
        <f t="shared" si="1"/>
        <v>-256.625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v>316</v>
      </c>
      <c r="C45" s="60">
        <v>10</v>
      </c>
      <c r="D45" s="60">
        <v>316</v>
      </c>
      <c r="E45" s="51"/>
      <c r="F45" s="51"/>
      <c r="G45" s="51"/>
      <c r="H45" s="51"/>
      <c r="I45" s="49">
        <f t="shared" si="1"/>
        <v>2.625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17</v>
      </c>
      <c r="B62" s="60">
        <f>103+D62</f>
        <v>118</v>
      </c>
      <c r="C62" s="60">
        <v>1</v>
      </c>
      <c r="D62" s="60">
        <v>15</v>
      </c>
      <c r="E62" s="51"/>
      <c r="F62" s="51">
        <v>0.4</v>
      </c>
      <c r="G62" s="51">
        <v>0.6</v>
      </c>
      <c r="H62" s="51"/>
      <c r="I62" s="53">
        <f>IFERROR(B62/A62,"")</f>
        <v>6.9411764705882355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f>122+D63</f>
        <v>137</v>
      </c>
      <c r="C63" s="60">
        <v>2</v>
      </c>
      <c r="D63" s="60">
        <v>15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11.333333333333334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f>168+D64</f>
        <v>204</v>
      </c>
      <c r="C64" s="60">
        <v>3</v>
      </c>
      <c r="D64" s="60">
        <v>36</v>
      </c>
      <c r="E64" s="51">
        <v>0.4</v>
      </c>
      <c r="F64" s="51">
        <v>0.3</v>
      </c>
      <c r="G64" s="51">
        <v>0.3</v>
      </c>
      <c r="H64" s="51"/>
      <c r="I64" s="49">
        <f>IF(A64&lt;&gt;0,(B64-(B63-D63))/(A64-A63),"")</f>
        <v>16.399999999999999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f>202+D65</f>
        <v>256</v>
      </c>
      <c r="C65" s="60">
        <v>4</v>
      </c>
      <c r="D65" s="60">
        <v>54</v>
      </c>
      <c r="E65" s="51">
        <v>0.4</v>
      </c>
      <c r="F65" s="51">
        <v>0.3</v>
      </c>
      <c r="G65" s="51">
        <v>0.3</v>
      </c>
      <c r="H65" s="51"/>
      <c r="I65" s="49">
        <f>IF(A65&lt;&gt;0,(B65-(B64-D64))/(A65-A64),"")</f>
        <v>17.600000000000001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f>244+D66</f>
        <v>296</v>
      </c>
      <c r="C66" s="60">
        <v>5</v>
      </c>
      <c r="D66" s="60">
        <v>52</v>
      </c>
      <c r="E66" s="51"/>
      <c r="F66" s="51"/>
      <c r="G66" s="51"/>
      <c r="H66" s="51"/>
      <c r="I66" s="49">
        <f t="shared" ref="I66:I81" si="2">IF(A66&lt;&gt;0,(B66-(B65-D65))/(A66-A65),"")</f>
        <v>18.8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f>284+D67</f>
        <v>332</v>
      </c>
      <c r="C67" s="60">
        <v>6</v>
      </c>
      <c r="D67" s="60">
        <v>48</v>
      </c>
      <c r="E67" s="51"/>
      <c r="F67" s="51"/>
      <c r="G67" s="51"/>
      <c r="H67" s="51"/>
      <c r="I67" s="49">
        <f t="shared" si="2"/>
        <v>17.600000000000001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f>327+D68</f>
        <v>384</v>
      </c>
      <c r="C68" s="60">
        <v>7</v>
      </c>
      <c r="D68" s="60">
        <v>57</v>
      </c>
      <c r="E68" s="51"/>
      <c r="F68" s="51"/>
      <c r="G68" s="51"/>
      <c r="H68" s="51"/>
      <c r="I68" s="49">
        <f t="shared" si="2"/>
        <v>20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f>367+D69</f>
        <v>414</v>
      </c>
      <c r="C69" s="50">
        <v>8</v>
      </c>
      <c r="D69" s="50">
        <v>47</v>
      </c>
      <c r="E69" s="51"/>
      <c r="F69" s="51"/>
      <c r="G69" s="51"/>
      <c r="H69" s="51"/>
      <c r="I69" s="49">
        <f t="shared" si="2"/>
        <v>17.399999999999999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f>415+D70</f>
        <v>463</v>
      </c>
      <c r="C70" s="50">
        <v>9</v>
      </c>
      <c r="D70" s="50">
        <v>48</v>
      </c>
      <c r="E70" s="51"/>
      <c r="F70" s="51"/>
      <c r="G70" s="51"/>
      <c r="H70" s="51"/>
      <c r="I70" s="49">
        <f t="shared" si="2"/>
        <v>19.2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60</v>
      </c>
      <c r="B71" s="50">
        <f>468+D71</f>
        <v>500</v>
      </c>
      <c r="C71" s="50">
        <v>10</v>
      </c>
      <c r="D71" s="50">
        <v>32</v>
      </c>
      <c r="E71" s="51"/>
      <c r="F71" s="51"/>
      <c r="G71" s="51"/>
      <c r="H71" s="51"/>
      <c r="I71" s="49">
        <f t="shared" si="2"/>
        <v>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65</v>
      </c>
      <c r="B72" s="50">
        <f>527+28</f>
        <v>555</v>
      </c>
      <c r="C72" s="50">
        <v>11</v>
      </c>
      <c r="D72" s="50">
        <v>555</v>
      </c>
      <c r="E72" s="51"/>
      <c r="F72" s="51"/>
      <c r="G72" s="51"/>
      <c r="H72" s="51"/>
      <c r="I72" s="49">
        <f t="shared" si="2"/>
        <v>17.399999999999999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f>67+D88</f>
        <v>73</v>
      </c>
      <c r="C88" s="60">
        <v>1</v>
      </c>
      <c r="D88" s="60">
        <v>6</v>
      </c>
      <c r="E88" s="51">
        <v>0.2</v>
      </c>
      <c r="F88" s="51">
        <v>0.2</v>
      </c>
      <c r="G88" s="51">
        <v>0.6</v>
      </c>
      <c r="H88" s="87"/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f>75+D89</f>
        <v>103</v>
      </c>
      <c r="C89" s="60">
        <v>2</v>
      </c>
      <c r="D89" s="60">
        <v>28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f>93+D90</f>
        <v>121</v>
      </c>
      <c r="C90" s="60">
        <v>3</v>
      </c>
      <c r="D90" s="60">
        <v>28</v>
      </c>
      <c r="E90" s="87">
        <v>0.3</v>
      </c>
      <c r="F90" s="87">
        <v>0.4</v>
      </c>
      <c r="G90" s="87">
        <v>0.3</v>
      </c>
      <c r="H90" s="87"/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f>119+28</f>
        <v>147</v>
      </c>
      <c r="C91" s="60">
        <v>4</v>
      </c>
      <c r="D91" s="60">
        <v>28</v>
      </c>
      <c r="E91" s="87"/>
      <c r="F91" s="87"/>
      <c r="G91" s="87"/>
      <c r="H91" s="87"/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f>147+28</f>
        <v>175</v>
      </c>
      <c r="C92" s="60">
        <v>5</v>
      </c>
      <c r="D92" s="60">
        <v>28</v>
      </c>
      <c r="E92" s="87"/>
      <c r="F92" s="87"/>
      <c r="G92" s="87"/>
      <c r="H92" s="87"/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f>176+28</f>
        <v>204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f>203+28</f>
        <v>231</v>
      </c>
      <c r="C94" s="60">
        <v>7</v>
      </c>
      <c r="D94" s="60">
        <v>28</v>
      </c>
      <c r="E94" s="87"/>
      <c r="F94" s="87"/>
      <c r="G94" s="87"/>
      <c r="H94" s="87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f>226+28</f>
        <v>254</v>
      </c>
      <c r="C95" s="60">
        <v>8</v>
      </c>
      <c r="D95" s="60">
        <v>28</v>
      </c>
      <c r="E95" s="87"/>
      <c r="F95" s="87"/>
      <c r="G95" s="87"/>
      <c r="H95" s="87"/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f>245+28</f>
        <v>273</v>
      </c>
      <c r="C96" s="60">
        <v>9</v>
      </c>
      <c r="D96" s="60">
        <v>28</v>
      </c>
      <c r="E96" s="87"/>
      <c r="F96" s="87"/>
      <c r="G96" s="87"/>
      <c r="H96" s="87"/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f>261+28</f>
        <v>289</v>
      </c>
      <c r="C97" s="60">
        <v>10</v>
      </c>
      <c r="D97" s="60">
        <v>28</v>
      </c>
      <c r="E97" s="87"/>
      <c r="F97" s="87"/>
      <c r="G97" s="87"/>
      <c r="H97" s="87"/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f>274+28</f>
        <v>302</v>
      </c>
      <c r="C98" s="60">
        <v>11</v>
      </c>
      <c r="D98" s="60">
        <v>28</v>
      </c>
      <c r="E98" s="87"/>
      <c r="F98" s="87"/>
      <c r="G98" s="87"/>
      <c r="H98" s="87"/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f>284+28</f>
        <v>312</v>
      </c>
      <c r="C99" s="60">
        <v>12</v>
      </c>
      <c r="D99" s="60">
        <v>28</v>
      </c>
      <c r="E99" s="87"/>
      <c r="F99" s="87"/>
      <c r="G99" s="87"/>
      <c r="H99" s="87"/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f>292+28</f>
        <v>320</v>
      </c>
      <c r="C100" s="60">
        <v>13</v>
      </c>
      <c r="D100" s="60">
        <v>28</v>
      </c>
      <c r="E100" s="65"/>
      <c r="F100" s="65"/>
      <c r="G100" s="65"/>
      <c r="H100" s="65"/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f>298+28</f>
        <v>326</v>
      </c>
      <c r="C101" s="60">
        <v>14</v>
      </c>
      <c r="D101" s="60">
        <v>28</v>
      </c>
      <c r="E101" s="65"/>
      <c r="F101" s="65"/>
      <c r="G101" s="65"/>
      <c r="H101" s="65"/>
      <c r="I101" s="53">
        <f t="shared" si="3"/>
        <v>6.8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f>302+28</f>
        <v>330</v>
      </c>
      <c r="C102" s="60">
        <v>15</v>
      </c>
      <c r="D102" s="50">
        <v>28</v>
      </c>
      <c r="E102" s="54"/>
      <c r="F102" s="54"/>
      <c r="G102" s="54"/>
      <c r="H102" s="54"/>
      <c r="I102" s="53">
        <f t="shared" si="3"/>
        <v>6.4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95</v>
      </c>
      <c r="B103" s="50">
        <f>305+28</f>
        <v>333</v>
      </c>
      <c r="C103" s="60">
        <v>16</v>
      </c>
      <c r="D103" s="50">
        <v>28</v>
      </c>
      <c r="E103" s="54"/>
      <c r="F103" s="54"/>
      <c r="G103" s="54"/>
      <c r="H103" s="54"/>
      <c r="I103" s="53">
        <f t="shared" si="3"/>
        <v>6.2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100</v>
      </c>
      <c r="B104" s="50">
        <f>306+27</f>
        <v>333</v>
      </c>
      <c r="C104" s="60">
        <v>17</v>
      </c>
      <c r="D104" s="50">
        <v>333</v>
      </c>
      <c r="E104" s="54"/>
      <c r="F104" s="54"/>
      <c r="G104" s="54"/>
      <c r="H104" s="54"/>
      <c r="I104" s="53">
        <f t="shared" si="3"/>
        <v>5.6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87</v>
      </c>
      <c r="C114" s="50">
        <v>1</v>
      </c>
      <c r="D114" s="60">
        <v>21</v>
      </c>
      <c r="E114" s="51"/>
      <c r="F114" s="51">
        <v>0.2</v>
      </c>
      <c r="G114" s="51">
        <v>0.8</v>
      </c>
      <c r="H114" s="51"/>
      <c r="I114" s="53">
        <f>IFERROR(B114/A114,"")</f>
        <v>5.8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137</v>
      </c>
      <c r="C115" s="50">
        <v>2</v>
      </c>
      <c r="D115" s="60">
        <v>43</v>
      </c>
      <c r="E115" s="51"/>
      <c r="F115" s="51">
        <v>0.2</v>
      </c>
      <c r="G115" s="51">
        <v>0.8</v>
      </c>
      <c r="H115" s="51"/>
      <c r="I115" s="53">
        <f t="shared" ref="I115:I133" si="4">IF(A115&lt;&gt;0,(B115-(B114-D114))/(A115-A114),"")</f>
        <v>14.2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163</v>
      </c>
      <c r="C116" s="50">
        <v>3</v>
      </c>
      <c r="D116" s="60">
        <v>44</v>
      </c>
      <c r="E116" s="51"/>
      <c r="F116" s="51">
        <v>0.4</v>
      </c>
      <c r="G116" s="51">
        <v>0.6</v>
      </c>
      <c r="H116" s="51"/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184</v>
      </c>
      <c r="C117" s="50">
        <v>4</v>
      </c>
      <c r="D117" s="60">
        <v>44</v>
      </c>
      <c r="E117" s="51">
        <v>0.2</v>
      </c>
      <c r="F117" s="51">
        <v>0.6</v>
      </c>
      <c r="G117" s="51">
        <v>0.2</v>
      </c>
      <c r="H117" s="51"/>
      <c r="I117" s="53">
        <f t="shared" si="4"/>
        <v>13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201</v>
      </c>
      <c r="C118" s="50">
        <v>5</v>
      </c>
      <c r="D118" s="60">
        <v>42</v>
      </c>
      <c r="E118" s="51"/>
      <c r="F118" s="51"/>
      <c r="G118" s="51"/>
      <c r="H118" s="51"/>
      <c r="I118" s="53">
        <f t="shared" si="4"/>
        <v>12.2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213</v>
      </c>
      <c r="C119" s="50">
        <v>6</v>
      </c>
      <c r="D119" s="60">
        <v>39</v>
      </c>
      <c r="E119" s="51"/>
      <c r="F119" s="51"/>
      <c r="G119" s="51"/>
      <c r="H119" s="51"/>
      <c r="I119" s="53">
        <f t="shared" si="4"/>
        <v>10.8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223</v>
      </c>
      <c r="C120" s="60">
        <v>7</v>
      </c>
      <c r="D120" s="60">
        <v>36</v>
      </c>
      <c r="E120" s="87"/>
      <c r="F120" s="87"/>
      <c r="G120" s="87"/>
      <c r="H120" s="87"/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231</v>
      </c>
      <c r="C121" s="60">
        <v>8</v>
      </c>
      <c r="D121" s="60">
        <v>33</v>
      </c>
      <c r="E121" s="87"/>
      <c r="F121" s="87"/>
      <c r="G121" s="87"/>
      <c r="H121" s="87"/>
      <c r="I121" s="53">
        <f t="shared" si="4"/>
        <v>8.8000000000000007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237</v>
      </c>
      <c r="C122" s="60">
        <v>9</v>
      </c>
      <c r="D122" s="60">
        <v>29</v>
      </c>
      <c r="E122" s="87"/>
      <c r="F122" s="87"/>
      <c r="G122" s="87"/>
      <c r="H122" s="87"/>
      <c r="I122" s="53">
        <f t="shared" si="4"/>
        <v>7.8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242</v>
      </c>
      <c r="C123" s="60">
        <v>10</v>
      </c>
      <c r="D123" s="60">
        <v>26</v>
      </c>
      <c r="E123" s="87"/>
      <c r="F123" s="87"/>
      <c r="G123" s="87"/>
      <c r="H123" s="87"/>
      <c r="I123" s="53">
        <f t="shared" si="4"/>
        <v>6.8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246</v>
      </c>
      <c r="C124" s="60">
        <v>11</v>
      </c>
      <c r="D124" s="60">
        <v>23</v>
      </c>
      <c r="E124" s="87"/>
      <c r="F124" s="87"/>
      <c r="G124" s="87"/>
      <c r="H124" s="87"/>
      <c r="I124" s="53">
        <f t="shared" si="4"/>
        <v>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v>249</v>
      </c>
      <c r="C125" s="60">
        <v>12</v>
      </c>
      <c r="D125" s="60">
        <v>249</v>
      </c>
      <c r="E125" s="87"/>
      <c r="F125" s="87"/>
      <c r="G125" s="87"/>
      <c r="H125" s="87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Alisier torminal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36</v>
      </c>
      <c r="B140" s="60">
        <v>131</v>
      </c>
      <c r="C140" s="50">
        <v>1</v>
      </c>
      <c r="D140" s="60">
        <v>36</v>
      </c>
      <c r="E140" s="51"/>
      <c r="F140" s="51"/>
      <c r="G140" s="51"/>
      <c r="H140" s="51"/>
      <c r="I140" s="57">
        <f>IFERROR(B140/A140,"")</f>
        <v>3.6388888888888888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42</v>
      </c>
      <c r="B141" s="60">
        <v>148</v>
      </c>
      <c r="C141" s="50">
        <v>2</v>
      </c>
      <c r="D141" s="60">
        <v>41</v>
      </c>
      <c r="E141" s="51"/>
      <c r="F141" s="51"/>
      <c r="G141" s="51"/>
      <c r="H141" s="51"/>
      <c r="I141" s="57">
        <f t="shared" ref="I141:I159" si="5">IF(A141&lt;&gt;0,(B141-(B140-D140))/(A141-A140),"")</f>
        <v>8.8333333333333339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48</v>
      </c>
      <c r="B142" s="60">
        <v>157</v>
      </c>
      <c r="C142" s="50">
        <v>3</v>
      </c>
      <c r="D142" s="60">
        <v>41</v>
      </c>
      <c r="E142" s="51"/>
      <c r="F142" s="51"/>
      <c r="G142" s="51"/>
      <c r="H142" s="51"/>
      <c r="I142" s="57">
        <f t="shared" si="5"/>
        <v>8.3333333333333339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54</v>
      </c>
      <c r="B143" s="60">
        <v>163</v>
      </c>
      <c r="C143" s="50">
        <v>4</v>
      </c>
      <c r="D143" s="60">
        <v>31</v>
      </c>
      <c r="E143" s="51"/>
      <c r="F143" s="51"/>
      <c r="G143" s="51"/>
      <c r="H143" s="51"/>
      <c r="I143" s="57">
        <f t="shared" si="5"/>
        <v>7.833333333333333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62</v>
      </c>
      <c r="B144" s="60">
        <v>193</v>
      </c>
      <c r="C144" s="50">
        <v>5</v>
      </c>
      <c r="D144" s="60">
        <v>39</v>
      </c>
      <c r="E144" s="51"/>
      <c r="F144" s="51"/>
      <c r="G144" s="51"/>
      <c r="H144" s="51"/>
      <c r="I144" s="57">
        <f t="shared" si="5"/>
        <v>7.625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70</v>
      </c>
      <c r="B145" s="60">
        <v>220</v>
      </c>
      <c r="C145" s="50">
        <v>6</v>
      </c>
      <c r="D145" s="60">
        <v>53</v>
      </c>
      <c r="E145" s="51"/>
      <c r="F145" s="51"/>
      <c r="G145" s="51"/>
      <c r="H145" s="51"/>
      <c r="I145" s="57">
        <f t="shared" si="5"/>
        <v>8.25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78</v>
      </c>
      <c r="B146" s="60">
        <v>227</v>
      </c>
      <c r="C146" s="50">
        <v>7</v>
      </c>
      <c r="D146" s="60">
        <v>42</v>
      </c>
      <c r="E146" s="51"/>
      <c r="F146" s="51"/>
      <c r="G146" s="51"/>
      <c r="H146" s="51"/>
      <c r="I146" s="57">
        <f t="shared" si="5"/>
        <v>7.5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87</v>
      </c>
      <c r="B147" s="60">
        <v>243</v>
      </c>
      <c r="C147" s="50">
        <v>8</v>
      </c>
      <c r="D147" s="60">
        <v>39</v>
      </c>
      <c r="E147" s="51"/>
      <c r="F147" s="51"/>
      <c r="G147" s="51"/>
      <c r="H147" s="51"/>
      <c r="I147" s="57">
        <f>IF(A147&lt;&gt;0,(B147-(B146-D146))/(A147-A146),"")</f>
        <v>6.4444444444444446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97</v>
      </c>
      <c r="B148" s="60">
        <v>265</v>
      </c>
      <c r="C148" s="50">
        <v>9</v>
      </c>
      <c r="D148" s="60">
        <v>42</v>
      </c>
      <c r="E148" s="51"/>
      <c r="F148" s="51"/>
      <c r="G148" s="51"/>
      <c r="H148" s="51"/>
      <c r="I148" s="57">
        <f t="shared" si="5"/>
        <v>6.1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107</v>
      </c>
      <c r="B149" s="60">
        <v>287</v>
      </c>
      <c r="C149" s="50">
        <v>10</v>
      </c>
      <c r="D149" s="60">
        <v>46</v>
      </c>
      <c r="E149" s="51"/>
      <c r="F149" s="51"/>
      <c r="G149" s="51"/>
      <c r="H149" s="51"/>
      <c r="I149" s="57">
        <f t="shared" si="5"/>
        <v>6.4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117</v>
      </c>
      <c r="B150" s="60">
        <v>309</v>
      </c>
      <c r="C150" s="50">
        <v>11</v>
      </c>
      <c r="D150" s="60">
        <v>45</v>
      </c>
      <c r="E150" s="51"/>
      <c r="F150" s="51"/>
      <c r="G150" s="51"/>
      <c r="H150" s="51"/>
      <c r="I150" s="57">
        <f t="shared" si="5"/>
        <v>6.8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129</v>
      </c>
      <c r="B151" s="60">
        <v>337</v>
      </c>
      <c r="C151" s="50">
        <v>12</v>
      </c>
      <c r="D151" s="60">
        <v>337</v>
      </c>
      <c r="E151" s="51"/>
      <c r="F151" s="51"/>
      <c r="G151" s="51"/>
      <c r="H151" s="51"/>
      <c r="I151" s="57">
        <f t="shared" si="5"/>
        <v>6.083333333333333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Cormier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36</v>
      </c>
      <c r="B166" s="60">
        <v>131</v>
      </c>
      <c r="C166" s="60">
        <v>1</v>
      </c>
      <c r="D166" s="60">
        <v>36</v>
      </c>
      <c r="E166" s="51"/>
      <c r="F166" s="51"/>
      <c r="G166" s="51"/>
      <c r="H166" s="51"/>
      <c r="I166" s="49">
        <f>IFERROR(B166/A166,"")</f>
        <v>3.6388888888888888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42</v>
      </c>
      <c r="B167" s="60">
        <v>148</v>
      </c>
      <c r="C167" s="60">
        <v>2</v>
      </c>
      <c r="D167" s="60">
        <v>41</v>
      </c>
      <c r="E167" s="51"/>
      <c r="F167" s="51"/>
      <c r="G167" s="51"/>
      <c r="H167" s="51"/>
      <c r="I167" s="49">
        <f t="shared" ref="I167:I185" si="6">IF(A167&lt;&gt;0,(B167-(B166-D166))/(A167-A166),"")</f>
        <v>8.8333333333333339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48</v>
      </c>
      <c r="B168" s="60">
        <v>157</v>
      </c>
      <c r="C168" s="60">
        <v>3</v>
      </c>
      <c r="D168" s="60">
        <v>41</v>
      </c>
      <c r="E168" s="51"/>
      <c r="F168" s="51"/>
      <c r="G168" s="51"/>
      <c r="H168" s="51"/>
      <c r="I168" s="49">
        <f t="shared" si="6"/>
        <v>8.3333333333333339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54</v>
      </c>
      <c r="B169" s="60">
        <v>163</v>
      </c>
      <c r="C169" s="60">
        <v>4</v>
      </c>
      <c r="D169" s="60">
        <v>31</v>
      </c>
      <c r="E169" s="51"/>
      <c r="F169" s="51"/>
      <c r="G169" s="51"/>
      <c r="H169" s="51"/>
      <c r="I169" s="49">
        <f t="shared" si="6"/>
        <v>7.833333333333333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62</v>
      </c>
      <c r="B170" s="60">
        <v>193</v>
      </c>
      <c r="C170" s="60">
        <v>5</v>
      </c>
      <c r="D170" s="60">
        <v>39</v>
      </c>
      <c r="E170" s="51"/>
      <c r="F170" s="51"/>
      <c r="G170" s="51"/>
      <c r="H170" s="51"/>
      <c r="I170" s="49">
        <f t="shared" si="6"/>
        <v>7.625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70</v>
      </c>
      <c r="B171" s="60">
        <v>220</v>
      </c>
      <c r="C171" s="60">
        <v>6</v>
      </c>
      <c r="D171" s="60">
        <v>53</v>
      </c>
      <c r="E171" s="51"/>
      <c r="F171" s="51"/>
      <c r="G171" s="51"/>
      <c r="H171" s="51"/>
      <c r="I171" s="49">
        <f t="shared" si="6"/>
        <v>8.25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78</v>
      </c>
      <c r="B172" s="60">
        <v>227</v>
      </c>
      <c r="C172" s="60">
        <v>7</v>
      </c>
      <c r="D172" s="60">
        <v>42</v>
      </c>
      <c r="E172" s="51"/>
      <c r="F172" s="51"/>
      <c r="G172" s="51"/>
      <c r="H172" s="51"/>
      <c r="I172" s="49">
        <f t="shared" si="6"/>
        <v>7.5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87</v>
      </c>
      <c r="B173" s="50">
        <v>243</v>
      </c>
      <c r="C173" s="50">
        <v>8</v>
      </c>
      <c r="D173" s="50">
        <v>39</v>
      </c>
      <c r="E173" s="51"/>
      <c r="F173" s="51"/>
      <c r="G173" s="51"/>
      <c r="H173" s="51"/>
      <c r="I173" s="49">
        <f t="shared" si="6"/>
        <v>6.4444444444444446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97</v>
      </c>
      <c r="B174" s="50">
        <v>265</v>
      </c>
      <c r="C174" s="50">
        <v>9</v>
      </c>
      <c r="D174" s="50">
        <v>42</v>
      </c>
      <c r="E174" s="51"/>
      <c r="F174" s="51"/>
      <c r="G174" s="51"/>
      <c r="H174" s="51"/>
      <c r="I174" s="49">
        <f t="shared" si="6"/>
        <v>6.1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107</v>
      </c>
      <c r="B175" s="50">
        <v>287</v>
      </c>
      <c r="C175" s="50">
        <v>10</v>
      </c>
      <c r="D175" s="50">
        <v>46</v>
      </c>
      <c r="E175" s="51"/>
      <c r="F175" s="51"/>
      <c r="G175" s="51"/>
      <c r="H175" s="51"/>
      <c r="I175" s="49">
        <f t="shared" si="6"/>
        <v>6.4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117</v>
      </c>
      <c r="B176" s="50">
        <v>309</v>
      </c>
      <c r="C176" s="50">
        <v>11</v>
      </c>
      <c r="D176" s="50">
        <v>45</v>
      </c>
      <c r="E176" s="51"/>
      <c r="F176" s="51"/>
      <c r="G176" s="51"/>
      <c r="H176" s="51"/>
      <c r="I176" s="49">
        <f t="shared" si="6"/>
        <v>6.8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129</v>
      </c>
      <c r="B177" s="50">
        <v>337</v>
      </c>
      <c r="C177" s="50">
        <v>12</v>
      </c>
      <c r="D177" s="50">
        <v>337</v>
      </c>
      <c r="E177" s="51"/>
      <c r="F177" s="51"/>
      <c r="G177" s="51"/>
      <c r="H177" s="51"/>
      <c r="I177" s="49">
        <f t="shared" si="6"/>
        <v>6.083333333333333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Charme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36</v>
      </c>
      <c r="B192" s="60">
        <v>131</v>
      </c>
      <c r="C192" s="60">
        <v>1</v>
      </c>
      <c r="D192" s="60">
        <v>36</v>
      </c>
      <c r="E192" s="51"/>
      <c r="F192" s="51"/>
      <c r="G192" s="51"/>
      <c r="H192" s="51"/>
      <c r="I192" s="49">
        <f>IFERROR(B192/A192,"")</f>
        <v>3.6388888888888888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42</v>
      </c>
      <c r="B193" s="60">
        <v>148</v>
      </c>
      <c r="C193" s="60">
        <v>2</v>
      </c>
      <c r="D193" s="60">
        <v>41</v>
      </c>
      <c r="E193" s="51"/>
      <c r="F193" s="51"/>
      <c r="G193" s="51"/>
      <c r="H193" s="51"/>
      <c r="I193" s="49">
        <f t="shared" ref="I193:I211" si="7">IF(A193&lt;&gt;0,(B193-(B192-D192))/(A193-A192),"")</f>
        <v>8.8333333333333339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48</v>
      </c>
      <c r="B194" s="60">
        <v>157</v>
      </c>
      <c r="C194" s="60">
        <v>3</v>
      </c>
      <c r="D194" s="60">
        <v>41</v>
      </c>
      <c r="E194" s="51"/>
      <c r="F194" s="51"/>
      <c r="G194" s="51"/>
      <c r="H194" s="51"/>
      <c r="I194" s="49">
        <f t="shared" si="7"/>
        <v>8.3333333333333339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54</v>
      </c>
      <c r="B195" s="60">
        <v>163</v>
      </c>
      <c r="C195" s="60">
        <v>4</v>
      </c>
      <c r="D195" s="60">
        <v>31</v>
      </c>
      <c r="E195" s="51"/>
      <c r="F195" s="51"/>
      <c r="G195" s="51"/>
      <c r="H195" s="51"/>
      <c r="I195" s="49">
        <f t="shared" si="7"/>
        <v>7.833333333333333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62</v>
      </c>
      <c r="B196" s="60">
        <v>193</v>
      </c>
      <c r="C196" s="60">
        <v>5</v>
      </c>
      <c r="D196" s="60">
        <v>39</v>
      </c>
      <c r="E196" s="51"/>
      <c r="F196" s="51"/>
      <c r="G196" s="51"/>
      <c r="H196" s="51"/>
      <c r="I196" s="49">
        <f t="shared" si="7"/>
        <v>7.625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70</v>
      </c>
      <c r="B197" s="60">
        <v>220</v>
      </c>
      <c r="C197" s="60">
        <v>6</v>
      </c>
      <c r="D197" s="60">
        <v>53</v>
      </c>
      <c r="E197" s="51"/>
      <c r="F197" s="51"/>
      <c r="G197" s="51"/>
      <c r="H197" s="51"/>
      <c r="I197" s="49">
        <f t="shared" si="7"/>
        <v>8.25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78</v>
      </c>
      <c r="B198" s="60">
        <v>227</v>
      </c>
      <c r="C198" s="60">
        <v>7</v>
      </c>
      <c r="D198" s="60">
        <v>42</v>
      </c>
      <c r="E198" s="51"/>
      <c r="F198" s="51"/>
      <c r="G198" s="51"/>
      <c r="H198" s="51"/>
      <c r="I198" s="49">
        <f t="shared" si="7"/>
        <v>7.5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87</v>
      </c>
      <c r="B199" s="50">
        <v>243</v>
      </c>
      <c r="C199" s="50">
        <v>8</v>
      </c>
      <c r="D199" s="50">
        <v>39</v>
      </c>
      <c r="E199" s="51"/>
      <c r="F199" s="51"/>
      <c r="G199" s="51"/>
      <c r="H199" s="51"/>
      <c r="I199" s="49">
        <f t="shared" si="7"/>
        <v>6.4444444444444446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97</v>
      </c>
      <c r="B200" s="50">
        <v>265</v>
      </c>
      <c r="C200" s="50">
        <v>9</v>
      </c>
      <c r="D200" s="50">
        <v>42</v>
      </c>
      <c r="E200" s="51"/>
      <c r="F200" s="51"/>
      <c r="G200" s="51"/>
      <c r="H200" s="51"/>
      <c r="I200" s="49">
        <f t="shared" si="7"/>
        <v>6.1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107</v>
      </c>
      <c r="B201" s="50">
        <v>287</v>
      </c>
      <c r="C201" s="50">
        <v>10</v>
      </c>
      <c r="D201" s="50">
        <v>46</v>
      </c>
      <c r="E201" s="51"/>
      <c r="F201" s="51"/>
      <c r="G201" s="51"/>
      <c r="H201" s="51"/>
      <c r="I201" s="49">
        <f t="shared" si="7"/>
        <v>6.4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117</v>
      </c>
      <c r="B202" s="50">
        <v>309</v>
      </c>
      <c r="C202" s="50">
        <v>11</v>
      </c>
      <c r="D202" s="50">
        <v>45</v>
      </c>
      <c r="E202" s="51"/>
      <c r="F202" s="51"/>
      <c r="G202" s="51"/>
      <c r="H202" s="51"/>
      <c r="I202" s="49">
        <f t="shared" si="7"/>
        <v>6.8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129</v>
      </c>
      <c r="B203" s="50">
        <v>337</v>
      </c>
      <c r="C203" s="50">
        <v>12</v>
      </c>
      <c r="D203" s="50">
        <v>337</v>
      </c>
      <c r="E203" s="51"/>
      <c r="F203" s="51"/>
      <c r="G203" s="51"/>
      <c r="H203" s="51"/>
      <c r="I203" s="49">
        <f t="shared" si="7"/>
        <v>6.083333333333333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Alisier torminal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Charme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549.43232095729741</v>
      </c>
      <c r="T3" s="59">
        <f>IF('Données projet'!E9&gt;30,$R$33-$H$33,LOOKUP('Données projet'!$E$9,$A$3:$A$203,R3:R203)-LOOKUP('Données projet'!$E$9,$A$3:$A$203,$H$3:$H$203))</f>
        <v>280.26155987300996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348.62416478262719</v>
      </c>
      <c r="AO3" s="59">
        <f>IF('Données projet'!E10&gt;30,$AM$33-$H$33,LOOKUP('Données projet'!$E$10,$A$3:$A$203,AM3:AM203)-LOOKUP('Données projet'!$E$10,$A$3:$A$203,$H$3:$H$203))</f>
        <v>371.70674704563288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405.7176439604217</v>
      </c>
      <c r="BJ3" s="59">
        <f>IF('Données projet'!E11&gt;30,$BH$33-$H$33,LOOKUP('Données projet'!$E$11,$A$3:$A$203,BH3:BH203)-LOOKUP('Données projet'!$E$11,$A$3:$A$203,$H$3:$H$203))</f>
        <v>278.21741231699929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321.23599968992932</v>
      </c>
      <c r="CE3" s="59">
        <f>IF('Données projet'!E12&gt;30,$CC$33-$H$33,LOOKUP('Données projet'!$E$12,$A$3:$A$203,CC3:CC203)-LOOKUP('Données projet'!$E$12,$A$3:$A$203,$H$3:$H$203))</f>
        <v>388.05195847800502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399.24912109442175</v>
      </c>
      <c r="CZ3" s="59">
        <f>IF('Données projet'!E13&gt;30,$CX$33-$H$33,LOOKUP('Données projet'!$E$13,$A$3:$A$203,CX3:CX203)-LOOKUP('Données projet'!$E$13,$A$3:$A$203,$H$3:$H$203))</f>
        <v>269.83150082245305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439.66981240211362</v>
      </c>
      <c r="DU3" s="59">
        <f>IF('Données projet'!E14&gt;30,$DS$33-$H$33,LOOKUP('Données projet'!$E$14,$A$3:$A$203,DS3:DS203)-LOOKUP('Données projet'!$E$14,$A$3:$A$203,$H$3:$H$203))</f>
        <v>295.47805371292458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393.46715670823653</v>
      </c>
      <c r="EP3" s="59">
        <f>IF('Données projet'!E15&gt;30,$EN$33-$H$33,LOOKUP('Données projet'!$E$15,$A$3:$A$203,EN3:EN203)-LOOKUP('Données projet'!$E$15,$A$3:$A$203,$H$3:$H$203))</f>
        <v>266.16261355327214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</v>
      </c>
      <c r="N4" s="13">
        <f>IF('Données projet'!$A$36&gt;35,N3+M4-V3,IF(A4&lt;'Données projet'!$A$36,$K$205^A4,IF(A4='Données projet'!$A$36,'Données projet'!$B$36,N3+M4-V3)))</f>
        <v>1.3480061545972777</v>
      </c>
      <c r="O4" s="13">
        <f>N4*VLOOKUP('Données projet'!$B$9,Paramètres!$A$1:$I$89,3,0)*VLOOKUP('Données projet'!$B$9,Paramètres!$A$1:$I$89,5,0)</f>
        <v>0.80610768044917203</v>
      </c>
      <c r="P4" s="13">
        <f>EXP(-1.0587+0.8836*LN(O4)+0.284)</f>
        <v>0.38092631183578585</v>
      </c>
      <c r="Q4" s="20">
        <f t="shared" ref="Q4:Q34" si="2">(O4+P4)*0.475*44/12</f>
        <v>2.0674175365629677</v>
      </c>
      <c r="R4" s="59">
        <f t="shared" si="0"/>
        <v>259.95630642545183</v>
      </c>
      <c r="S4" s="59">
        <f ca="1">AVERAGE(OFFSET($R$3,0,0,'Données projet'!$E$9+1,1))-AVERAGE(OFFSET($H$3,0,0,'Données projet'!$E$9+1,1))</f>
        <v>549.43232095729741</v>
      </c>
      <c r="T4" s="59">
        <f>$T$3</f>
        <v>280.26155987300996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6.9411764705882355</v>
      </c>
      <c r="AI4" s="13">
        <f>IF('Données projet'!$A$62&gt;35,AI3+AH4-AQ3,IF(A4&lt;'Données projet'!$A$62,$AF$205^A4,IF(A4='Données projet'!$A$62,'Données projet'!$B$62,AI3+AH4-AQ3)))</f>
        <v>1.3239616704988877</v>
      </c>
      <c r="AJ4" s="13">
        <f>AI4*VLOOKUP('Données projet'!$B$10,Paramètres!$A$1:$I$89,3,0)*VLOOKUP('Données projet'!$B$10,Paramètres!$A$1:$I$89,5,0)</f>
        <v>0.79172907895833489</v>
      </c>
      <c r="AK4" s="13">
        <f>EXP(-1.0587+0.8836*LN(AJ4)+0.284)</f>
        <v>0.37491631974909195</v>
      </c>
      <c r="AL4" s="20">
        <f t="shared" ref="AL4:AL67" si="4">(AJ4+AK4)*0.475*44/12</f>
        <v>2.031907402748768</v>
      </c>
      <c r="AM4" s="59">
        <f t="shared" ref="AM4:AM67" si="5">AL4+(AD4+AE4)*44/12</f>
        <v>259.9207962916376</v>
      </c>
      <c r="AN4" s="59">
        <f ca="1">AVERAGE(OFFSET($AM$3,0,0,'Données projet'!$E$10+1,1))-AVERAGE(OFFSET($H$3,0,0,'Données projet'!$E$10+1,1))</f>
        <v>348.62416478262719</v>
      </c>
      <c r="AO4" s="59">
        <f>$AO$3</f>
        <v>371.70674704563288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260.72987866106189</v>
      </c>
      <c r="BI4" s="59">
        <f ca="1">AVERAGE(OFFSET($BH$3,0,0,'Données projet'!$E$11+1,1))-AVERAGE(OFFSET($H$3,0,0,'Données projet'!$E$11+1,1))</f>
        <v>405.7176439604217</v>
      </c>
      <c r="BJ4" s="59">
        <f>$BJ$3</f>
        <v>278.21741231699929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5.8</v>
      </c>
      <c r="BY4" s="12">
        <f>IF('Données projet'!$A$114&gt;35,BY3+BX4-CG3,IF(A4&lt;'Données projet'!$A$114,$BV$205^A4,IF(A4='Données projet'!$A$114,'Données projet'!$B$114,BY3+BX4-CG3)))</f>
        <v>1.3467943429205997</v>
      </c>
      <c r="BZ4" s="13">
        <f>BY4*VLOOKUP('Données projet'!$B$12,Paramètres!$A$1:$I$89,3,0)*VLOOKUP('Données projet'!$B$12,Paramètres!$A$1:$I$89,5,0)</f>
        <v>1.1765595379754361</v>
      </c>
      <c r="CA4" s="13">
        <f>EXP(-1.0587+0.8836*LN(BZ4)+0.284)</f>
        <v>0.53204273185561757</v>
      </c>
      <c r="CB4" s="20">
        <f t="shared" ref="CB4:CB67" si="10">(BZ4+CA4)*0.475*44/12</f>
        <v>2.9758156199557515</v>
      </c>
      <c r="CC4" s="59">
        <f t="shared" ref="CC4:CC67" si="11">CB4+(BT4+BU4)*44/12</f>
        <v>260.86470450884462</v>
      </c>
      <c r="CD4" s="59">
        <f ca="1">AVERAGE(OFFSET($CC$3,0,0,'Données projet'!$E$12+1,1))-AVERAGE(OFFSET($H$3,0,0,'Données projet'!$E$12+1,1))</f>
        <v>321.23599968992932</v>
      </c>
      <c r="CE4" s="59">
        <f>$CE$3</f>
        <v>388.05195847800502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3.6388888888888888</v>
      </c>
      <c r="CT4" s="12">
        <f>IF('Données projet'!$A$140&gt;35,CT3+CS4-DB3,IF(A4&lt;'Données projet'!$A$140,$CQ$205^A4,IF(A4='Données projet'!$A$140,'Données projet'!$B$140,CT3+CS4-DB3)))</f>
        <v>3.6388888888888888</v>
      </c>
      <c r="CU4" s="17">
        <f>CT4*VLOOKUP('Données projet'!$B$13,Paramètres!$A$1:$I$89,3,0)*VLOOKUP('Données projet'!$B$13,Paramètres!$A$1:$I$89,5,0)</f>
        <v>3.5195333333333334</v>
      </c>
      <c r="CV4" s="13">
        <f>EXP(-1.0587+0.8836*LN(CU4)+0.284)</f>
        <v>1.4009617691359144</v>
      </c>
      <c r="CW4" s="20">
        <f t="shared" ref="CW4:CW67" si="13">(CU4+CV4)*0.475*44/12</f>
        <v>8.5698623034672732</v>
      </c>
      <c r="CX4" s="59">
        <f t="shared" ref="CX4:CX67" si="14">CW4+(CO4+CP4)*44/12</f>
        <v>266.45875119235615</v>
      </c>
      <c r="CY4" s="59">
        <f ca="1">AVERAGE(OFFSET($CX$3,0,0,'Données projet'!$E$13+1,1))-AVERAGE(OFFSET($H$3,0,0,'Données projet'!$E$13+1,1))</f>
        <v>399.24912109442175</v>
      </c>
      <c r="CZ4" s="59">
        <f>$CZ$3</f>
        <v>269.83150082245305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3.6388888888888888</v>
      </c>
      <c r="DO4" s="12">
        <f>IF('Données projet'!$A$166&gt;35,DO3+DN4-DW3,IF(A4&lt;'Données projet'!$A$166,$DL$205^A4,IF(A4='Données projet'!$A$166,'Données projet'!$B$166,DO3+DN4-DW3)))</f>
        <v>3.6388888888888888</v>
      </c>
      <c r="DP4" s="17">
        <f>DO4*VLOOKUP('Données projet'!$B$14,Paramètres!$A$1:$I$89,3,0)*VLOOKUP('Données projet'!$B$14,Paramètres!$A$1:$I$89,5,0)</f>
        <v>3.9169</v>
      </c>
      <c r="DQ4" s="13">
        <f>EXP(-1.0587+0.8836*LN(DP4)+0.284)</f>
        <v>1.5398415839207755</v>
      </c>
      <c r="DR4" s="20">
        <f t="shared" ref="DR4:DR67" si="16">(DP4+DQ4)*0.475*44/12</f>
        <v>9.5038249253286846</v>
      </c>
      <c r="DS4" s="59">
        <f t="shared" ref="DS4:DS67" si="17">DR4+(DJ4+DK4)*44/12</f>
        <v>267.39271381421753</v>
      </c>
      <c r="DT4" s="59">
        <f ca="1">AVERAGE(OFFSET($DS$3,0,0,'Données projet'!$E$14+1,1))-AVERAGE(OFFSET($H$3,0,0,'Données projet'!$E$14+1,1))</f>
        <v>439.66981240211362</v>
      </c>
      <c r="DU4" s="59">
        <f>$DU$3</f>
        <v>295.47805371292458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3.6388888888888888</v>
      </c>
      <c r="EJ4" s="12">
        <f>IF('Données projet'!$A$192&gt;35,EJ3+EI4-ER3,IF(A4&lt;'Données projet'!$A$192,$EG$205^A4,IF(A4='Données projet'!$A$192,'Données projet'!$B$192,EJ3+EI4-ER3)))</f>
        <v>3.6388888888888888</v>
      </c>
      <c r="EK4" s="17">
        <f>EJ4*VLOOKUP('Données projet'!$B$15,Paramètres!$A$1:$I$89,3,0)*VLOOKUP('Données projet'!$B$15,Paramètres!$A$1:$I$89,5,0)</f>
        <v>3.4627666666666665</v>
      </c>
      <c r="EL4" s="13">
        <f>EXP(-1.0587+0.8836*LN(EK4)+0.284)</f>
        <v>1.3809769486020311</v>
      </c>
      <c r="EM4" s="20">
        <f t="shared" ref="EM4:EM67" si="19">(EK4+EL4)*0.475*44/12</f>
        <v>8.4361867965929829</v>
      </c>
      <c r="EN4" s="59">
        <f t="shared" ref="EN4:EN67" si="20">EM4+(EE4+EF4)*44/12</f>
        <v>266.32507568548186</v>
      </c>
      <c r="EO4" s="59">
        <f ca="1">AVERAGE(OFFSET($EN$3,0,0,'Données projet'!$E$15+1,1))-AVERAGE(OFFSET($H$3,0,0,'Données projet'!$E$15+1,1))</f>
        <v>393.46715670823653</v>
      </c>
      <c r="EP4" s="59">
        <f>$EP$3</f>
        <v>266.16261355327214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</v>
      </c>
      <c r="N5" s="13">
        <f>IF('Données projet'!$A$36&gt;35,N4+M5-V4,IF(A5&lt;'Données projet'!$A$36,$K$205^A5,IF(A5='Données projet'!$A$36,'Données projet'!$B$36,N4+M5-V4)))</f>
        <v>1.8171205928321397</v>
      </c>
      <c r="O5" s="13">
        <f>N5*VLOOKUP('Données projet'!$B$9,Paramètres!$A$1:$I$89,3,0)*VLOOKUP('Données projet'!$B$9,Paramètres!$A$1:$I$89,5,0)</f>
        <v>1.0866381145136197</v>
      </c>
      <c r="P5" s="13">
        <f t="shared" ref="P5:P68" si="33">EXP(-1.0587+0.8836*LN(O5)+0.284)</f>
        <v>0.49594865026181029</v>
      </c>
      <c r="Q5" s="20">
        <f t="shared" si="2"/>
        <v>2.7563386153172069</v>
      </c>
      <c r="R5" s="59">
        <f t="shared" si="0"/>
        <v>261.86744972642833</v>
      </c>
      <c r="S5" s="59">
        <f ca="1">AVERAGE(OFFSET($R$3,0,0,'Données projet'!$E$9+1,1))-AVERAGE(OFFSET($H$3,0,0,'Données projet'!$E$9+1,1))</f>
        <v>549.43232095729741</v>
      </c>
      <c r="T5" s="59">
        <f t="shared" ref="T5:T68" si="34">$T$3</f>
        <v>280.26155987300996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6.9411764705882355</v>
      </c>
      <c r="AI5" s="13">
        <f>IF('Données projet'!$A$62&gt;35,AI4+AH5-AQ4,IF(A5&lt;'Données projet'!$A$62,$AF$205^A5,IF(A5='Données projet'!$A$62,'Données projet'!$B$62,AI4+AH5-AQ4)))</f>
        <v>1.7528745049502052</v>
      </c>
      <c r="AJ5" s="13">
        <f>AI5*VLOOKUP('Données projet'!$B$10,Paramètres!$A$1:$I$89,3,0)*VLOOKUP('Données projet'!$B$10,Paramètres!$A$1:$I$89,5,0)</f>
        <v>1.0482189539602227</v>
      </c>
      <c r="AK5" s="13">
        <f t="shared" ref="AK5:AK68" si="35">EXP(-1.0587+0.8836*LN(AJ5)+0.284)</f>
        <v>0.48042263342477459</v>
      </c>
      <c r="AL5" s="20">
        <f t="shared" si="4"/>
        <v>2.6623840980288702</v>
      </c>
      <c r="AM5" s="59">
        <f t="shared" si="5"/>
        <v>261.77349520914004</v>
      </c>
      <c r="AN5" s="59">
        <f ca="1">AVERAGE(OFFSET($AM$3,0,0,'Données projet'!$E$10+1,1))-AVERAGE(OFFSET($H$3,0,0,'Données projet'!$E$10+1,1))</f>
        <v>348.62416478262719</v>
      </c>
      <c r="AO5" s="59">
        <f t="shared" ref="AO5:AO68" si="36">$AO$3</f>
        <v>371.70674704563288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262.60472488787678</v>
      </c>
      <c r="BI5" s="59">
        <f ca="1">AVERAGE(OFFSET($BH$3,0,0,'Données projet'!$E$11+1,1))-AVERAGE(OFFSET($H$3,0,0,'Données projet'!$E$11+1,1))</f>
        <v>405.7176439604217</v>
      </c>
      <c r="BJ5" s="59">
        <f t="shared" ref="BJ5:BJ68" si="38">$BJ$3</f>
        <v>278.21741231699929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5.8</v>
      </c>
      <c r="BY5" s="12">
        <f>IF('Données projet'!$A$114&gt;35,BY4+BX5-CG4,IF(A5&lt;'Données projet'!$A$114,$BV$205^A5,IF(A5='Données projet'!$A$114,'Données projet'!$B$114,BY4+BX5-CG4)))</f>
        <v>1.81385500212293</v>
      </c>
      <c r="BZ5" s="13">
        <f>BY5*VLOOKUP('Données projet'!$B$12,Paramètres!$A$1:$I$89,3,0)*VLOOKUP('Données projet'!$B$12,Paramètres!$A$1:$I$89,5,0)</f>
        <v>1.5845837298545919</v>
      </c>
      <c r="CA5" s="13">
        <f t="shared" ref="CA5:CA68" si="39">EXP(-1.0587+0.8836*LN(BZ5)+0.284)</f>
        <v>0.69214506839939893</v>
      </c>
      <c r="CB5" s="20">
        <f t="shared" si="10"/>
        <v>3.9653026569590337</v>
      </c>
      <c r="CC5" s="59">
        <f t="shared" si="11"/>
        <v>263.07641376807015</v>
      </c>
      <c r="CD5" s="59">
        <f ca="1">AVERAGE(OFFSET($CC$3,0,0,'Données projet'!$E$12+1,1))-AVERAGE(OFFSET($H$3,0,0,'Données projet'!$E$12+1,1))</f>
        <v>321.23599968992932</v>
      </c>
      <c r="CE5" s="59">
        <f t="shared" ref="CE5:CE68" si="40">$CE$3</f>
        <v>388.05195847800502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3.6388888888888888</v>
      </c>
      <c r="CT5" s="12">
        <f>IF('Données projet'!$A$140&gt;35,CT4+CS5-DB4,IF(A5&lt;'Données projet'!$A$140,$CQ$205^A5,IF(A5='Données projet'!$A$140,'Données projet'!$B$140,CT4+CS5-DB4)))</f>
        <v>7.2777777777777777</v>
      </c>
      <c r="CU5" s="17">
        <f>CT5*VLOOKUP('Données projet'!$B$13,Paramètres!$A$1:$I$89,3,0)*VLOOKUP('Données projet'!$B$13,Paramètres!$A$1:$I$89,5,0)</f>
        <v>7.0390666666666668</v>
      </c>
      <c r="CV5" s="13">
        <f t="shared" ref="CV5:CV68" si="41">EXP(-1.0587+0.8836*LN(CU5)+0.284)</f>
        <v>2.5847371692609897</v>
      </c>
      <c r="CW5" s="20">
        <f t="shared" si="13"/>
        <v>16.761458347574003</v>
      </c>
      <c r="CX5" s="59">
        <f t="shared" si="14"/>
        <v>275.87256945868512</v>
      </c>
      <c r="CY5" s="59">
        <f ca="1">AVERAGE(OFFSET($CX$3,0,0,'Données projet'!$E$13+1,1))-AVERAGE(OFFSET($H$3,0,0,'Données projet'!$E$13+1,1))</f>
        <v>399.24912109442175</v>
      </c>
      <c r="CZ5" s="59">
        <f t="shared" ref="CZ5:CZ68" si="42">$CZ$3</f>
        <v>269.83150082245305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3.6388888888888888</v>
      </c>
      <c r="DO5" s="12">
        <f>IF('Données projet'!$A$166&gt;35,DO4+DN5-DW4,IF(A5&lt;'Données projet'!$A$166,$DL$205^A5,IF(A5='Données projet'!$A$166,'Données projet'!$B$166,DO4+DN5-DW4)))</f>
        <v>7.2777777777777777</v>
      </c>
      <c r="DP5" s="17">
        <f>DO5*VLOOKUP('Données projet'!$B$14,Paramètres!$A$1:$I$89,3,0)*VLOOKUP('Données projet'!$B$14,Paramètres!$A$1:$I$89,5,0)</f>
        <v>7.8338000000000001</v>
      </c>
      <c r="DQ5" s="13">
        <f t="shared" ref="DQ5:DQ68" si="43">EXP(-1.0587+0.8836*LN(DP5)+0.284)</f>
        <v>2.8409667304401771</v>
      </c>
      <c r="DR5" s="20">
        <f t="shared" si="16"/>
        <v>18.591885388849974</v>
      </c>
      <c r="DS5" s="59">
        <f t="shared" si="17"/>
        <v>277.7029964999611</v>
      </c>
      <c r="DT5" s="59">
        <f ca="1">AVERAGE(OFFSET($DS$3,0,0,'Données projet'!$E$14+1,1))-AVERAGE(OFFSET($H$3,0,0,'Données projet'!$E$14+1,1))</f>
        <v>439.66981240211362</v>
      </c>
      <c r="DU5" s="59">
        <f t="shared" ref="DU5:DU68" si="44">$DU$3</f>
        <v>295.47805371292458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3.6388888888888888</v>
      </c>
      <c r="EJ5" s="12">
        <f>IF('Données projet'!$A$192&gt;35,EJ4+EI5-ER4,IF(A5&lt;'Données projet'!$A$192,$EG$205^A5,IF(A5='Données projet'!$A$192,'Données projet'!$B$192,EJ4+EI5-ER4)))</f>
        <v>7.2777777777777777</v>
      </c>
      <c r="EK5" s="17">
        <f>EJ5*VLOOKUP('Données projet'!$B$15,Paramètres!$A$1:$I$89,3,0)*VLOOKUP('Données projet'!$B$15,Paramètres!$A$1:$I$89,5,0)</f>
        <v>6.9255333333333331</v>
      </c>
      <c r="EL5" s="13">
        <f t="shared" ref="EL5:EL68" si="45">EXP(-1.0587+0.8836*LN(EK5)+0.284)</f>
        <v>2.5478657073889086</v>
      </c>
      <c r="EM5" s="20">
        <f t="shared" si="19"/>
        <v>16.499503329257902</v>
      </c>
      <c r="EN5" s="59">
        <f t="shared" si="20"/>
        <v>275.61061444036903</v>
      </c>
      <c r="EO5" s="59">
        <f ca="1">AVERAGE(OFFSET($EN$3,0,0,'Données projet'!$E$15+1,1))-AVERAGE(OFFSET($H$3,0,0,'Données projet'!$E$15+1,1))</f>
        <v>393.46715670823653</v>
      </c>
      <c r="EP5" s="59">
        <f t="shared" ref="EP5:EP68" si="46">$EP$3</f>
        <v>266.16261355327214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</v>
      </c>
      <c r="N6" s="13">
        <f>IF('Données projet'!$A$36&gt;35,N5+M6-V5,IF(A6&lt;'Données projet'!$A$36,$K$205^A6,IF(A6='Données projet'!$A$36,'Données projet'!$B$36,N5+M6-V5)))</f>
        <v>2.4494897427831783</v>
      </c>
      <c r="O6" s="13">
        <f>N6*VLOOKUP('Données projet'!$B$9,Paramètres!$A$1:$I$89,3,0)*VLOOKUP('Données projet'!$B$9,Paramètres!$A$1:$I$89,5,0)</f>
        <v>1.4647948661843406</v>
      </c>
      <c r="P6" s="13">
        <f t="shared" si="33"/>
        <v>0.64570247854798968</v>
      </c>
      <c r="Q6" s="20">
        <f t="shared" si="2"/>
        <v>3.6757828754088084</v>
      </c>
      <c r="R6" s="59">
        <f t="shared" si="0"/>
        <v>264.00911620874211</v>
      </c>
      <c r="S6" s="59">
        <f ca="1">AVERAGE(OFFSET($R$3,0,0,'Données projet'!$E$9+1,1))-AVERAGE(OFFSET($H$3,0,0,'Données projet'!$E$9+1,1))</f>
        <v>549.43232095729741</v>
      </c>
      <c r="T6" s="59">
        <f t="shared" si="34"/>
        <v>280.26155987300996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6.9411764705882355</v>
      </c>
      <c r="AI6" s="13">
        <f>IF('Données projet'!$A$62&gt;35,AI5+AH6-AQ5,IF(A6&lt;'Données projet'!$A$62,$AF$205^A6,IF(A6='Données projet'!$A$62,'Données projet'!$B$62,AI5+AH6-AQ5)))</f>
        <v>2.3207386577487843</v>
      </c>
      <c r="AJ6" s="13">
        <f>AI6*VLOOKUP('Données projet'!$B$10,Paramètres!$A$1:$I$89,3,0)*VLOOKUP('Données projet'!$B$10,Paramètres!$A$1:$I$89,5,0)</f>
        <v>1.3878017173337731</v>
      </c>
      <c r="AK6" s="13">
        <f t="shared" si="35"/>
        <v>0.61561979180116611</v>
      </c>
      <c r="AL6" s="20">
        <f t="shared" si="4"/>
        <v>3.4892924617433518</v>
      </c>
      <c r="AM6" s="59">
        <f t="shared" si="5"/>
        <v>263.82262579507665</v>
      </c>
      <c r="AN6" s="59">
        <f ca="1">AVERAGE(OFFSET($AM$3,0,0,'Données projet'!$E$10+1,1))-AVERAGE(OFFSET($H$3,0,0,'Données projet'!$E$10+1,1))</f>
        <v>348.62416478262719</v>
      </c>
      <c r="AO6" s="59">
        <f t="shared" si="36"/>
        <v>371.70674704563288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264.63006022433916</v>
      </c>
      <c r="BI6" s="59">
        <f ca="1">AVERAGE(OFFSET($BH$3,0,0,'Données projet'!$E$11+1,1))-AVERAGE(OFFSET($H$3,0,0,'Données projet'!$E$11+1,1))</f>
        <v>405.7176439604217</v>
      </c>
      <c r="BJ6" s="59">
        <f t="shared" si="38"/>
        <v>278.21741231699929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5.8</v>
      </c>
      <c r="BY6" s="12">
        <f>IF('Données projet'!$A$114&gt;35,BY5+BX6-CG5,IF(A6&lt;'Données projet'!$A$114,$BV$205^A6,IF(A6='Données projet'!$A$114,'Données projet'!$B$114,BY5+BX6-CG5)))</f>
        <v>2.4428896557373947</v>
      </c>
      <c r="BZ6" s="13">
        <f>BY6*VLOOKUP('Données projet'!$B$12,Paramètres!$A$1:$I$89,3,0)*VLOOKUP('Données projet'!$B$12,Paramètres!$A$1:$I$89,5,0)</f>
        <v>2.1341084032521884</v>
      </c>
      <c r="CA6" s="13">
        <f t="shared" si="39"/>
        <v>0.90042541139273424</v>
      </c>
      <c r="CB6" s="20">
        <f t="shared" si="10"/>
        <v>5.2851463938399075</v>
      </c>
      <c r="CC6" s="59">
        <f t="shared" si="11"/>
        <v>265.61847972717322</v>
      </c>
      <c r="CD6" s="59">
        <f ca="1">AVERAGE(OFFSET($CC$3,0,0,'Données projet'!$E$12+1,1))-AVERAGE(OFFSET($H$3,0,0,'Données projet'!$E$12+1,1))</f>
        <v>321.23599968992932</v>
      </c>
      <c r="CE6" s="59">
        <f t="shared" si="40"/>
        <v>388.05195847800502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3.6388888888888888</v>
      </c>
      <c r="CT6" s="12">
        <f>IF('Données projet'!$A$140&gt;35,CT5+CS6-DB5,IF(A6&lt;'Données projet'!$A$140,$CQ$205^A6,IF(A6='Données projet'!$A$140,'Données projet'!$B$140,CT5+CS6-DB5)))</f>
        <v>10.916666666666666</v>
      </c>
      <c r="CU6" s="17">
        <f>CT6*VLOOKUP('Données projet'!$B$13,Paramètres!$A$1:$I$89,3,0)*VLOOKUP('Données projet'!$B$13,Paramètres!$A$1:$I$89,5,0)</f>
        <v>10.558599999999998</v>
      </c>
      <c r="CV6" s="13">
        <f t="shared" si="41"/>
        <v>3.6983722742692975</v>
      </c>
      <c r="CW6" s="20">
        <f t="shared" si="13"/>
        <v>24.830893377685694</v>
      </c>
      <c r="CX6" s="59">
        <f t="shared" si="14"/>
        <v>285.16422671101901</v>
      </c>
      <c r="CY6" s="59">
        <f ca="1">AVERAGE(OFFSET($CX$3,0,0,'Données projet'!$E$13+1,1))-AVERAGE(OFFSET($H$3,0,0,'Données projet'!$E$13+1,1))</f>
        <v>399.24912109442175</v>
      </c>
      <c r="CZ6" s="59">
        <f t="shared" si="42"/>
        <v>269.83150082245305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3.6388888888888888</v>
      </c>
      <c r="DO6" s="12">
        <f>IF('Données projet'!$A$166&gt;35,DO5+DN6-DW5,IF(A6&lt;'Données projet'!$A$166,$DL$205^A6,IF(A6='Données projet'!$A$166,'Données projet'!$B$166,DO5+DN6-DW5)))</f>
        <v>10.916666666666666</v>
      </c>
      <c r="DP6" s="17">
        <f>DO6*VLOOKUP('Données projet'!$B$14,Paramètres!$A$1:$I$89,3,0)*VLOOKUP('Données projet'!$B$14,Paramètres!$A$1:$I$89,5,0)</f>
        <v>11.750699999999998</v>
      </c>
      <c r="DQ6" s="13">
        <f t="shared" si="43"/>
        <v>4.0649984504944943</v>
      </c>
      <c r="DR6" s="20">
        <f t="shared" si="16"/>
        <v>27.545674801277908</v>
      </c>
      <c r="DS6" s="59">
        <f t="shared" si="17"/>
        <v>287.87900813461124</v>
      </c>
      <c r="DT6" s="59">
        <f ca="1">AVERAGE(OFFSET($DS$3,0,0,'Données projet'!$E$14+1,1))-AVERAGE(OFFSET($H$3,0,0,'Données projet'!$E$14+1,1))</f>
        <v>439.66981240211362</v>
      </c>
      <c r="DU6" s="59">
        <f t="shared" si="44"/>
        <v>295.47805371292458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3.6388888888888888</v>
      </c>
      <c r="EJ6" s="12">
        <f>IF('Données projet'!$A$192&gt;35,EJ5+EI6-ER5,IF(A6&lt;'Données projet'!$A$192,$EG$205^A6,IF(A6='Données projet'!$A$192,'Données projet'!$B$192,EJ5+EI6-ER5)))</f>
        <v>10.916666666666666</v>
      </c>
      <c r="EK6" s="17">
        <f>EJ6*VLOOKUP('Données projet'!$B$15,Paramètres!$A$1:$I$89,3,0)*VLOOKUP('Données projet'!$B$15,Paramètres!$A$1:$I$89,5,0)</f>
        <v>10.388299999999999</v>
      </c>
      <c r="EL6" s="13">
        <f t="shared" si="45"/>
        <v>3.6456147274203583</v>
      </c>
      <c r="EM6" s="20">
        <f t="shared" si="19"/>
        <v>24.442401483590455</v>
      </c>
      <c r="EN6" s="59">
        <f t="shared" si="20"/>
        <v>284.77573481692377</v>
      </c>
      <c r="EO6" s="59">
        <f ca="1">AVERAGE(OFFSET($EN$3,0,0,'Données projet'!$E$15+1,1))-AVERAGE(OFFSET($H$3,0,0,'Données projet'!$E$15+1,1))</f>
        <v>393.46715670823653</v>
      </c>
      <c r="EP6" s="59">
        <f t="shared" si="46"/>
        <v>266.16261355327214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</v>
      </c>
      <c r="N7" s="13">
        <f>IF('Données projet'!$A$36&gt;35,N6+M7-V6,IF(A7&lt;'Données projet'!$A$36,$K$205^A7,IF(A7='Données projet'!$A$36,'Données projet'!$B$36,N6+M7-V6)))</f>
        <v>3.3019272488946267</v>
      </c>
      <c r="O7" s="13">
        <f>N7*VLOOKUP('Données projet'!$B$9,Paramètres!$A$1:$I$89,3,0)*VLOOKUP('Données projet'!$B$9,Paramètres!$A$1:$I$89,5,0)</f>
        <v>1.974552494838987</v>
      </c>
      <c r="P7" s="13">
        <f t="shared" si="33"/>
        <v>0.84067511945625772</v>
      </c>
      <c r="Q7" s="20">
        <f t="shared" si="2"/>
        <v>4.9031880948975504</v>
      </c>
      <c r="R7" s="59">
        <f t="shared" si="0"/>
        <v>266.45874365045307</v>
      </c>
      <c r="S7" s="59">
        <f ca="1">AVERAGE(OFFSET($R$3,0,0,'Données projet'!$E$9+1,1))-AVERAGE(OFFSET($H$3,0,0,'Données projet'!$E$9+1,1))</f>
        <v>549.43232095729741</v>
      </c>
      <c r="T7" s="59">
        <f t="shared" si="34"/>
        <v>280.26155987300996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6.9411764705882355</v>
      </c>
      <c r="AI7" s="13">
        <f>IF('Données projet'!$A$62&gt;35,AI6+AH7-AQ6,IF(A7&lt;'Données projet'!$A$62,$AF$205^A7,IF(A7='Données projet'!$A$62,'Données projet'!$B$62,AI6+AH7-AQ6)))</f>
        <v>3.0725690301044271</v>
      </c>
      <c r="AJ7" s="13">
        <f>AI7*VLOOKUP('Données projet'!$B$10,Paramètres!$A$1:$I$89,3,0)*VLOOKUP('Données projet'!$B$10,Paramètres!$A$1:$I$89,5,0)</f>
        <v>1.8373962800024475</v>
      </c>
      <c r="AK7" s="13">
        <f t="shared" si="35"/>
        <v>0.78886318355909346</v>
      </c>
      <c r="AL7" s="20">
        <f t="shared" si="4"/>
        <v>4.5740685657030165</v>
      </c>
      <c r="AM7" s="59">
        <f t="shared" si="5"/>
        <v>266.12962412125859</v>
      </c>
      <c r="AN7" s="59">
        <f ca="1">AVERAGE(OFFSET($AM$3,0,0,'Données projet'!$E$10+1,1))-AVERAGE(OFFSET($H$3,0,0,'Données projet'!$E$10+1,1))</f>
        <v>348.62416478262719</v>
      </c>
      <c r="AO7" s="59">
        <f t="shared" si="36"/>
        <v>371.70674704563288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266.84071003350698</v>
      </c>
      <c r="BI7" s="59">
        <f ca="1">AVERAGE(OFFSET($BH$3,0,0,'Données projet'!$E$11+1,1))-AVERAGE(OFFSET($H$3,0,0,'Données projet'!$E$11+1,1))</f>
        <v>405.7176439604217</v>
      </c>
      <c r="BJ7" s="59">
        <f t="shared" si="38"/>
        <v>278.21741231699929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5.8</v>
      </c>
      <c r="BY7" s="12">
        <f>IF('Données projet'!$A$114&gt;35,BY6+BX7-CG6,IF(A7&lt;'Données projet'!$A$114,$BV$205^A7,IF(A7='Données projet'!$A$114,'Données projet'!$B$114,BY6+BX7-CG6)))</f>
        <v>3.2900699687263746</v>
      </c>
      <c r="BZ7" s="13">
        <f>BY7*VLOOKUP('Données projet'!$B$12,Paramètres!$A$1:$I$89,3,0)*VLOOKUP('Données projet'!$B$12,Paramètres!$A$1:$I$89,5,0)</f>
        <v>2.874205124679361</v>
      </c>
      <c r="CA7" s="13">
        <f t="shared" si="39"/>
        <v>1.1713814899478936</v>
      </c>
      <c r="CB7" s="20">
        <f t="shared" si="10"/>
        <v>7.0460633538091342</v>
      </c>
      <c r="CC7" s="59">
        <f t="shared" si="11"/>
        <v>268.60161890936467</v>
      </c>
      <c r="CD7" s="59">
        <f ca="1">AVERAGE(OFFSET($CC$3,0,0,'Données projet'!$E$12+1,1))-AVERAGE(OFFSET($H$3,0,0,'Données projet'!$E$12+1,1))</f>
        <v>321.23599968992932</v>
      </c>
      <c r="CE7" s="59">
        <f t="shared" si="40"/>
        <v>388.05195847800502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3.6388888888888888</v>
      </c>
      <c r="CT7" s="12">
        <f>IF('Données projet'!$A$140&gt;35,CT6+CS7-DB6,IF(A7&lt;'Données projet'!$A$140,$CQ$205^A7,IF(A7='Données projet'!$A$140,'Données projet'!$B$140,CT6+CS7-DB6)))</f>
        <v>14.555555555555555</v>
      </c>
      <c r="CU7" s="17">
        <f>CT7*VLOOKUP('Données projet'!$B$13,Paramètres!$A$1:$I$89,3,0)*VLOOKUP('Données projet'!$B$13,Paramètres!$A$1:$I$89,5,0)</f>
        <v>14.078133333333334</v>
      </c>
      <c r="CV7" s="13">
        <f t="shared" si="41"/>
        <v>4.7687712693829907</v>
      </c>
      <c r="CW7" s="20">
        <f t="shared" si="13"/>
        <v>32.825025516397595</v>
      </c>
      <c r="CX7" s="59">
        <f t="shared" si="14"/>
        <v>294.38058107195315</v>
      </c>
      <c r="CY7" s="59">
        <f ca="1">AVERAGE(OFFSET($CX$3,0,0,'Données projet'!$E$13+1,1))-AVERAGE(OFFSET($H$3,0,0,'Données projet'!$E$13+1,1))</f>
        <v>399.24912109442175</v>
      </c>
      <c r="CZ7" s="59">
        <f t="shared" si="42"/>
        <v>269.83150082245305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3.6388888888888888</v>
      </c>
      <c r="DO7" s="12">
        <f>IF('Données projet'!$A$166&gt;35,DO6+DN7-DW6,IF(A7&lt;'Données projet'!$A$166,$DL$205^A7,IF(A7='Données projet'!$A$166,'Données projet'!$B$166,DO6+DN7-DW6)))</f>
        <v>14.555555555555555</v>
      </c>
      <c r="DP7" s="17">
        <f>DO7*VLOOKUP('Données projet'!$B$14,Paramètres!$A$1:$I$89,3,0)*VLOOKUP('Données projet'!$B$14,Paramètres!$A$1:$I$89,5,0)</f>
        <v>15.6676</v>
      </c>
      <c r="DQ7" s="13">
        <f t="shared" si="43"/>
        <v>5.2415079887095715</v>
      </c>
      <c r="DR7" s="20">
        <f t="shared" si="16"/>
        <v>36.416696413669172</v>
      </c>
      <c r="DS7" s="59">
        <f t="shared" si="17"/>
        <v>297.97225196922471</v>
      </c>
      <c r="DT7" s="59">
        <f ca="1">AVERAGE(OFFSET($DS$3,0,0,'Données projet'!$E$14+1,1))-AVERAGE(OFFSET($H$3,0,0,'Données projet'!$E$14+1,1))</f>
        <v>439.66981240211362</v>
      </c>
      <c r="DU7" s="59">
        <f t="shared" si="44"/>
        <v>295.47805371292458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3.6388888888888888</v>
      </c>
      <c r="EJ7" s="12">
        <f>IF('Données projet'!$A$192&gt;35,EJ6+EI7-ER6,IF(A7&lt;'Données projet'!$A$192,$EG$205^A7,IF(A7='Données projet'!$A$192,'Données projet'!$B$192,EJ6+EI7-ER6)))</f>
        <v>14.555555555555555</v>
      </c>
      <c r="EK7" s="17">
        <f>EJ7*VLOOKUP('Données projet'!$B$15,Paramètres!$A$1:$I$89,3,0)*VLOOKUP('Données projet'!$B$15,Paramètres!$A$1:$I$89,5,0)</f>
        <v>13.851066666666666</v>
      </c>
      <c r="EL7" s="13">
        <f t="shared" si="45"/>
        <v>4.7007444037787005</v>
      </c>
      <c r="EM7" s="20">
        <f t="shared" si="19"/>
        <v>32.31107094769235</v>
      </c>
      <c r="EN7" s="59">
        <f t="shared" si="20"/>
        <v>293.86662650324791</v>
      </c>
      <c r="EO7" s="59">
        <f ca="1">AVERAGE(OFFSET($EN$3,0,0,'Données projet'!$E$15+1,1))-AVERAGE(OFFSET($H$3,0,0,'Données projet'!$E$15+1,1))</f>
        <v>393.46715670823653</v>
      </c>
      <c r="EP7" s="59">
        <f t="shared" si="46"/>
        <v>266.16261355327214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</v>
      </c>
      <c r="N8" s="13">
        <f>IF('Données projet'!$A$36&gt;35,N7+M8-V7,IF(A8&lt;'Données projet'!$A$36,$K$205^A8,IF(A8='Données projet'!$A$36,'Données projet'!$B$36,N7+M8-V7)))</f>
        <v>4.4510182535424141</v>
      </c>
      <c r="O8" s="13">
        <f>N8*VLOOKUP('Données projet'!$B$9,Paramètres!$A$1:$I$89,3,0)*VLOOKUP('Données projet'!$B$9,Paramètres!$A$1:$I$89,5,0)</f>
        <v>2.6617089156183638</v>
      </c>
      <c r="P8" s="13">
        <f t="shared" si="33"/>
        <v>1.0945205879680817</v>
      </c>
      <c r="Q8" s="20">
        <f t="shared" si="2"/>
        <v>6.5420997187463925</v>
      </c>
      <c r="R8" s="59">
        <f t="shared" si="0"/>
        <v>269.31987749652416</v>
      </c>
      <c r="S8" s="59">
        <f ca="1">AVERAGE(OFFSET($R$3,0,0,'Données projet'!$E$9+1,1))-AVERAGE(OFFSET($H$3,0,0,'Données projet'!$E$9+1,1))</f>
        <v>549.43232095729741</v>
      </c>
      <c r="T8" s="59">
        <f t="shared" si="34"/>
        <v>280.26155987300996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6.9411764705882355</v>
      </c>
      <c r="AI8" s="13">
        <f>IF('Données projet'!$A$62&gt;35,AI7+AH8-AQ7,IF(A8&lt;'Données projet'!$A$62,$AF$205^A8,IF(A8='Données projet'!$A$62,'Données projet'!$B$62,AI7+AH8-AQ7)))</f>
        <v>4.0679636258202043</v>
      </c>
      <c r="AJ8" s="13">
        <f>AI8*VLOOKUP('Données projet'!$B$10,Paramètres!$A$1:$I$89,3,0)*VLOOKUP('Données projet'!$B$10,Paramètres!$A$1:$I$89,5,0)</f>
        <v>2.4326422482404824</v>
      </c>
      <c r="AK8" s="13">
        <f t="shared" si="35"/>
        <v>1.0108595120931088</v>
      </c>
      <c r="AL8" s="20">
        <f t="shared" si="4"/>
        <v>5.9974322325810041</v>
      </c>
      <c r="AM8" s="59">
        <f t="shared" si="5"/>
        <v>268.77521001035876</v>
      </c>
      <c r="AN8" s="59">
        <f ca="1">AVERAGE(OFFSET($AM$3,0,0,'Données projet'!$E$10+1,1))-AVERAGE(OFFSET($H$3,0,0,'Données projet'!$E$10+1,1))</f>
        <v>348.62416478262719</v>
      </c>
      <c r="AO8" s="59">
        <f t="shared" si="36"/>
        <v>371.70674704563288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269.27958561684324</v>
      </c>
      <c r="BI8" s="59">
        <f ca="1">AVERAGE(OFFSET($BH$3,0,0,'Données projet'!$E$11+1,1))-AVERAGE(OFFSET($H$3,0,0,'Données projet'!$E$11+1,1))</f>
        <v>405.7176439604217</v>
      </c>
      <c r="BJ8" s="59">
        <f t="shared" si="38"/>
        <v>278.21741231699929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5.8</v>
      </c>
      <c r="BY8" s="12">
        <f>IF('Données projet'!$A$114&gt;35,BY7+BX8-CG7,IF(A8&lt;'Données projet'!$A$114,$BV$205^A8,IF(A8='Données projet'!$A$114,'Données projet'!$B$114,BY7+BX8-CG7)))</f>
        <v>4.4310476216936356</v>
      </c>
      <c r="BZ8" s="13">
        <f>BY8*VLOOKUP('Données projet'!$B$12,Paramètres!$A$1:$I$89,3,0)*VLOOKUP('Données projet'!$B$12,Paramètres!$A$1:$I$89,5,0)</f>
        <v>3.8709632023115605</v>
      </c>
      <c r="CA8" s="13">
        <f t="shared" si="39"/>
        <v>1.5238736908481918</v>
      </c>
      <c r="CB8" s="20">
        <f t="shared" si="10"/>
        <v>9.3960075889199022</v>
      </c>
      <c r="CC8" s="59">
        <f t="shared" si="11"/>
        <v>272.1737853666977</v>
      </c>
      <c r="CD8" s="59">
        <f ca="1">AVERAGE(OFFSET($CC$3,0,0,'Données projet'!$E$12+1,1))-AVERAGE(OFFSET($H$3,0,0,'Données projet'!$E$12+1,1))</f>
        <v>321.23599968992932</v>
      </c>
      <c r="CE8" s="59">
        <f t="shared" si="40"/>
        <v>388.05195847800502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3.6388888888888888</v>
      </c>
      <c r="CT8" s="12">
        <f>IF('Données projet'!$A$140&gt;35,CT7+CS8-DB7,IF(A8&lt;'Données projet'!$A$140,$CQ$205^A8,IF(A8='Données projet'!$A$140,'Données projet'!$B$140,CT7+CS8-DB7)))</f>
        <v>18.194444444444443</v>
      </c>
      <c r="CU8" s="17">
        <f>CT8*VLOOKUP('Données projet'!$B$13,Paramètres!$A$1:$I$89,3,0)*VLOOKUP('Données projet'!$B$13,Paramètres!$A$1:$I$89,5,0)</f>
        <v>17.597666666666665</v>
      </c>
      <c r="CV8" s="13">
        <f t="shared" si="41"/>
        <v>5.808128013322257</v>
      </c>
      <c r="CW8" s="20">
        <f t="shared" si="13"/>
        <v>40.765092400980706</v>
      </c>
      <c r="CX8" s="59">
        <f t="shared" si="14"/>
        <v>303.54287017875845</v>
      </c>
      <c r="CY8" s="59">
        <f ca="1">AVERAGE(OFFSET($CX$3,0,0,'Données projet'!$E$13+1,1))-AVERAGE(OFFSET($H$3,0,0,'Données projet'!$E$13+1,1))</f>
        <v>399.24912109442175</v>
      </c>
      <c r="CZ8" s="59">
        <f t="shared" si="42"/>
        <v>269.83150082245305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3.6388888888888888</v>
      </c>
      <c r="DO8" s="12">
        <f>IF('Données projet'!$A$166&gt;35,DO7+DN8-DW7,IF(A8&lt;'Données projet'!$A$166,$DL$205^A8,IF(A8='Données projet'!$A$166,'Données projet'!$B$166,DO7+DN8-DW7)))</f>
        <v>18.194444444444443</v>
      </c>
      <c r="DP8" s="17">
        <f>DO8*VLOOKUP('Données projet'!$B$14,Paramètres!$A$1:$I$89,3,0)*VLOOKUP('Données projet'!$B$14,Paramètres!$A$1:$I$89,5,0)</f>
        <v>19.584499999999998</v>
      </c>
      <c r="DQ8" s="13">
        <f t="shared" si="43"/>
        <v>6.383898002559345</v>
      </c>
      <c r="DR8" s="20">
        <f t="shared" si="16"/>
        <v>45.228293187790854</v>
      </c>
      <c r="DS8" s="59">
        <f t="shared" si="17"/>
        <v>308.0060709655686</v>
      </c>
      <c r="DT8" s="59">
        <f ca="1">AVERAGE(OFFSET($DS$3,0,0,'Données projet'!$E$14+1,1))-AVERAGE(OFFSET($H$3,0,0,'Données projet'!$E$14+1,1))</f>
        <v>439.66981240211362</v>
      </c>
      <c r="DU8" s="59">
        <f t="shared" si="44"/>
        <v>295.47805371292458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3.6388888888888888</v>
      </c>
      <c r="EJ8" s="12">
        <f>IF('Données projet'!$A$192&gt;35,EJ7+EI8-ER7,IF(A8&lt;'Données projet'!$A$192,$EG$205^A8,IF(A8='Données projet'!$A$192,'Données projet'!$B$192,EJ7+EI8-ER7)))</f>
        <v>18.194444444444443</v>
      </c>
      <c r="EK8" s="17">
        <f>EJ8*VLOOKUP('Données projet'!$B$15,Paramètres!$A$1:$I$89,3,0)*VLOOKUP('Données projet'!$B$15,Paramètres!$A$1:$I$89,5,0)</f>
        <v>17.313833333333331</v>
      </c>
      <c r="EL8" s="13">
        <f t="shared" si="45"/>
        <v>5.7252746489112782</v>
      </c>
      <c r="EM8" s="20">
        <f t="shared" si="19"/>
        <v>40.126446402409357</v>
      </c>
      <c r="EN8" s="59">
        <f t="shared" si="20"/>
        <v>302.90422418018716</v>
      </c>
      <c r="EO8" s="59">
        <f ca="1">AVERAGE(OFFSET($EN$3,0,0,'Données projet'!$E$15+1,1))-AVERAGE(OFFSET($H$3,0,0,'Données projet'!$E$15+1,1))</f>
        <v>393.46715670823653</v>
      </c>
      <c r="EP8" s="59">
        <f t="shared" si="46"/>
        <v>266.16261355327214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</v>
      </c>
      <c r="N9" s="13">
        <f>IF('Données projet'!$A$36&gt;35,N8+M9-V8,IF(A9&lt;'Données projet'!$A$36,$K$205^A9,IF(A9='Données projet'!$A$36,'Données projet'!$B$36,N8+M9-V8)))</f>
        <v>6</v>
      </c>
      <c r="O9" s="13">
        <f>N9*VLOOKUP('Données projet'!$B$9,Paramètres!$A$1:$I$89,3,0)*VLOOKUP('Données projet'!$B$9,Paramètres!$A$1:$I$89,5,0)</f>
        <v>3.5880000000000005</v>
      </c>
      <c r="P9" s="13">
        <f t="shared" si="33"/>
        <v>1.4250157876217819</v>
      </c>
      <c r="Q9" s="20">
        <f t="shared" si="2"/>
        <v>8.7310024967746021</v>
      </c>
      <c r="R9" s="59">
        <f t="shared" si="0"/>
        <v>272.73100249677458</v>
      </c>
      <c r="S9" s="59">
        <f ca="1">AVERAGE(OFFSET($R$3,0,0,'Données projet'!$E$9+1,1))-AVERAGE(OFFSET($H$3,0,0,'Données projet'!$E$9+1,1))</f>
        <v>549.43232095729741</v>
      </c>
      <c r="T9" s="59">
        <f t="shared" si="34"/>
        <v>280.26155987300996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6.9411764705882355</v>
      </c>
      <c r="AI9" s="13">
        <f>IF('Données projet'!$A$62&gt;35,AI8+AH9-AQ8,IF(A9&lt;'Données projet'!$A$62,$AF$205^A9,IF(A9='Données projet'!$A$62,'Données projet'!$B$62,AI8+AH9-AQ8)))</f>
        <v>5.38582791756963</v>
      </c>
      <c r="AJ9" s="13">
        <f>AI9*VLOOKUP('Données projet'!$B$10,Paramètres!$A$1:$I$89,3,0)*VLOOKUP('Données projet'!$B$10,Paramètres!$A$1:$I$89,5,0)</f>
        <v>3.2207250947066388</v>
      </c>
      <c r="AK9" s="13">
        <f t="shared" si="35"/>
        <v>1.2953284859599137</v>
      </c>
      <c r="AL9" s="20">
        <f t="shared" si="4"/>
        <v>7.8654599863275783</v>
      </c>
      <c r="AM9" s="59">
        <f t="shared" si="5"/>
        <v>271.86545998632755</v>
      </c>
      <c r="AN9" s="59">
        <f ca="1">AVERAGE(OFFSET($AM$3,0,0,'Données projet'!$E$10+1,1))-AVERAGE(OFFSET($H$3,0,0,'Données projet'!$E$10+1,1))</f>
        <v>348.62416478262719</v>
      </c>
      <c r="AO9" s="59">
        <f t="shared" si="36"/>
        <v>371.70674704563288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271.99956744330279</v>
      </c>
      <c r="BI9" s="59">
        <f ca="1">AVERAGE(OFFSET($BH$3,0,0,'Données projet'!$E$11+1,1))-AVERAGE(OFFSET($H$3,0,0,'Données projet'!$E$11+1,1))</f>
        <v>405.7176439604217</v>
      </c>
      <c r="BJ9" s="59">
        <f t="shared" si="38"/>
        <v>278.21741231699929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5.8</v>
      </c>
      <c r="BY9" s="12">
        <f>IF('Données projet'!$A$114&gt;35,BY8+BX9-CG8,IF(A9&lt;'Données projet'!$A$114,$BV$205^A9,IF(A9='Données projet'!$A$114,'Données projet'!$B$114,BY8+BX9-CG8)))</f>
        <v>5.9677098701087665</v>
      </c>
      <c r="BZ9" s="13">
        <f>BY9*VLOOKUP('Données projet'!$B$12,Paramètres!$A$1:$I$89,3,0)*VLOOKUP('Données projet'!$B$12,Paramètres!$A$1:$I$89,5,0)</f>
        <v>5.2133913425270189</v>
      </c>
      <c r="CA9" s="13">
        <f t="shared" si="39"/>
        <v>1.9824378698032765</v>
      </c>
      <c r="CB9" s="20">
        <f t="shared" si="10"/>
        <v>12.53273587814193</v>
      </c>
      <c r="CC9" s="59">
        <f t="shared" si="11"/>
        <v>276.53273587814192</v>
      </c>
      <c r="CD9" s="59">
        <f ca="1">AVERAGE(OFFSET($CC$3,0,0,'Données projet'!$E$12+1,1))-AVERAGE(OFFSET($H$3,0,0,'Données projet'!$E$12+1,1))</f>
        <v>321.23599968992932</v>
      </c>
      <c r="CE9" s="59">
        <f t="shared" si="40"/>
        <v>388.05195847800502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3.6388888888888888</v>
      </c>
      <c r="CT9" s="12">
        <f>IF('Données projet'!$A$140&gt;35,CT8+CS9-DB8,IF(A9&lt;'Données projet'!$A$140,$CQ$205^A9,IF(A9='Données projet'!$A$140,'Données projet'!$B$140,CT8+CS9-DB8)))</f>
        <v>21.833333333333332</v>
      </c>
      <c r="CU9" s="17">
        <f>CT9*VLOOKUP('Données projet'!$B$13,Paramètres!$A$1:$I$89,3,0)*VLOOKUP('Données projet'!$B$13,Paramètres!$A$1:$I$89,5,0)</f>
        <v>21.117199999999997</v>
      </c>
      <c r="CV9" s="13">
        <f t="shared" si="41"/>
        <v>6.8233983922089125</v>
      </c>
      <c r="CW9" s="20">
        <f t="shared" si="13"/>
        <v>48.663208866430516</v>
      </c>
      <c r="CX9" s="59">
        <f t="shared" si="14"/>
        <v>312.66320886643052</v>
      </c>
      <c r="CY9" s="59">
        <f ca="1">AVERAGE(OFFSET($CX$3,0,0,'Données projet'!$E$13+1,1))-AVERAGE(OFFSET($H$3,0,0,'Données projet'!$E$13+1,1))</f>
        <v>399.24912109442175</v>
      </c>
      <c r="CZ9" s="59">
        <f t="shared" si="42"/>
        <v>269.83150082245305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3.6388888888888888</v>
      </c>
      <c r="DO9" s="12">
        <f>IF('Données projet'!$A$166&gt;35,DO8+DN9-DW8,IF(A9&lt;'Données projet'!$A$166,$DL$205^A9,IF(A9='Données projet'!$A$166,'Données projet'!$B$166,DO8+DN9-DW8)))</f>
        <v>21.833333333333332</v>
      </c>
      <c r="DP9" s="17">
        <f>DO9*VLOOKUP('Données projet'!$B$14,Paramètres!$A$1:$I$89,3,0)*VLOOKUP('Données projet'!$B$14,Paramètres!$A$1:$I$89,5,0)</f>
        <v>23.501399999999997</v>
      </c>
      <c r="DQ9" s="13">
        <f t="shared" si="43"/>
        <v>7.4998139274435207</v>
      </c>
      <c r="DR9" s="20">
        <f t="shared" si="16"/>
        <v>53.993780923630787</v>
      </c>
      <c r="DS9" s="59">
        <f t="shared" si="17"/>
        <v>317.99378092363077</v>
      </c>
      <c r="DT9" s="59">
        <f ca="1">AVERAGE(OFFSET($DS$3,0,0,'Données projet'!$E$14+1,1))-AVERAGE(OFFSET($H$3,0,0,'Données projet'!$E$14+1,1))</f>
        <v>439.66981240211362</v>
      </c>
      <c r="DU9" s="59">
        <f t="shared" si="44"/>
        <v>295.47805371292458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3.6388888888888888</v>
      </c>
      <c r="EJ9" s="12">
        <f>IF('Données projet'!$A$192&gt;35,EJ8+EI9-ER8,IF(A9&lt;'Données projet'!$A$192,$EG$205^A9,IF(A9='Données projet'!$A$192,'Données projet'!$B$192,EJ8+EI9-ER8)))</f>
        <v>21.833333333333332</v>
      </c>
      <c r="EK9" s="17">
        <f>EJ9*VLOOKUP('Données projet'!$B$15,Paramètres!$A$1:$I$89,3,0)*VLOOKUP('Données projet'!$B$15,Paramètres!$A$1:$I$89,5,0)</f>
        <v>20.776599999999998</v>
      </c>
      <c r="EL9" s="13">
        <f t="shared" si="45"/>
        <v>6.7260621227234232</v>
      </c>
      <c r="EM9" s="20">
        <f t="shared" si="19"/>
        <v>47.90046986374329</v>
      </c>
      <c r="EN9" s="59">
        <f t="shared" si="20"/>
        <v>311.9004698637433</v>
      </c>
      <c r="EO9" s="59">
        <f ca="1">AVERAGE(OFFSET($EN$3,0,0,'Données projet'!$E$15+1,1))-AVERAGE(OFFSET($H$3,0,0,'Données projet'!$E$15+1,1))</f>
        <v>393.46715670823653</v>
      </c>
      <c r="EP9" s="59">
        <f t="shared" si="46"/>
        <v>266.16261355327214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</v>
      </c>
      <c r="N10" s="13">
        <f>IF('Données projet'!$A$36&gt;35,N9+M10-V9,IF(A10&lt;'Données projet'!$A$36,$K$205^A10,IF(A10='Données projet'!$A$36,'Données projet'!$B$36,N9+M10-V9)))</f>
        <v>8.0880369275836674</v>
      </c>
      <c r="O10" s="13">
        <f>N10*VLOOKUP('Données projet'!$B$9,Paramètres!$A$1:$I$89,3,0)*VLOOKUP('Données projet'!$B$9,Paramètres!$A$1:$I$89,5,0)</f>
        <v>4.836646082695033</v>
      </c>
      <c r="P10" s="13">
        <f t="shared" si="33"/>
        <v>1.8553054344470195</v>
      </c>
      <c r="Q10" s="20">
        <f t="shared" si="2"/>
        <v>11.65514889235574</v>
      </c>
      <c r="R10" s="59">
        <f t="shared" si="0"/>
        <v>276.87737111457795</v>
      </c>
      <c r="S10" s="59">
        <f ca="1">AVERAGE(OFFSET($R$3,0,0,'Données projet'!$E$9+1,1))-AVERAGE(OFFSET($H$3,0,0,'Données projet'!$E$9+1,1))</f>
        <v>549.43232095729741</v>
      </c>
      <c r="T10" s="59">
        <f t="shared" si="34"/>
        <v>280.26155987300996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6.9411764705882355</v>
      </c>
      <c r="AI10" s="13">
        <f>IF('Données projet'!$A$62&gt;35,AI9+AH10-AQ9,IF(A10&lt;'Données projet'!$A$62,$AF$205^A10,IF(A10='Données projet'!$A$62,'Données projet'!$B$62,AI9+AH10-AQ9)))</f>
        <v>7.130629726765032</v>
      </c>
      <c r="AJ10" s="13">
        <f>AI10*VLOOKUP('Données projet'!$B$10,Paramètres!$A$1:$I$89,3,0)*VLOOKUP('Données projet'!$B$10,Paramètres!$A$1:$I$89,5,0)</f>
        <v>4.26411657660549</v>
      </c>
      <c r="AK10" s="13">
        <f t="shared" si="35"/>
        <v>1.6598507175986843</v>
      </c>
      <c r="AL10" s="20">
        <f t="shared" si="4"/>
        <v>10.317576370738935</v>
      </c>
      <c r="AM10" s="59">
        <f t="shared" si="5"/>
        <v>275.53979859296118</v>
      </c>
      <c r="AN10" s="59">
        <f ca="1">AVERAGE(OFFSET($AM$3,0,0,'Données projet'!$E$10+1,1))-AVERAGE(OFFSET($H$3,0,0,'Données projet'!$E$10+1,1))</f>
        <v>348.62416478262719</v>
      </c>
      <c r="AO10" s="59">
        <f t="shared" si="36"/>
        <v>371.70674704563288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275.06582823164507</v>
      </c>
      <c r="BI10" s="59">
        <f ca="1">AVERAGE(OFFSET($BH$3,0,0,'Données projet'!$E$11+1,1))-AVERAGE(OFFSET($H$3,0,0,'Données projet'!$E$11+1,1))</f>
        <v>405.7176439604217</v>
      </c>
      <c r="BJ10" s="59">
        <f t="shared" si="38"/>
        <v>278.21741231699929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5.8</v>
      </c>
      <c r="BY10" s="12">
        <f>IF('Données projet'!$A$114&gt;35,BY9+BX10-CG9,IF(A10&lt;'Données projet'!$A$114,$BV$205^A10,IF(A10='Données projet'!$A$114,'Données projet'!$B$114,BY9+BX10-CG9)))</f>
        <v>8.0372778932539148</v>
      </c>
      <c r="BZ10" s="13">
        <f>BY10*VLOOKUP('Données projet'!$B$12,Paramètres!$A$1:$I$89,3,0)*VLOOKUP('Données projet'!$B$12,Paramètres!$A$1:$I$89,5,0)</f>
        <v>7.0213659675466209</v>
      </c>
      <c r="CA10" s="13">
        <f t="shared" si="39"/>
        <v>2.5789932139603198</v>
      </c>
      <c r="CB10" s="20">
        <f t="shared" si="10"/>
        <v>16.72062557445792</v>
      </c>
      <c r="CC10" s="59">
        <f t="shared" si="11"/>
        <v>281.94284779668016</v>
      </c>
      <c r="CD10" s="59">
        <f ca="1">AVERAGE(OFFSET($CC$3,0,0,'Données projet'!$E$12+1,1))-AVERAGE(OFFSET($H$3,0,0,'Données projet'!$E$12+1,1))</f>
        <v>321.23599968992932</v>
      </c>
      <c r="CE10" s="59">
        <f t="shared" si="40"/>
        <v>388.05195847800502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3.6388888888888888</v>
      </c>
      <c r="CT10" s="12">
        <f>IF('Données projet'!$A$140&gt;35,CT9+CS10-DB9,IF(A10&lt;'Données projet'!$A$140,$CQ$205^A10,IF(A10='Données projet'!$A$140,'Données projet'!$B$140,CT9+CS10-DB9)))</f>
        <v>25.472222222222221</v>
      </c>
      <c r="CU10" s="17">
        <f>CT10*VLOOKUP('Données projet'!$B$13,Paramètres!$A$1:$I$89,3,0)*VLOOKUP('Données projet'!$B$13,Paramètres!$A$1:$I$89,5,0)</f>
        <v>24.636733333333332</v>
      </c>
      <c r="CV10" s="13">
        <f t="shared" si="41"/>
        <v>7.8190665968724389</v>
      </c>
      <c r="CW10" s="20">
        <f t="shared" si="13"/>
        <v>56.527184878441716</v>
      </c>
      <c r="CX10" s="59">
        <f t="shared" si="14"/>
        <v>321.74940710066392</v>
      </c>
      <c r="CY10" s="59">
        <f ca="1">AVERAGE(OFFSET($CX$3,0,0,'Données projet'!$E$13+1,1))-AVERAGE(OFFSET($H$3,0,0,'Données projet'!$E$13+1,1))</f>
        <v>399.24912109442175</v>
      </c>
      <c r="CZ10" s="59">
        <f t="shared" si="42"/>
        <v>269.83150082245305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3.6388888888888888</v>
      </c>
      <c r="DO10" s="12">
        <f>IF('Données projet'!$A$166&gt;35,DO9+DN10-DW9,IF(A10&lt;'Données projet'!$A$166,$DL$205^A10,IF(A10='Données projet'!$A$166,'Données projet'!$B$166,DO9+DN10-DW9)))</f>
        <v>25.472222222222221</v>
      </c>
      <c r="DP10" s="17">
        <f>DO10*VLOOKUP('Données projet'!$B$14,Paramètres!$A$1:$I$89,3,0)*VLOOKUP('Données projet'!$B$14,Paramètres!$A$1:$I$89,5,0)</f>
        <v>27.418299999999999</v>
      </c>
      <c r="DQ10" s="13">
        <f t="shared" si="43"/>
        <v>8.594184479949222</v>
      </c>
      <c r="DR10" s="20">
        <f t="shared" si="16"/>
        <v>62.721743802578231</v>
      </c>
      <c r="DS10" s="59">
        <f t="shared" si="17"/>
        <v>327.94396602480049</v>
      </c>
      <c r="DT10" s="59">
        <f ca="1">AVERAGE(OFFSET($DS$3,0,0,'Données projet'!$E$14+1,1))-AVERAGE(OFFSET($H$3,0,0,'Données projet'!$E$14+1,1))</f>
        <v>439.66981240211362</v>
      </c>
      <c r="DU10" s="59">
        <f t="shared" si="44"/>
        <v>295.47805371292458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3.6388888888888888</v>
      </c>
      <c r="EJ10" s="12">
        <f>IF('Données projet'!$A$192&gt;35,EJ9+EI10-ER9,IF(A10&lt;'Données projet'!$A$192,$EG$205^A10,IF(A10='Données projet'!$A$192,'Données projet'!$B$192,EJ9+EI10-ER9)))</f>
        <v>25.472222222222221</v>
      </c>
      <c r="EK10" s="17">
        <f>EJ10*VLOOKUP('Données projet'!$B$15,Paramètres!$A$1:$I$89,3,0)*VLOOKUP('Données projet'!$B$15,Paramètres!$A$1:$I$89,5,0)</f>
        <v>24.239366666666665</v>
      </c>
      <c r="EL10" s="13">
        <f t="shared" si="45"/>
        <v>7.7075270487394762</v>
      </c>
      <c r="EM10" s="20">
        <f t="shared" si="19"/>
        <v>55.640839887665692</v>
      </c>
      <c r="EN10" s="59">
        <f t="shared" si="20"/>
        <v>320.86306210988789</v>
      </c>
      <c r="EO10" s="59">
        <f ca="1">AVERAGE(OFFSET($EN$3,0,0,'Données projet'!$E$15+1,1))-AVERAGE(OFFSET($H$3,0,0,'Données projet'!$E$15+1,1))</f>
        <v>393.46715670823653</v>
      </c>
      <c r="EP10" s="59">
        <f t="shared" si="46"/>
        <v>266.16261355327214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</v>
      </c>
      <c r="N11" s="13">
        <f>IF('Données projet'!$A$36&gt;35,N10+M11-V10,IF(A11&lt;'Données projet'!$A$36,$K$205^A11,IF(A11='Données projet'!$A$36,'Données projet'!$B$36,N10+M11-V10)))</f>
        <v>10.902723556992838</v>
      </c>
      <c r="O11" s="13">
        <f>N11*VLOOKUP('Données projet'!$B$9,Paramètres!$A$1:$I$89,3,0)*VLOOKUP('Données projet'!$B$9,Paramètres!$A$1:$I$89,5,0)</f>
        <v>6.5198286870817181</v>
      </c>
      <c r="P11" s="13">
        <f t="shared" si="33"/>
        <v>2.4155228910363733</v>
      </c>
      <c r="Q11" s="20">
        <f t="shared" si="2"/>
        <v>15.562403998555673</v>
      </c>
      <c r="R11" s="59">
        <f t="shared" si="0"/>
        <v>282.00684844300014</v>
      </c>
      <c r="S11" s="59">
        <f ca="1">AVERAGE(OFFSET($R$3,0,0,'Données projet'!$E$9+1,1))-AVERAGE(OFFSET($H$3,0,0,'Données projet'!$E$9+1,1))</f>
        <v>549.43232095729741</v>
      </c>
      <c r="T11" s="59">
        <f t="shared" si="34"/>
        <v>280.26155987300996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6.9411764705882355</v>
      </c>
      <c r="AI11" s="13">
        <f>IF('Données projet'!$A$62&gt;35,AI10+AH11-AQ10,IF(A11&lt;'Données projet'!$A$62,$AF$205^A11,IF(A11='Données projet'!$A$62,'Données projet'!$B$62,AI10+AH11-AQ10)))</f>
        <v>9.4406804447568593</v>
      </c>
      <c r="AJ11" s="13">
        <f>AI11*VLOOKUP('Données projet'!$B$10,Paramètres!$A$1:$I$89,3,0)*VLOOKUP('Données projet'!$B$10,Paramètres!$A$1:$I$89,5,0)</f>
        <v>5.6455269059646023</v>
      </c>
      <c r="AK11" s="13">
        <f t="shared" si="35"/>
        <v>2.1269542317454508</v>
      </c>
      <c r="AL11" s="20">
        <f t="shared" si="4"/>
        <v>13.53707131484501</v>
      </c>
      <c r="AM11" s="59">
        <f t="shared" si="5"/>
        <v>279.98151575928949</v>
      </c>
      <c r="AN11" s="59">
        <f ca="1">AVERAGE(OFFSET($AM$3,0,0,'Données projet'!$E$10+1,1))-AVERAGE(OFFSET($H$3,0,0,'Données projet'!$E$10+1,1))</f>
        <v>348.62416478262719</v>
      </c>
      <c r="AO11" s="59">
        <f t="shared" si="36"/>
        <v>371.70674704563288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278.55869888669031</v>
      </c>
      <c r="BI11" s="59">
        <f ca="1">AVERAGE(OFFSET($BH$3,0,0,'Données projet'!$E$11+1,1))-AVERAGE(OFFSET($H$3,0,0,'Données projet'!$E$11+1,1))</f>
        <v>405.7176439604217</v>
      </c>
      <c r="BJ11" s="59">
        <f t="shared" si="38"/>
        <v>278.21741231699929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5.8</v>
      </c>
      <c r="BY11" s="12">
        <f>IF('Données projet'!$A$114&gt;35,BY10+BX11-CG10,IF(A11&lt;'Données projet'!$A$114,$BV$205^A11,IF(A11='Données projet'!$A$114,'Données projet'!$B$114,BY10+BX11-CG10)))</f>
        <v>10.824560399115168</v>
      </c>
      <c r="BZ11" s="13">
        <f>BY11*VLOOKUP('Données projet'!$B$12,Paramètres!$A$1:$I$89,3,0)*VLOOKUP('Données projet'!$B$12,Paramètres!$A$1:$I$89,5,0)</f>
        <v>9.4563359646670122</v>
      </c>
      <c r="CA11" s="13">
        <f t="shared" si="39"/>
        <v>3.3550640345230081</v>
      </c>
      <c r="CB11" s="20">
        <f t="shared" si="10"/>
        <v>22.313188331922618</v>
      </c>
      <c r="CC11" s="59">
        <f t="shared" si="11"/>
        <v>288.75763277636707</v>
      </c>
      <c r="CD11" s="59">
        <f ca="1">AVERAGE(OFFSET($CC$3,0,0,'Données projet'!$E$12+1,1))-AVERAGE(OFFSET($H$3,0,0,'Données projet'!$E$12+1,1))</f>
        <v>321.23599968992932</v>
      </c>
      <c r="CE11" s="59">
        <f t="shared" si="40"/>
        <v>388.05195847800502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3.6388888888888888</v>
      </c>
      <c r="CT11" s="12">
        <f>IF('Données projet'!$A$140&gt;35,CT10+CS11-DB10,IF(A11&lt;'Données projet'!$A$140,$CQ$205^A11,IF(A11='Données projet'!$A$140,'Données projet'!$B$140,CT10+CS11-DB10)))</f>
        <v>29.111111111111111</v>
      </c>
      <c r="CU11" s="17">
        <f>CT11*VLOOKUP('Données projet'!$B$13,Paramètres!$A$1:$I$89,3,0)*VLOOKUP('Données projet'!$B$13,Paramètres!$A$1:$I$89,5,0)</f>
        <v>28.156266666666667</v>
      </c>
      <c r="CV11" s="13">
        <f t="shared" si="41"/>
        <v>8.7982560432613166</v>
      </c>
      <c r="CW11" s="20">
        <f t="shared" si="13"/>
        <v>64.362460386457897</v>
      </c>
      <c r="CX11" s="59">
        <f t="shared" si="14"/>
        <v>330.80690483090234</v>
      </c>
      <c r="CY11" s="59">
        <f ca="1">AVERAGE(OFFSET($CX$3,0,0,'Données projet'!$E$13+1,1))-AVERAGE(OFFSET($H$3,0,0,'Données projet'!$E$13+1,1))</f>
        <v>399.24912109442175</v>
      </c>
      <c r="CZ11" s="59">
        <f t="shared" si="42"/>
        <v>269.83150082245305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3.6388888888888888</v>
      </c>
      <c r="DO11" s="12">
        <f>IF('Données projet'!$A$166&gt;35,DO10+DN11-DW10,IF(A11&lt;'Données projet'!$A$166,$DL$205^A11,IF(A11='Données projet'!$A$166,'Données projet'!$B$166,DO10+DN11-DW10)))</f>
        <v>29.111111111111111</v>
      </c>
      <c r="DP11" s="17">
        <f>DO11*VLOOKUP('Données projet'!$B$14,Paramètres!$A$1:$I$89,3,0)*VLOOKUP('Données projet'!$B$14,Paramètres!$A$1:$I$89,5,0)</f>
        <v>31.3352</v>
      </c>
      <c r="DQ11" s="13">
        <f t="shared" si="43"/>
        <v>9.6704427057650033</v>
      </c>
      <c r="DR11" s="20">
        <f t="shared" si="16"/>
        <v>71.418161045874058</v>
      </c>
      <c r="DS11" s="59">
        <f t="shared" si="17"/>
        <v>337.86260549031851</v>
      </c>
      <c r="DT11" s="59">
        <f ca="1">AVERAGE(OFFSET($DS$3,0,0,'Données projet'!$E$14+1,1))-AVERAGE(OFFSET($H$3,0,0,'Données projet'!$E$14+1,1))</f>
        <v>439.66981240211362</v>
      </c>
      <c r="DU11" s="59">
        <f t="shared" si="44"/>
        <v>295.47805371292458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3.6388888888888888</v>
      </c>
      <c r="EJ11" s="12">
        <f>IF('Données projet'!$A$192&gt;35,EJ10+EI11-ER10,IF(A11&lt;'Données projet'!$A$192,$EG$205^A11,IF(A11='Données projet'!$A$192,'Données projet'!$B$192,EJ10+EI11-ER10)))</f>
        <v>29.111111111111111</v>
      </c>
      <c r="EK11" s="17">
        <f>EJ11*VLOOKUP('Données projet'!$B$15,Paramètres!$A$1:$I$89,3,0)*VLOOKUP('Données projet'!$B$15,Paramètres!$A$1:$I$89,5,0)</f>
        <v>27.702133333333332</v>
      </c>
      <c r="EL11" s="13">
        <f t="shared" si="45"/>
        <v>8.6727482871544677</v>
      </c>
      <c r="EM11" s="20">
        <f t="shared" si="19"/>
        <v>63.352918822349579</v>
      </c>
      <c r="EN11" s="59">
        <f t="shared" si="20"/>
        <v>329.79736326679404</v>
      </c>
      <c r="EO11" s="59">
        <f ca="1">AVERAGE(OFFSET($EN$3,0,0,'Données projet'!$E$15+1,1))-AVERAGE(OFFSET($H$3,0,0,'Données projet'!$E$15+1,1))</f>
        <v>393.46715670823653</v>
      </c>
      <c r="EP11" s="59">
        <f t="shared" si="46"/>
        <v>266.16261355327214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</v>
      </c>
      <c r="N12" s="13">
        <f>IF('Données projet'!$A$36&gt;35,N11+M12-V11,IF(A12&lt;'Données projet'!$A$36,$K$205^A12,IF(A12='Données projet'!$A$36,'Données projet'!$B$36,N11+M12-V11)))</f>
        <v>14.696938456699069</v>
      </c>
      <c r="O12" s="13">
        <f>N12*VLOOKUP('Données projet'!$B$9,Paramètres!$A$1:$I$89,3,0)*VLOOKUP('Données projet'!$B$9,Paramètres!$A$1:$I$89,5,0)</f>
        <v>8.7887691971060438</v>
      </c>
      <c r="P12" s="13">
        <f t="shared" si="33"/>
        <v>3.1449004184369191</v>
      </c>
      <c r="Q12" s="20">
        <f t="shared" si="2"/>
        <v>20.784474580403991</v>
      </c>
      <c r="R12" s="59">
        <f t="shared" si="0"/>
        <v>288.45114124707067</v>
      </c>
      <c r="S12" s="59">
        <f ca="1">AVERAGE(OFFSET($R$3,0,0,'Données projet'!$E$9+1,1))-AVERAGE(OFFSET($H$3,0,0,'Données projet'!$E$9+1,1))</f>
        <v>549.43232095729741</v>
      </c>
      <c r="T12" s="59">
        <f t="shared" si="34"/>
        <v>280.26155987300996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6.9411764705882355</v>
      </c>
      <c r="AI12" s="13">
        <f>IF('Données projet'!$A$62&gt;35,AI11+AH12-AQ11,IF(A12&lt;'Données projet'!$A$62,$AF$205^A12,IF(A12='Données projet'!$A$62,'Données projet'!$B$62,AI11+AH12-AQ11)))</f>
        <v>12.499099052286473</v>
      </c>
      <c r="AJ12" s="13">
        <f>AI12*VLOOKUP('Données projet'!$B$10,Paramètres!$A$1:$I$89,3,0)*VLOOKUP('Données projet'!$B$10,Paramètres!$A$1:$I$89,5,0)</f>
        <v>7.474461233267311</v>
      </c>
      <c r="AK12" s="13">
        <f t="shared" si="35"/>
        <v>2.7255067314033421</v>
      </c>
      <c r="AL12" s="20">
        <f t="shared" si="4"/>
        <v>17.764944205134721</v>
      </c>
      <c r="AM12" s="59">
        <f t="shared" si="5"/>
        <v>285.43161087180141</v>
      </c>
      <c r="AN12" s="59">
        <f ca="1">AVERAGE(OFFSET($AM$3,0,0,'Données projet'!$E$10+1,1))-AVERAGE(OFFSET($H$3,0,0,'Données projet'!$E$10+1,1))</f>
        <v>348.62416478262719</v>
      </c>
      <c r="AO12" s="59">
        <f t="shared" si="36"/>
        <v>371.70674704563288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282.5772044671009</v>
      </c>
      <c r="BI12" s="59">
        <f ca="1">AVERAGE(OFFSET($BH$3,0,0,'Données projet'!$E$11+1,1))-AVERAGE(OFFSET($H$3,0,0,'Données projet'!$E$11+1,1))</f>
        <v>405.7176439604217</v>
      </c>
      <c r="BJ12" s="59">
        <f t="shared" si="38"/>
        <v>278.21741231699929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5.8</v>
      </c>
      <c r="BY12" s="12">
        <f>IF('Données projet'!$A$114&gt;35,BY11+BX12-CG11,IF(A12&lt;'Données projet'!$A$114,$BV$205^A12,IF(A12='Données projet'!$A$114,'Données projet'!$B$114,BY11+BX12-CG11)))</f>
        <v>14.578456710130657</v>
      </c>
      <c r="BZ12" s="13">
        <f>BY12*VLOOKUP('Données projet'!$B$12,Paramètres!$A$1:$I$89,3,0)*VLOOKUP('Données projet'!$B$12,Paramètres!$A$1:$I$89,5,0)</f>
        <v>12.735739781970144</v>
      </c>
      <c r="CA12" s="13">
        <f t="shared" si="39"/>
        <v>4.364670141362768</v>
      </c>
      <c r="CB12" s="20">
        <f t="shared" si="10"/>
        <v>29.783213949804821</v>
      </c>
      <c r="CC12" s="59">
        <f t="shared" si="11"/>
        <v>297.44988061647149</v>
      </c>
      <c r="CD12" s="59">
        <f ca="1">AVERAGE(OFFSET($CC$3,0,0,'Données projet'!$E$12+1,1))-AVERAGE(OFFSET($H$3,0,0,'Données projet'!$E$12+1,1))</f>
        <v>321.23599968992932</v>
      </c>
      <c r="CE12" s="59">
        <f t="shared" si="40"/>
        <v>388.05195847800502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3.6388888888888888</v>
      </c>
      <c r="CT12" s="12">
        <f>IF('Données projet'!$A$140&gt;35,CT11+CS12-DB11,IF(A12&lt;'Données projet'!$A$140,$CQ$205^A12,IF(A12='Données projet'!$A$140,'Données projet'!$B$140,CT11+CS12-DB11)))</f>
        <v>32.75</v>
      </c>
      <c r="CU12" s="17">
        <f>CT12*VLOOKUP('Données projet'!$B$13,Paramètres!$A$1:$I$89,3,0)*VLOOKUP('Données projet'!$B$13,Paramètres!$A$1:$I$89,5,0)</f>
        <v>31.675800000000002</v>
      </c>
      <c r="CV12" s="13">
        <f t="shared" si="41"/>
        <v>9.763262481830715</v>
      </c>
      <c r="CW12" s="20">
        <f t="shared" si="13"/>
        <v>72.17303382252183</v>
      </c>
      <c r="CX12" s="59">
        <f t="shared" si="14"/>
        <v>339.83970048918854</v>
      </c>
      <c r="CY12" s="59">
        <f ca="1">AVERAGE(OFFSET($CX$3,0,0,'Données projet'!$E$13+1,1))-AVERAGE(OFFSET($H$3,0,0,'Données projet'!$E$13+1,1))</f>
        <v>399.24912109442175</v>
      </c>
      <c r="CZ12" s="59">
        <f t="shared" si="42"/>
        <v>269.83150082245305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3.6388888888888888</v>
      </c>
      <c r="DO12" s="12">
        <f>IF('Données projet'!$A$166&gt;35,DO11+DN12-DW11,IF(A12&lt;'Données projet'!$A$166,$DL$205^A12,IF(A12='Données projet'!$A$166,'Données projet'!$B$166,DO11+DN12-DW11)))</f>
        <v>32.75</v>
      </c>
      <c r="DP12" s="17">
        <f>DO12*VLOOKUP('Données projet'!$B$14,Paramètres!$A$1:$I$89,3,0)*VLOOKUP('Données projet'!$B$14,Paramètres!$A$1:$I$89,5,0)</f>
        <v>35.252099999999999</v>
      </c>
      <c r="DQ12" s="13">
        <f t="shared" si="43"/>
        <v>10.731111937143785</v>
      </c>
      <c r="DR12" s="20">
        <f t="shared" si="16"/>
        <v>80.087427457192092</v>
      </c>
      <c r="DS12" s="59">
        <f t="shared" si="17"/>
        <v>347.75409412385875</v>
      </c>
      <c r="DT12" s="59">
        <f ca="1">AVERAGE(OFFSET($DS$3,0,0,'Données projet'!$E$14+1,1))-AVERAGE(OFFSET($H$3,0,0,'Données projet'!$E$14+1,1))</f>
        <v>439.66981240211362</v>
      </c>
      <c r="DU12" s="59">
        <f t="shared" si="44"/>
        <v>295.47805371292458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3.6388888888888888</v>
      </c>
      <c r="EJ12" s="12">
        <f>IF('Données projet'!$A$192&gt;35,EJ11+EI12-ER11,IF(A12&lt;'Données projet'!$A$192,$EG$205^A12,IF(A12='Données projet'!$A$192,'Données projet'!$B$192,EJ11+EI12-ER11)))</f>
        <v>32.75</v>
      </c>
      <c r="EK12" s="17">
        <f>EJ12*VLOOKUP('Données projet'!$B$15,Paramètres!$A$1:$I$89,3,0)*VLOOKUP('Données projet'!$B$15,Paramètres!$A$1:$I$89,5,0)</f>
        <v>31.164899999999999</v>
      </c>
      <c r="EL12" s="13">
        <f t="shared" si="45"/>
        <v>9.6239888393779811</v>
      </c>
      <c r="EM12" s="20">
        <f t="shared" si="19"/>
        <v>71.040648061916642</v>
      </c>
      <c r="EN12" s="59">
        <f t="shared" si="20"/>
        <v>338.70731472858336</v>
      </c>
      <c r="EO12" s="59">
        <f ca="1">AVERAGE(OFFSET($EN$3,0,0,'Données projet'!$E$15+1,1))-AVERAGE(OFFSET($H$3,0,0,'Données projet'!$E$15+1,1))</f>
        <v>393.46715670823653</v>
      </c>
      <c r="EP12" s="59">
        <f t="shared" si="46"/>
        <v>266.16261355327214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</v>
      </c>
      <c r="N13" s="13">
        <f>IF('Données projet'!$A$36&gt;35,N12+M13-V12,IF(A13&lt;'Données projet'!$A$36,$K$205^A13,IF(A13='Données projet'!$A$36,'Données projet'!$B$36,N12+M13-V12)))</f>
        <v>19.81156349336776</v>
      </c>
      <c r="O13" s="13">
        <f>N13*VLOOKUP('Données projet'!$B$9,Paramètres!$A$1:$I$89,3,0)*VLOOKUP('Données projet'!$B$9,Paramètres!$A$1:$I$89,5,0)</f>
        <v>11.847314969033921</v>
      </c>
      <c r="P13" s="13">
        <f t="shared" si="33"/>
        <v>4.094516627677768</v>
      </c>
      <c r="Q13" s="20">
        <f t="shared" si="2"/>
        <v>27.76535669760619</v>
      </c>
      <c r="R13" s="59">
        <f t="shared" si="0"/>
        <v>296.65424558649505</v>
      </c>
      <c r="S13" s="59">
        <f ca="1">AVERAGE(OFFSET($R$3,0,0,'Données projet'!$E$9+1,1))-AVERAGE(OFFSET($H$3,0,0,'Données projet'!$E$9+1,1))</f>
        <v>549.43232095729741</v>
      </c>
      <c r="T13" s="59">
        <f t="shared" si="34"/>
        <v>280.26155987300996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6.9411764705882355</v>
      </c>
      <c r="AI13" s="13">
        <f>IF('Données projet'!$A$62&gt;35,AI12+AH13-AQ12,IF(A13&lt;'Données projet'!$A$62,$AF$205^A13,IF(A13='Données projet'!$A$62,'Données projet'!$B$62,AI12+AH13-AQ12)))</f>
        <v>16.548328060996262</v>
      </c>
      <c r="AJ13" s="13">
        <f>AI13*VLOOKUP('Données projet'!$B$10,Paramètres!$A$1:$I$89,3,0)*VLOOKUP('Données projet'!$B$10,Paramètres!$A$1:$I$89,5,0)</f>
        <v>9.8959001804757651</v>
      </c>
      <c r="AK13" s="13">
        <f t="shared" si="35"/>
        <v>3.4924996655094662</v>
      </c>
      <c r="AL13" s="20">
        <f t="shared" si="4"/>
        <v>23.318129731757608</v>
      </c>
      <c r="AM13" s="59">
        <f t="shared" si="5"/>
        <v>292.20701862064647</v>
      </c>
      <c r="AN13" s="59">
        <f ca="1">AVERAGE(OFFSET($AM$3,0,0,'Données projet'!$E$10+1,1))-AVERAGE(OFFSET($H$3,0,0,'Données projet'!$E$10+1,1))</f>
        <v>348.62416478262719</v>
      </c>
      <c r="AO13" s="59">
        <f t="shared" si="36"/>
        <v>371.70674704563288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287.2434272262301</v>
      </c>
      <c r="BI13" s="59">
        <f ca="1">AVERAGE(OFFSET($BH$3,0,0,'Données projet'!$E$11+1,1))-AVERAGE(OFFSET($H$3,0,0,'Données projet'!$E$11+1,1))</f>
        <v>405.7176439604217</v>
      </c>
      <c r="BJ13" s="59">
        <f t="shared" si="38"/>
        <v>278.21741231699929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5.8</v>
      </c>
      <c r="BY13" s="12">
        <f>IF('Données projet'!$A$114&gt;35,BY12+BX13-CG12,IF(A13&lt;'Données projet'!$A$114,$BV$205^A13,IF(A13='Données projet'!$A$114,'Données projet'!$B$114,BY12+BX13-CG12)))</f>
        <v>19.634183025716826</v>
      </c>
      <c r="BZ13" s="13">
        <f>BY13*VLOOKUP('Données projet'!$B$12,Paramètres!$A$1:$I$89,3,0)*VLOOKUP('Données projet'!$B$12,Paramètres!$A$1:$I$89,5,0)</f>
        <v>17.152422291266223</v>
      </c>
      <c r="CA13" s="13">
        <f t="shared" si="39"/>
        <v>5.678086989362658</v>
      </c>
      <c r="CB13" s="20">
        <f t="shared" si="10"/>
        <v>39.763136997095295</v>
      </c>
      <c r="CC13" s="59">
        <f t="shared" si="11"/>
        <v>308.65202588598413</v>
      </c>
      <c r="CD13" s="59">
        <f ca="1">AVERAGE(OFFSET($CC$3,0,0,'Données projet'!$E$12+1,1))-AVERAGE(OFFSET($H$3,0,0,'Données projet'!$E$12+1,1))</f>
        <v>321.23599968992932</v>
      </c>
      <c r="CE13" s="59">
        <f t="shared" si="40"/>
        <v>388.05195847800502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3.6388888888888888</v>
      </c>
      <c r="CT13" s="12">
        <f>IF('Données projet'!$A$140&gt;35,CT12+CS13-DB12,IF(A13&lt;'Données projet'!$A$140,$CQ$205^A13,IF(A13='Données projet'!$A$140,'Données projet'!$B$140,CT12+CS13-DB12)))</f>
        <v>36.388888888888886</v>
      </c>
      <c r="CU13" s="17">
        <f>CT13*VLOOKUP('Données projet'!$B$13,Paramètres!$A$1:$I$89,3,0)*VLOOKUP('Données projet'!$B$13,Paramètres!$A$1:$I$89,5,0)</f>
        <v>35.19533333333333</v>
      </c>
      <c r="CV13" s="13">
        <f t="shared" si="41"/>
        <v>10.715841567268056</v>
      </c>
      <c r="CW13" s="20">
        <f t="shared" si="13"/>
        <v>79.96196295188075</v>
      </c>
      <c r="CX13" s="59">
        <f t="shared" si="14"/>
        <v>348.85085184076962</v>
      </c>
      <c r="CY13" s="59">
        <f ca="1">AVERAGE(OFFSET($CX$3,0,0,'Données projet'!$E$13+1,1))-AVERAGE(OFFSET($H$3,0,0,'Données projet'!$E$13+1,1))</f>
        <v>399.24912109442175</v>
      </c>
      <c r="CZ13" s="59">
        <f t="shared" si="42"/>
        <v>269.83150082245305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3.6388888888888888</v>
      </c>
      <c r="DO13" s="12">
        <f>IF('Données projet'!$A$166&gt;35,DO12+DN13-DW12,IF(A13&lt;'Données projet'!$A$166,$DL$205^A13,IF(A13='Données projet'!$A$166,'Données projet'!$B$166,DO12+DN13-DW12)))</f>
        <v>36.388888888888886</v>
      </c>
      <c r="DP13" s="17">
        <f>DO13*VLOOKUP('Données projet'!$B$14,Paramètres!$A$1:$I$89,3,0)*VLOOKUP('Données projet'!$B$14,Paramètres!$A$1:$I$89,5,0)</f>
        <v>39.168999999999997</v>
      </c>
      <c r="DQ13" s="13">
        <f t="shared" si="43"/>
        <v>11.778121869923281</v>
      </c>
      <c r="DR13" s="20">
        <f t="shared" si="16"/>
        <v>88.732903923449712</v>
      </c>
      <c r="DS13" s="59">
        <f t="shared" si="17"/>
        <v>357.62179281233858</v>
      </c>
      <c r="DT13" s="59">
        <f ca="1">AVERAGE(OFFSET($DS$3,0,0,'Données projet'!$E$14+1,1))-AVERAGE(OFFSET($H$3,0,0,'Données projet'!$E$14+1,1))</f>
        <v>439.66981240211362</v>
      </c>
      <c r="DU13" s="59">
        <f t="shared" si="44"/>
        <v>295.47805371292458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3.6388888888888888</v>
      </c>
      <c r="EJ13" s="12">
        <f>IF('Données projet'!$A$192&gt;35,EJ12+EI13-ER12,IF(A13&lt;'Données projet'!$A$192,$EG$205^A13,IF(A13='Données projet'!$A$192,'Données projet'!$B$192,EJ12+EI13-ER12)))</f>
        <v>36.388888888888886</v>
      </c>
      <c r="EK13" s="17">
        <f>EJ13*VLOOKUP('Données projet'!$B$15,Paramètres!$A$1:$I$89,3,0)*VLOOKUP('Données projet'!$B$15,Paramètres!$A$1:$I$89,5,0)</f>
        <v>34.627666666666663</v>
      </c>
      <c r="EL13" s="13">
        <f t="shared" si="45"/>
        <v>10.562979315556888</v>
      </c>
      <c r="EM13" s="20">
        <f t="shared" si="19"/>
        <v>78.707041752372689</v>
      </c>
      <c r="EN13" s="59">
        <f t="shared" si="20"/>
        <v>347.59593064126153</v>
      </c>
      <c r="EO13" s="59">
        <f ca="1">AVERAGE(OFFSET($EN$3,0,0,'Données projet'!$E$15+1,1))-AVERAGE(OFFSET($H$3,0,0,'Données projet'!$E$15+1,1))</f>
        <v>393.46715670823653</v>
      </c>
      <c r="EP13" s="59">
        <f t="shared" si="46"/>
        <v>266.16261355327214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</v>
      </c>
      <c r="N14" s="13">
        <f>IF('Données projet'!$A$36&gt;35,N13+M14-V13,IF(A14&lt;'Données projet'!$A$36,$K$205^A14,IF(A14='Données projet'!$A$36,'Données projet'!$B$36,N13+M14-V13)))</f>
        <v>26.706109521254486</v>
      </c>
      <c r="O14" s="13">
        <f>N14*VLOOKUP('Données projet'!$B$9,Paramètres!$A$1:$I$89,3,0)*VLOOKUP('Données projet'!$B$9,Paramètres!$A$1:$I$89,5,0)</f>
        <v>15.970253493710185</v>
      </c>
      <c r="P14" s="13">
        <f t="shared" si="33"/>
        <v>5.3308735361046251</v>
      </c>
      <c r="Q14" s="20">
        <f t="shared" si="2"/>
        <v>37.09946291026079</v>
      </c>
      <c r="R14" s="59">
        <f t="shared" si="0"/>
        <v>307.21057402137194</v>
      </c>
      <c r="S14" s="59">
        <f ca="1">AVERAGE(OFFSET($R$3,0,0,'Données projet'!$E$9+1,1))-AVERAGE(OFFSET($H$3,0,0,'Données projet'!$E$9+1,1))</f>
        <v>549.43232095729741</v>
      </c>
      <c r="T14" s="59">
        <f t="shared" si="34"/>
        <v>280.26155987300996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6.9411764705882355</v>
      </c>
      <c r="AI14" s="13">
        <f>IF('Données projet'!$A$62&gt;35,AI13+AH14-AQ13,IF(A14&lt;'Données projet'!$A$62,$AF$205^A14,IF(A14='Données projet'!$A$62,'Données projet'!$B$62,AI13+AH14-AQ13)))</f>
        <v>21.909352063600231</v>
      </c>
      <c r="AJ14" s="13">
        <f>AI14*VLOOKUP('Données projet'!$B$10,Paramètres!$A$1:$I$89,3,0)*VLOOKUP('Données projet'!$B$10,Paramètres!$A$1:$I$89,5,0)</f>
        <v>13.101792534032938</v>
      </c>
      <c r="AK14" s="13">
        <f t="shared" si="35"/>
        <v>4.4753343563761101</v>
      </c>
      <c r="AL14" s="20">
        <f t="shared" si="4"/>
        <v>30.613496000795752</v>
      </c>
      <c r="AM14" s="59">
        <f t="shared" si="5"/>
        <v>300.72460711190689</v>
      </c>
      <c r="AN14" s="59">
        <f ca="1">AVERAGE(OFFSET($AM$3,0,0,'Données projet'!$E$10+1,1))-AVERAGE(OFFSET($H$3,0,0,'Données projet'!$E$10+1,1))</f>
        <v>348.62416478262719</v>
      </c>
      <c r="AO14" s="59">
        <f t="shared" si="36"/>
        <v>371.70674704563288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292.70789065900522</v>
      </c>
      <c r="BI14" s="59">
        <f ca="1">AVERAGE(OFFSET($BH$3,0,0,'Données projet'!$E$11+1,1))-AVERAGE(OFFSET($H$3,0,0,'Données projet'!$E$11+1,1))</f>
        <v>405.7176439604217</v>
      </c>
      <c r="BJ14" s="59">
        <f t="shared" si="38"/>
        <v>278.21741231699929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</v>
      </c>
      <c r="BY14" s="12">
        <f>IF('Données projet'!$A$114&gt;35,BY13+BX14-CG13,IF(A14&lt;'Données projet'!$A$114,$BV$205^A14,IF(A14='Données projet'!$A$114,'Données projet'!$B$114,BY13+BX14-CG13)))</f>
        <v>26.443206626903088</v>
      </c>
      <c r="BZ14" s="13">
        <f>BY14*VLOOKUP('Données projet'!$B$12,Paramètres!$A$1:$I$89,3,0)*VLOOKUP('Données projet'!$B$12,Paramètres!$A$1:$I$89,5,0)</f>
        <v>23.100785309262541</v>
      </c>
      <c r="CA14" s="13">
        <f t="shared" si="39"/>
        <v>7.3867373282653306</v>
      </c>
      <c r="CB14" s="20">
        <f t="shared" si="10"/>
        <v>53.099101927027704</v>
      </c>
      <c r="CC14" s="59">
        <f t="shared" si="11"/>
        <v>323.21021303813882</v>
      </c>
      <c r="CD14" s="59">
        <f ca="1">AVERAGE(OFFSET($CC$3,0,0,'Données projet'!$E$12+1,1))-AVERAGE(OFFSET($H$3,0,0,'Données projet'!$E$12+1,1))</f>
        <v>321.23599968992932</v>
      </c>
      <c r="CE14" s="59">
        <f t="shared" si="40"/>
        <v>388.05195847800502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3.6388888888888888</v>
      </c>
      <c r="CT14" s="12">
        <f>IF('Données projet'!$A$140&gt;35,CT13+CS14-DB13,IF(A14&lt;'Données projet'!$A$140,$CQ$205^A14,IF(A14='Données projet'!$A$140,'Données projet'!$B$140,CT13+CS14-DB13)))</f>
        <v>40.027777777777771</v>
      </c>
      <c r="CU14" s="17">
        <f>CT14*VLOOKUP('Données projet'!$B$13,Paramètres!$A$1:$I$89,3,0)*VLOOKUP('Données projet'!$B$13,Paramètres!$A$1:$I$89,5,0)</f>
        <v>38.714866666666659</v>
      </c>
      <c r="CV14" s="13">
        <f t="shared" si="41"/>
        <v>11.65737750431437</v>
      </c>
      <c r="CW14" s="20">
        <f t="shared" si="13"/>
        <v>87.731658597791963</v>
      </c>
      <c r="CX14" s="59">
        <f t="shared" si="14"/>
        <v>357.84276970890312</v>
      </c>
      <c r="CY14" s="59">
        <f ca="1">AVERAGE(OFFSET($CX$3,0,0,'Données projet'!$E$13+1,1))-AVERAGE(OFFSET($H$3,0,0,'Données projet'!$E$13+1,1))</f>
        <v>399.24912109442175</v>
      </c>
      <c r="CZ14" s="59">
        <f t="shared" si="42"/>
        <v>269.83150082245305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3.6388888888888888</v>
      </c>
      <c r="DO14" s="12">
        <f>IF('Données projet'!$A$166&gt;35,DO13+DN14-DW13,IF(A14&lt;'Données projet'!$A$166,$DL$205^A14,IF(A14='Données projet'!$A$166,'Données projet'!$B$166,DO13+DN14-DW13)))</f>
        <v>40.027777777777771</v>
      </c>
      <c r="DP14" s="17">
        <f>DO14*VLOOKUP('Données projet'!$B$14,Paramètres!$A$1:$I$89,3,0)*VLOOKUP('Données projet'!$B$14,Paramètres!$A$1:$I$89,5,0)</f>
        <v>43.085899999999995</v>
      </c>
      <c r="DQ14" s="13">
        <f t="shared" si="43"/>
        <v>12.81299392750552</v>
      </c>
      <c r="DR14" s="20">
        <f t="shared" si="16"/>
        <v>97.357240257072093</v>
      </c>
      <c r="DS14" s="59">
        <f t="shared" si="17"/>
        <v>367.46835136818322</v>
      </c>
      <c r="DT14" s="59">
        <f ca="1">AVERAGE(OFFSET($DS$3,0,0,'Données projet'!$E$14+1,1))-AVERAGE(OFFSET($H$3,0,0,'Données projet'!$E$14+1,1))</f>
        <v>439.66981240211362</v>
      </c>
      <c r="DU14" s="59">
        <f t="shared" si="44"/>
        <v>295.47805371292458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3.6388888888888888</v>
      </c>
      <c r="EJ14" s="12">
        <f>IF('Données projet'!$A$192&gt;35,EJ13+EI14-ER13,IF(A14&lt;'Données projet'!$A$192,$EG$205^A14,IF(A14='Données projet'!$A$192,'Données projet'!$B$192,EJ13+EI14-ER13)))</f>
        <v>40.027777777777771</v>
      </c>
      <c r="EK14" s="17">
        <f>EJ14*VLOOKUP('Données projet'!$B$15,Paramètres!$A$1:$I$89,3,0)*VLOOKUP('Données projet'!$B$15,Paramètres!$A$1:$I$89,5,0)</f>
        <v>38.09043333333333</v>
      </c>
      <c r="EL14" s="13">
        <f t="shared" si="45"/>
        <v>11.491084174651897</v>
      </c>
      <c r="EM14" s="20">
        <f t="shared" si="19"/>
        <v>86.354476326407607</v>
      </c>
      <c r="EN14" s="59">
        <f t="shared" si="20"/>
        <v>356.46558743751876</v>
      </c>
      <c r="EO14" s="59">
        <f ca="1">AVERAGE(OFFSET($EN$3,0,0,'Données projet'!$E$15+1,1))-AVERAGE(OFFSET($H$3,0,0,'Données projet'!$E$15+1,1))</f>
        <v>393.46715670823653</v>
      </c>
      <c r="EP14" s="59">
        <f t="shared" si="46"/>
        <v>266.16261355327214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36</v>
      </c>
      <c r="L15" s="12">
        <f>VLOOKUP(A15,'Données projet'!$A$35:$I$55,9,0)</f>
        <v>3</v>
      </c>
      <c r="M15" s="12">
        <f t="array" ref="M15">INDEX(L:L,MIN(IF(ISNUMBER(L15:L211),ROW(L15:L211),"")))</f>
        <v>3</v>
      </c>
      <c r="N15" s="13">
        <f>IF('Données projet'!$A$36&gt;35,N14+M15-V14,IF(A15&lt;'Données projet'!$A$36,$K$205^A15,IF(A15='Données projet'!$A$36,'Données projet'!$B$36,N14+M15-V14)))</f>
        <v>36</v>
      </c>
      <c r="O15" s="13">
        <f>N15*VLOOKUP('Données projet'!$B$9,Paramètres!$A$1:$I$89,3,0)*VLOOKUP('Données projet'!$B$9,Paramètres!$A$1:$I$89,5,0)</f>
        <v>21.528000000000002</v>
      </c>
      <c r="P15" s="13">
        <f t="shared" si="33"/>
        <v>6.9405537312613621</v>
      </c>
      <c r="Q15" s="20">
        <f t="shared" si="2"/>
        <v>49.582731081946882</v>
      </c>
      <c r="R15" s="59">
        <f t="shared" si="0"/>
        <v>320.91606441528018</v>
      </c>
      <c r="S15" s="59">
        <f ca="1">AVERAGE(OFFSET($R$3,0,0,'Données projet'!$E$9+1,1))-AVERAGE(OFFSET($H$3,0,0,'Données projet'!$E$9+1,1))</f>
        <v>549.43232095729741</v>
      </c>
      <c r="T15" s="59">
        <f t="shared" si="34"/>
        <v>280.26155987300996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9.0000000000000011E-2</v>
      </c>
      <c r="X15" s="16">
        <f>IF(ISNA(VLOOKUP(A15,'Données projet'!$A$35:$I$55,6,0)),0%,VLOOKUP(A15,'Données projet'!$A$35:$I$55,6,0)*VLOOKUP('Données projet'!$B$9,Paramètres!$A$1:$I$89,7,0))</f>
        <v>9.0000000000000011E-2</v>
      </c>
      <c r="Y15" s="16">
        <f>IF(ISNA(VLOOKUP(A15,'Données projet'!$A$35:$I$55,7,0)),0%,VLOOKUP(A15,'Données projet'!$A$35:$I$55,7,0))</f>
        <v>0.6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6.9411764705882355</v>
      </c>
      <c r="AI15" s="13">
        <f>IF('Données projet'!$A$62&gt;35,AI14+AH15-AQ14,IF(A15&lt;'Données projet'!$A$62,$AF$205^A15,IF(A15='Données projet'!$A$62,'Données projet'!$B$62,AI14+AH15-AQ14)))</f>
        <v>29.007142357672414</v>
      </c>
      <c r="AJ15" s="13">
        <f>AI15*VLOOKUP('Données projet'!$B$10,Paramètres!$A$1:$I$89,3,0)*VLOOKUP('Données projet'!$B$10,Paramètres!$A$1:$I$89,5,0)</f>
        <v>17.346271129888105</v>
      </c>
      <c r="AK15" s="13">
        <f t="shared" si="35"/>
        <v>5.7347514730366376</v>
      </c>
      <c r="AL15" s="20">
        <f t="shared" si="4"/>
        <v>40.19944770009392</v>
      </c>
      <c r="AM15" s="59">
        <f t="shared" si="5"/>
        <v>311.53278103342723</v>
      </c>
      <c r="AN15" s="59">
        <f ca="1">AVERAGE(OFFSET($AM$3,0,0,'Données projet'!$E$10+1,1))-AVERAGE(OFFSET($H$3,0,0,'Données projet'!$E$10+1,1))</f>
        <v>348.62416478262719</v>
      </c>
      <c r="AO15" s="59">
        <f t="shared" si="36"/>
        <v>371.70674704563288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299.15620406350808</v>
      </c>
      <c r="BI15" s="59">
        <f ca="1">AVERAGE(OFFSET($BH$3,0,0,'Données projet'!$E$11+1,1))-AVERAGE(OFFSET($H$3,0,0,'Données projet'!$E$11+1,1))</f>
        <v>405.7176439604217</v>
      </c>
      <c r="BJ15" s="59">
        <f t="shared" si="38"/>
        <v>278.21741231699929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</v>
      </c>
      <c r="BY15" s="12">
        <f>IF('Données projet'!$A$114&gt;35,BY14+BX15-CG14,IF(A15&lt;'Données projet'!$A$114,$BV$205^A15,IF(A15='Données projet'!$A$114,'Données projet'!$B$114,BY14+BX15-CG14)))</f>
        <v>35.613561093793592</v>
      </c>
      <c r="BZ15" s="13">
        <f>BY15*VLOOKUP('Données projet'!$B$12,Paramètres!$A$1:$I$89,3,0)*VLOOKUP('Données projet'!$B$12,Paramètres!$A$1:$I$89,5,0)</f>
        <v>31.112006971538086</v>
      </c>
      <c r="CA15" s="13">
        <f t="shared" si="39"/>
        <v>9.6095548481396289</v>
      </c>
      <c r="CB15" s="20">
        <f t="shared" si="10"/>
        <v>70.9233868359387</v>
      </c>
      <c r="CC15" s="59">
        <f t="shared" si="11"/>
        <v>342.256720169272</v>
      </c>
      <c r="CD15" s="59">
        <f ca="1">AVERAGE(OFFSET($CC$3,0,0,'Données projet'!$E$12+1,1))-AVERAGE(OFFSET($H$3,0,0,'Données projet'!$E$12+1,1))</f>
        <v>321.23599968992932</v>
      </c>
      <c r="CE15" s="59">
        <f t="shared" si="40"/>
        <v>388.05195847800502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3.6388888888888888</v>
      </c>
      <c r="CT15" s="12">
        <f>IF('Données projet'!$A$140&gt;35,CT14+CS15-DB14,IF(A15&lt;'Données projet'!$A$140,$CQ$205^A15,IF(A15='Données projet'!$A$140,'Données projet'!$B$140,CT14+CS15-DB14)))</f>
        <v>43.666666666666657</v>
      </c>
      <c r="CU15" s="17">
        <f>CT15*VLOOKUP('Données projet'!$B$13,Paramètres!$A$1:$I$89,3,0)*VLOOKUP('Données projet'!$B$13,Paramètres!$A$1:$I$89,5,0)</f>
        <v>42.234399999999994</v>
      </c>
      <c r="CV15" s="13">
        <f t="shared" si="41"/>
        <v>12.588988388952265</v>
      </c>
      <c r="CW15" s="20">
        <f t="shared" si="13"/>
        <v>95.484068110758514</v>
      </c>
      <c r="CX15" s="59">
        <f t="shared" si="14"/>
        <v>366.81740144409184</v>
      </c>
      <c r="CY15" s="59">
        <f ca="1">AVERAGE(OFFSET($CX$3,0,0,'Données projet'!$E$13+1,1))-AVERAGE(OFFSET($H$3,0,0,'Données projet'!$E$13+1,1))</f>
        <v>399.24912109442175</v>
      </c>
      <c r="CZ15" s="59">
        <f t="shared" si="42"/>
        <v>269.83150082245305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3.6388888888888888</v>
      </c>
      <c r="DO15" s="12">
        <f>IF('Données projet'!$A$166&gt;35,DO14+DN15-DW14,IF(A15&lt;'Données projet'!$A$166,$DL$205^A15,IF(A15='Données projet'!$A$166,'Données projet'!$B$166,DO14+DN15-DW14)))</f>
        <v>43.666666666666657</v>
      </c>
      <c r="DP15" s="17">
        <f>DO15*VLOOKUP('Données projet'!$B$14,Paramètres!$A$1:$I$89,3,0)*VLOOKUP('Données projet'!$B$14,Paramètres!$A$1:$I$89,5,0)</f>
        <v>47.002799999999986</v>
      </c>
      <c r="DQ15" s="13">
        <f t="shared" si="43"/>
        <v>13.83695704470281</v>
      </c>
      <c r="DR15" s="20">
        <f t="shared" si="16"/>
        <v>105.96257685285735</v>
      </c>
      <c r="DS15" s="59">
        <f t="shared" si="17"/>
        <v>377.29591018619067</v>
      </c>
      <c r="DT15" s="59">
        <f ca="1">AVERAGE(OFFSET($DS$3,0,0,'Données projet'!$E$14+1,1))-AVERAGE(OFFSET($H$3,0,0,'Données projet'!$E$14+1,1))</f>
        <v>439.66981240211362</v>
      </c>
      <c r="DU15" s="59">
        <f t="shared" si="44"/>
        <v>295.47805371292458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3.6388888888888888</v>
      </c>
      <c r="EJ15" s="12">
        <f>IF('Données projet'!$A$192&gt;35,EJ14+EI15-ER14,IF(A15&lt;'Données projet'!$A$192,$EG$205^A15,IF(A15='Données projet'!$A$192,'Données projet'!$B$192,EJ14+EI15-ER14)))</f>
        <v>43.666666666666657</v>
      </c>
      <c r="EK15" s="17">
        <f>EJ15*VLOOKUP('Données projet'!$B$15,Paramètres!$A$1:$I$89,3,0)*VLOOKUP('Données projet'!$B$15,Paramètres!$A$1:$I$89,5,0)</f>
        <v>41.55319999999999</v>
      </c>
      <c r="EL15" s="13">
        <f t="shared" si="45"/>
        <v>12.409405562925881</v>
      </c>
      <c r="EM15" s="20">
        <f t="shared" si="19"/>
        <v>93.98487135542922</v>
      </c>
      <c r="EN15" s="59">
        <f t="shared" si="20"/>
        <v>365.31820468876253</v>
      </c>
      <c r="EO15" s="59">
        <f ca="1">AVERAGE(OFFSET($EN$3,0,0,'Données projet'!$E$15+1,1))-AVERAGE(OFFSET($H$3,0,0,'Données projet'!$E$15+1,1))</f>
        <v>393.46715670823653</v>
      </c>
      <c r="EP15" s="59">
        <f t="shared" si="46"/>
        <v>266.16261355327214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11.25</v>
      </c>
      <c r="N16" s="13">
        <f>IF('Données projet'!$A$36&gt;35,N15+M16-V15,IF(A16&lt;'Données projet'!$A$36,$K$205^A16,IF(A16='Données projet'!$A$36,'Données projet'!$B$36,N15+M16-V15)))</f>
        <v>47.25</v>
      </c>
      <c r="O16" s="13">
        <f>N16*VLOOKUP('Données projet'!$B$9,Paramètres!$A$1:$I$89,3,0)*VLOOKUP('Données projet'!$B$9,Paramètres!$A$1:$I$89,5,0)</f>
        <v>28.255500000000001</v>
      </c>
      <c r="P16" s="13">
        <f t="shared" si="33"/>
        <v>8.8256494369710552</v>
      </c>
      <c r="Q16" s="20">
        <f t="shared" si="2"/>
        <v>64.583001936057926</v>
      </c>
      <c r="R16" s="59">
        <f t="shared" si="0"/>
        <v>337.13855749161348</v>
      </c>
      <c r="S16" s="59">
        <f ca="1">AVERAGE(OFFSET($R$3,0,0,'Données projet'!$E$9+1,1))-AVERAGE(OFFSET($H$3,0,0,'Données projet'!$E$9+1,1))</f>
        <v>549.43232095729741</v>
      </c>
      <c r="T16" s="59">
        <f t="shared" si="34"/>
        <v>280.26155987300996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6.9411764705882355</v>
      </c>
      <c r="AI16" s="13">
        <f>IF('Données projet'!$A$62&gt;35,AI15+AH16-AQ15,IF(A16&lt;'Données projet'!$A$62,$AF$205^A16,IF(A16='Données projet'!$A$62,'Données projet'!$B$62,AI15+AH16-AQ15)))</f>
        <v>38.404344652263013</v>
      </c>
      <c r="AJ16" s="13">
        <f>AI16*VLOOKUP('Données projet'!$B$10,Paramètres!$A$1:$I$89,3,0)*VLOOKUP('Données projet'!$B$10,Paramètres!$A$1:$I$89,5,0)</f>
        <v>22.965798102053284</v>
      </c>
      <c r="AK16" s="13">
        <f t="shared" si="35"/>
        <v>7.3485848963755025</v>
      </c>
      <c r="AL16" s="20">
        <f t="shared" si="4"/>
        <v>52.797550388930141</v>
      </c>
      <c r="AM16" s="59">
        <f t="shared" si="5"/>
        <v>325.35310594448566</v>
      </c>
      <c r="AN16" s="59">
        <f ca="1">AVERAGE(OFFSET($AM$3,0,0,'Données projet'!$E$10+1,1))-AVERAGE(OFFSET($H$3,0,0,'Données projet'!$E$10+1,1))</f>
        <v>348.62416478262719</v>
      </c>
      <c r="AO16" s="59">
        <f t="shared" si="36"/>
        <v>371.70674704563288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306.81726343399242</v>
      </c>
      <c r="BI16" s="59">
        <f ca="1">AVERAGE(OFFSET($BH$3,0,0,'Données projet'!$E$11+1,1))-AVERAGE(OFFSET($H$3,0,0,'Données projet'!$E$11+1,1))</f>
        <v>405.7176439604217</v>
      </c>
      <c r="BJ16" s="59">
        <f t="shared" si="38"/>
        <v>278.21741231699929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</v>
      </c>
      <c r="BY16" s="12">
        <f>IF('Données projet'!$A$114&gt;35,BY15+BX16-CG15,IF(A16&lt;'Données projet'!$A$114,$BV$205^A16,IF(A16='Données projet'!$A$114,'Données projet'!$B$114,BY15+BX16-CG15)))</f>
        <v>47.964142612378375</v>
      </c>
      <c r="BZ16" s="13">
        <f>BY16*VLOOKUP('Données projet'!$B$12,Paramètres!$A$1:$I$89,3,0)*VLOOKUP('Données projet'!$B$12,Paramètres!$A$1:$I$89,5,0)</f>
        <v>41.901474986173753</v>
      </c>
      <c r="CA16" s="13">
        <f t="shared" si="39"/>
        <v>12.501262773491545</v>
      </c>
      <c r="CB16" s="20">
        <f t="shared" si="10"/>
        <v>94.751434931417066</v>
      </c>
      <c r="CC16" s="59">
        <f t="shared" si="11"/>
        <v>367.30699048697261</v>
      </c>
      <c r="CD16" s="59">
        <f ca="1">AVERAGE(OFFSET($CC$3,0,0,'Données projet'!$E$12+1,1))-AVERAGE(OFFSET($H$3,0,0,'Données projet'!$E$12+1,1))</f>
        <v>321.23599968992932</v>
      </c>
      <c r="CE16" s="59">
        <f t="shared" si="40"/>
        <v>388.05195847800502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3.6388888888888888</v>
      </c>
      <c r="CT16" s="12">
        <f>IF('Données projet'!$A$140&gt;35,CT15+CS16-DB15,IF(A16&lt;'Données projet'!$A$140,$CQ$205^A16,IF(A16='Données projet'!$A$140,'Données projet'!$B$140,CT15+CS16-DB15)))</f>
        <v>47.305555555555543</v>
      </c>
      <c r="CU16" s="17">
        <f>CT16*VLOOKUP('Données projet'!$B$13,Paramètres!$A$1:$I$89,3,0)*VLOOKUP('Données projet'!$B$13,Paramètres!$A$1:$I$89,5,0)</f>
        <v>45.753933333333322</v>
      </c>
      <c r="CV16" s="13">
        <f t="shared" si="41"/>
        <v>13.511595341408801</v>
      </c>
      <c r="CW16" s="20">
        <f t="shared" si="13"/>
        <v>103.22079577517586</v>
      </c>
      <c r="CX16" s="59">
        <f t="shared" si="14"/>
        <v>375.77635133073142</v>
      </c>
      <c r="CY16" s="59">
        <f ca="1">AVERAGE(OFFSET($CX$3,0,0,'Données projet'!$E$13+1,1))-AVERAGE(OFFSET($H$3,0,0,'Données projet'!$E$13+1,1))</f>
        <v>399.24912109442175</v>
      </c>
      <c r="CZ16" s="59">
        <f t="shared" si="42"/>
        <v>269.83150082245305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3.6388888888888888</v>
      </c>
      <c r="DO16" s="12">
        <f>IF('Données projet'!$A$166&gt;35,DO15+DN16-DW15,IF(A16&lt;'Données projet'!$A$166,$DL$205^A16,IF(A16='Données projet'!$A$166,'Données projet'!$B$166,DO15+DN16-DW15)))</f>
        <v>47.305555555555543</v>
      </c>
      <c r="DP16" s="17">
        <f>DO16*VLOOKUP('Données projet'!$B$14,Paramètres!$A$1:$I$89,3,0)*VLOOKUP('Données projet'!$B$14,Paramètres!$A$1:$I$89,5,0)</f>
        <v>50.919699999999978</v>
      </c>
      <c r="DQ16" s="13">
        <f t="shared" si="43"/>
        <v>14.851023654017377</v>
      </c>
      <c r="DR16" s="20">
        <f t="shared" si="16"/>
        <v>114.5506770307469</v>
      </c>
      <c r="DS16" s="59">
        <f t="shared" si="17"/>
        <v>387.10623258630244</v>
      </c>
      <c r="DT16" s="59">
        <f ca="1">AVERAGE(OFFSET($DS$3,0,0,'Données projet'!$E$14+1,1))-AVERAGE(OFFSET($H$3,0,0,'Données projet'!$E$14+1,1))</f>
        <v>439.66981240211362</v>
      </c>
      <c r="DU16" s="59">
        <f t="shared" si="44"/>
        <v>295.47805371292458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3.6388888888888888</v>
      </c>
      <c r="EJ16" s="12">
        <f>IF('Données projet'!$A$192&gt;35,EJ15+EI16-ER15,IF(A16&lt;'Données projet'!$A$192,$EG$205^A16,IF(A16='Données projet'!$A$192,'Données projet'!$B$192,EJ15+EI16-ER15)))</f>
        <v>47.305555555555543</v>
      </c>
      <c r="EK16" s="17">
        <f>EJ16*VLOOKUP('Données projet'!$B$15,Paramètres!$A$1:$I$89,3,0)*VLOOKUP('Données projet'!$B$15,Paramètres!$A$1:$I$89,5,0)</f>
        <v>45.015966666666657</v>
      </c>
      <c r="EL16" s="13">
        <f t="shared" si="45"/>
        <v>13.318851460759545</v>
      </c>
      <c r="EM16" s="20">
        <f t="shared" si="19"/>
        <v>101.59980823860064</v>
      </c>
      <c r="EN16" s="59">
        <f t="shared" si="20"/>
        <v>374.15536379415619</v>
      </c>
      <c r="EO16" s="59">
        <f ca="1">AVERAGE(OFFSET($EN$3,0,0,'Données projet'!$E$15+1,1))-AVERAGE(OFFSET($H$3,0,0,'Données projet'!$E$15+1,1))</f>
        <v>393.46715670823653</v>
      </c>
      <c r="EP16" s="59">
        <f t="shared" si="46"/>
        <v>266.16261355327214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11.25</v>
      </c>
      <c r="N17" s="13">
        <f>IF('Données projet'!$A$36&gt;35,N16+M17-V16,IF(A17&lt;'Données projet'!$A$36,$K$205^A17,IF(A17='Données projet'!$A$36,'Données projet'!$B$36,N16+M17-V16)))</f>
        <v>58.5</v>
      </c>
      <c r="O17" s="13">
        <f>N17*VLOOKUP('Données projet'!$B$9,Paramètres!$A$1:$I$89,3,0)*VLOOKUP('Données projet'!$B$9,Paramètres!$A$1:$I$89,5,0)</f>
        <v>34.983000000000004</v>
      </c>
      <c r="P17" s="13">
        <f t="shared" si="33"/>
        <v>10.658697928430266</v>
      </c>
      <c r="Q17" s="20">
        <f t="shared" si="2"/>
        <v>79.492623892016056</v>
      </c>
      <c r="R17" s="59">
        <f t="shared" si="0"/>
        <v>353.27040166979384</v>
      </c>
      <c r="S17" s="59">
        <f ca="1">AVERAGE(OFFSET($R$3,0,0,'Données projet'!$E$9+1,1))-AVERAGE(OFFSET($H$3,0,0,'Données projet'!$E$9+1,1))</f>
        <v>549.43232095729741</v>
      </c>
      <c r="T17" s="59">
        <f t="shared" si="34"/>
        <v>280.26155987300996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6.9411764705882355</v>
      </c>
      <c r="AI17" s="13">
        <f>IF('Données projet'!$A$62&gt;35,AI16+AH17-AQ16,IF(A17&lt;'Données projet'!$A$62,$AF$205^A17,IF(A17='Données projet'!$A$62,'Données projet'!$B$62,AI16+AH17-AQ16)))</f>
        <v>50.845880300225161</v>
      </c>
      <c r="AJ17" s="13">
        <f>AI17*VLOOKUP('Données projet'!$B$10,Paramètres!$A$1:$I$89,3,0)*VLOOKUP('Données projet'!$B$10,Paramètres!$A$1:$I$89,5,0)</f>
        <v>30.405836419534648</v>
      </c>
      <c r="AK17" s="13">
        <f t="shared" si="35"/>
        <v>9.4165719705798292</v>
      </c>
      <c r="AL17" s="20">
        <f t="shared" si="4"/>
        <v>69.357361279449364</v>
      </c>
      <c r="AM17" s="59">
        <f t="shared" si="5"/>
        <v>343.13513905722715</v>
      </c>
      <c r="AN17" s="59">
        <f ca="1">AVERAGE(OFFSET($AM$3,0,0,'Données projet'!$E$10+1,1))-AVERAGE(OFFSET($H$3,0,0,'Données projet'!$E$10+1,1))</f>
        <v>348.62416478262719</v>
      </c>
      <c r="AO17" s="59">
        <f t="shared" si="36"/>
        <v>371.70674704563288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315.9733740744461</v>
      </c>
      <c r="BI17" s="59">
        <f ca="1">AVERAGE(OFFSET($BH$3,0,0,'Données projet'!$E$11+1,1))-AVERAGE(OFFSET($H$3,0,0,'Données projet'!$E$11+1,1))</f>
        <v>405.7176439604217</v>
      </c>
      <c r="BJ17" s="59">
        <f t="shared" si="38"/>
        <v>278.21741231699929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</v>
      </c>
      <c r="BY17" s="12">
        <f>IF('Données projet'!$A$114&gt;35,BY16+BX17-CG16,IF(A17&lt;'Données projet'!$A$114,$BV$205^A17,IF(A17='Données projet'!$A$114,'Données projet'!$B$114,BY16+BX17-CG16)))</f>
        <v>64.597835933388069</v>
      </c>
      <c r="BZ17" s="13">
        <f>BY17*VLOOKUP('Données projet'!$B$12,Paramètres!$A$1:$I$89,3,0)*VLOOKUP('Données projet'!$B$12,Paramètres!$A$1:$I$89,5,0)</f>
        <v>56.432669471407827</v>
      </c>
      <c r="CA17" s="13">
        <f t="shared" si="39"/>
        <v>16.263143652501352</v>
      </c>
      <c r="CB17" s="20">
        <f t="shared" si="10"/>
        <v>126.61187452414181</v>
      </c>
      <c r="CC17" s="59">
        <f t="shared" si="11"/>
        <v>400.38965230191957</v>
      </c>
      <c r="CD17" s="59">
        <f ca="1">AVERAGE(OFFSET($CC$3,0,0,'Données projet'!$E$12+1,1))-AVERAGE(OFFSET($H$3,0,0,'Données projet'!$E$12+1,1))</f>
        <v>321.23599968992932</v>
      </c>
      <c r="CE17" s="59">
        <f t="shared" si="40"/>
        <v>388.05195847800502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3.6388888888888888</v>
      </c>
      <c r="CT17" s="12">
        <f>IF('Données projet'!$A$140&gt;35,CT16+CS17-DB16,IF(A17&lt;'Données projet'!$A$140,$CQ$205^A17,IF(A17='Données projet'!$A$140,'Données projet'!$B$140,CT16+CS17-DB16)))</f>
        <v>50.944444444444429</v>
      </c>
      <c r="CU17" s="17">
        <f>CT17*VLOOKUP('Données projet'!$B$13,Paramètres!$A$1:$I$89,3,0)*VLOOKUP('Données projet'!$B$13,Paramètres!$A$1:$I$89,5,0)</f>
        <v>49.27346666666665</v>
      </c>
      <c r="CV17" s="13">
        <f t="shared" si="41"/>
        <v>14.42596972102136</v>
      </c>
      <c r="CW17" s="20">
        <f t="shared" si="13"/>
        <v>110.94318504188995</v>
      </c>
      <c r="CX17" s="59">
        <f t="shared" si="14"/>
        <v>384.7209628196677</v>
      </c>
      <c r="CY17" s="59">
        <f ca="1">AVERAGE(OFFSET($CX$3,0,0,'Données projet'!$E$13+1,1))-AVERAGE(OFFSET($H$3,0,0,'Données projet'!$E$13+1,1))</f>
        <v>399.24912109442175</v>
      </c>
      <c r="CZ17" s="59">
        <f t="shared" si="42"/>
        <v>269.83150082245305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3.6388888888888888</v>
      </c>
      <c r="DO17" s="12">
        <f>IF('Données projet'!$A$166&gt;35,DO16+DN17-DW16,IF(A17&lt;'Données projet'!$A$166,$DL$205^A17,IF(A17='Données projet'!$A$166,'Données projet'!$B$166,DO16+DN17-DW16)))</f>
        <v>50.944444444444429</v>
      </c>
      <c r="DP17" s="17">
        <f>DO17*VLOOKUP('Données projet'!$B$14,Paramètres!$A$1:$I$89,3,0)*VLOOKUP('Données projet'!$B$14,Paramètres!$A$1:$I$89,5,0)</f>
        <v>54.836599999999976</v>
      </c>
      <c r="DQ17" s="13">
        <f t="shared" si="43"/>
        <v>15.856041581000209</v>
      </c>
      <c r="DR17" s="20">
        <f t="shared" si="16"/>
        <v>123.12301742024199</v>
      </c>
      <c r="DS17" s="59">
        <f t="shared" si="17"/>
        <v>396.90079519801975</v>
      </c>
      <c r="DT17" s="59">
        <f ca="1">AVERAGE(OFFSET($DS$3,0,0,'Données projet'!$E$14+1,1))-AVERAGE(OFFSET($H$3,0,0,'Données projet'!$E$14+1,1))</f>
        <v>439.66981240211362</v>
      </c>
      <c r="DU17" s="59">
        <f t="shared" si="44"/>
        <v>295.47805371292458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3.6388888888888888</v>
      </c>
      <c r="EJ17" s="12">
        <f>IF('Données projet'!$A$192&gt;35,EJ16+EI17-ER16,IF(A17&lt;'Données projet'!$A$192,$EG$205^A17,IF(A17='Données projet'!$A$192,'Données projet'!$B$192,EJ16+EI17-ER16)))</f>
        <v>50.944444444444429</v>
      </c>
      <c r="EK17" s="17">
        <f>EJ17*VLOOKUP('Données projet'!$B$15,Paramètres!$A$1:$I$89,3,0)*VLOOKUP('Données projet'!$B$15,Paramètres!$A$1:$I$89,5,0)</f>
        <v>48.478733333333317</v>
      </c>
      <c r="EL17" s="13">
        <f t="shared" si="45"/>
        <v>14.220182223993756</v>
      </c>
      <c r="EM17" s="20">
        <f t="shared" si="19"/>
        <v>109.20061126234464</v>
      </c>
      <c r="EN17" s="59">
        <f t="shared" si="20"/>
        <v>382.97838904012241</v>
      </c>
      <c r="EO17" s="59">
        <f ca="1">AVERAGE(OFFSET($EN$3,0,0,'Données projet'!$E$15+1,1))-AVERAGE(OFFSET($H$3,0,0,'Données projet'!$E$15+1,1))</f>
        <v>393.46715670823653</v>
      </c>
      <c r="EP17" s="59">
        <f t="shared" si="46"/>
        <v>266.16261355327214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11.25</v>
      </c>
      <c r="N18" s="13">
        <f>IF('Données projet'!$A$36&gt;35,N17+M18-V17,IF(A18&lt;'Données projet'!$A$36,$K$205^A18,IF(A18='Données projet'!$A$36,'Données projet'!$B$36,N17+M18-V17)))</f>
        <v>69.75</v>
      </c>
      <c r="O18" s="13">
        <f>N18*VLOOKUP('Données projet'!$B$9,Paramètres!$A$1:$I$89,3,0)*VLOOKUP('Données projet'!$B$9,Paramètres!$A$1:$I$89,5,0)</f>
        <v>41.710500000000003</v>
      </c>
      <c r="P18" s="13">
        <f t="shared" si="33"/>
        <v>12.450904347349248</v>
      </c>
      <c r="Q18" s="20">
        <f t="shared" si="2"/>
        <v>94.331112571633255</v>
      </c>
      <c r="R18" s="59">
        <f t="shared" si="0"/>
        <v>369.33111257163324</v>
      </c>
      <c r="S18" s="59">
        <f ca="1">AVERAGE(OFFSET($R$3,0,0,'Données projet'!$E$9+1,1))-AVERAGE(OFFSET($H$3,0,0,'Données projet'!$E$9+1,1))</f>
        <v>549.43232095729741</v>
      </c>
      <c r="T18" s="59">
        <f t="shared" si="34"/>
        <v>280.26155987300996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6.9411764705882355</v>
      </c>
      <c r="AI18" s="13">
        <f>IF('Données projet'!$A$62&gt;35,AI17+AH18-AQ17,IF(A18&lt;'Données projet'!$A$62,$AF$205^A18,IF(A18='Données projet'!$A$62,'Données projet'!$B$62,AI17+AH18-AQ17)))</f>
        <v>67.317996620272581</v>
      </c>
      <c r="AJ18" s="13">
        <f>AI18*VLOOKUP('Données projet'!$B$10,Paramètres!$A$1:$I$89,3,0)*VLOOKUP('Données projet'!$B$10,Paramètres!$A$1:$I$89,5,0)</f>
        <v>40.256161978923011</v>
      </c>
      <c r="AK18" s="13">
        <f t="shared" si="35"/>
        <v>12.066517421720839</v>
      </c>
      <c r="AL18" s="20">
        <f t="shared" si="4"/>
        <v>91.128666622788032</v>
      </c>
      <c r="AM18" s="59">
        <f t="shared" si="5"/>
        <v>366.12866662278805</v>
      </c>
      <c r="AN18" s="59">
        <f ca="1">AVERAGE(OFFSET($AM$3,0,0,'Données projet'!$E$10+1,1))-AVERAGE(OFFSET($H$3,0,0,'Données projet'!$E$10+1,1))</f>
        <v>348.62416478262719</v>
      </c>
      <c r="AO18" s="59">
        <f t="shared" si="36"/>
        <v>371.70674704563288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326.97274628871452</v>
      </c>
      <c r="BI18" s="59">
        <f ca="1">AVERAGE(OFFSET($BH$3,0,0,'Données projet'!$E$11+1,1))-AVERAGE(OFFSET($H$3,0,0,'Données projet'!$E$11+1,1))</f>
        <v>405.7176439604217</v>
      </c>
      <c r="BJ18" s="59">
        <f t="shared" si="38"/>
        <v>278.21741231699929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87</v>
      </c>
      <c r="BW18" s="12">
        <f>VLOOKUP(A18,'Données projet'!$A$113:$I$133,9,0)</f>
        <v>5.8</v>
      </c>
      <c r="BX18" s="12">
        <f t="array" ref="BX18">INDEX(BW:BW,MIN(IF(ISNUMBER(BW18:BW214),ROW(BW18:BW214),"")))</f>
        <v>5.8</v>
      </c>
      <c r="BY18" s="12">
        <f>IF('Données projet'!$A$114&gt;35,BY17+BX18-CG17,IF(A18&lt;'Données projet'!$A$114,$BV$205^A18,IF(A18='Données projet'!$A$114,'Données projet'!$B$114,BY17+BX18-CG17)))</f>
        <v>87</v>
      </c>
      <c r="BZ18" s="13">
        <f>BY18*VLOOKUP('Données projet'!$B$12,Paramètres!$A$1:$I$89,3,0)*VLOOKUP('Données projet'!$B$12,Paramètres!$A$1:$I$89,5,0)</f>
        <v>76.003200000000007</v>
      </c>
      <c r="CA18" s="13">
        <f t="shared" si="39"/>
        <v>21.157049992000456</v>
      </c>
      <c r="CB18" s="20">
        <f t="shared" si="10"/>
        <v>169.22076873606747</v>
      </c>
      <c r="CC18" s="59">
        <f t="shared" si="11"/>
        <v>444.2207687360675</v>
      </c>
      <c r="CD18" s="59">
        <f ca="1">AVERAGE(OFFSET($CC$3,0,0,'Données projet'!$E$12+1,1))-AVERAGE(OFFSET($H$3,0,0,'Données projet'!$E$12+1,1))</f>
        <v>321.23599968992932</v>
      </c>
      <c r="CE18" s="59">
        <f t="shared" si="40"/>
        <v>388.05195847800502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21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8.6000000000000007E-2</v>
      </c>
      <c r="CJ18" s="16">
        <f>IF(ISNA(VLOOKUP(A18,'Données projet'!$A$113:$I$133,7,0)),0%,VLOOKUP(A18,'Données projet'!$A$113:$I$133,7,0))</f>
        <v>0.8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1.7372572132452471</v>
      </c>
      <c r="CM18" s="21">
        <f>EXP(-LN(2)/2)*CM17+(1-EXP(-LN(2)/2))/(LN(2)/2)*CG18*CJ18*VLOOKUP('Données projet'!$B$12,Paramètres!$A$1:$I$89,3,0)*0.475*44/12</f>
        <v>13.84765389166769</v>
      </c>
      <c r="CN18" s="22">
        <f t="shared" si="12"/>
        <v>15.584911104912937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3.6388888888888888</v>
      </c>
      <c r="CT18" s="12">
        <f>IF('Données projet'!$A$140&gt;35,CT17+CS18-DB17,IF(A18&lt;'Données projet'!$A$140,$CQ$205^A18,IF(A18='Données projet'!$A$140,'Données projet'!$B$140,CT17+CS18-DB17)))</f>
        <v>54.583333333333314</v>
      </c>
      <c r="CU18" s="17">
        <f>CT18*VLOOKUP('Données projet'!$B$13,Paramètres!$A$1:$I$89,3,0)*VLOOKUP('Données projet'!$B$13,Paramètres!$A$1:$I$89,5,0)</f>
        <v>52.792999999999985</v>
      </c>
      <c r="CV18" s="13">
        <f t="shared" si="41"/>
        <v>15.332766448813711</v>
      </c>
      <c r="CW18" s="20">
        <f t="shared" si="13"/>
        <v>118.65237656501718</v>
      </c>
      <c r="CX18" s="59">
        <f t="shared" si="14"/>
        <v>393.65237656501716</v>
      </c>
      <c r="CY18" s="59">
        <f ca="1">AVERAGE(OFFSET($CX$3,0,0,'Données projet'!$E$13+1,1))-AVERAGE(OFFSET($H$3,0,0,'Données projet'!$E$13+1,1))</f>
        <v>399.24912109442175</v>
      </c>
      <c r="CZ18" s="59">
        <f t="shared" si="42"/>
        <v>269.83150082245305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3.6388888888888888</v>
      </c>
      <c r="DO18" s="12">
        <f>IF('Données projet'!$A$166&gt;35,DO17+DN18-DW17,IF(A18&lt;'Données projet'!$A$166,$DL$205^A18,IF(A18='Données projet'!$A$166,'Données projet'!$B$166,DO17+DN18-DW17)))</f>
        <v>54.583333333333314</v>
      </c>
      <c r="DP18" s="17">
        <f>DO18*VLOOKUP('Données projet'!$B$14,Paramètres!$A$1:$I$89,3,0)*VLOOKUP('Données projet'!$B$14,Paramètres!$A$1:$I$89,5,0)</f>
        <v>58.753499999999981</v>
      </c>
      <c r="DQ18" s="13">
        <f t="shared" si="43"/>
        <v>16.852730670152994</v>
      </c>
      <c r="DR18" s="20">
        <f t="shared" si="16"/>
        <v>131.68085175051641</v>
      </c>
      <c r="DS18" s="59">
        <f t="shared" si="17"/>
        <v>406.68085175051641</v>
      </c>
      <c r="DT18" s="59">
        <f ca="1">AVERAGE(OFFSET($DS$3,0,0,'Données projet'!$E$14+1,1))-AVERAGE(OFFSET($H$3,0,0,'Données projet'!$E$14+1,1))</f>
        <v>439.66981240211362</v>
      </c>
      <c r="DU18" s="59">
        <f t="shared" si="44"/>
        <v>295.47805371292458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3.6388888888888888</v>
      </c>
      <c r="EJ18" s="12">
        <f>IF('Données projet'!$A$192&gt;35,EJ17+EI18-ER17,IF(A18&lt;'Données projet'!$A$192,$EG$205^A18,IF(A18='Données projet'!$A$192,'Données projet'!$B$192,EJ17+EI18-ER17)))</f>
        <v>54.583333333333314</v>
      </c>
      <c r="EK18" s="17">
        <f>EJ18*VLOOKUP('Données projet'!$B$15,Paramètres!$A$1:$I$89,3,0)*VLOOKUP('Données projet'!$B$15,Paramètres!$A$1:$I$89,5,0)</f>
        <v>51.941499999999984</v>
      </c>
      <c r="EL18" s="13">
        <f t="shared" si="45"/>
        <v>15.114043431156713</v>
      </c>
      <c r="EM18" s="20">
        <f t="shared" si="19"/>
        <v>116.78840480926458</v>
      </c>
      <c r="EN18" s="59">
        <f t="shared" si="20"/>
        <v>391.78840480926459</v>
      </c>
      <c r="EO18" s="59">
        <f ca="1">AVERAGE(OFFSET($EN$3,0,0,'Données projet'!$E$15+1,1))-AVERAGE(OFFSET($H$3,0,0,'Données projet'!$E$15+1,1))</f>
        <v>393.46715670823653</v>
      </c>
      <c r="EP18" s="59">
        <f t="shared" si="46"/>
        <v>266.16261355327214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81</v>
      </c>
      <c r="L19" s="12">
        <f>VLOOKUP(A19,'Données projet'!$A$35:$I$55,9,0)</f>
        <v>11.25</v>
      </c>
      <c r="M19" s="12">
        <f t="array" ref="M19">INDEX(L:L,MIN(IF(ISNUMBER(L19:L215),ROW(L19:L215),"")))</f>
        <v>11.25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projet'!$B$9,Paramètres!$A$1:$I$89,3,0)*VLOOKUP('Données projet'!$B$9,Paramètres!$A$1:$I$89,5,0)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385.33350111533071</v>
      </c>
      <c r="S19" s="59">
        <f ca="1">AVERAGE(OFFSET($R$3,0,0,'Données projet'!$E$9+1,1))-AVERAGE(OFFSET($H$3,0,0,'Données projet'!$E$9+1,1))</f>
        <v>549.43232095729741</v>
      </c>
      <c r="T19" s="59">
        <f t="shared" si="34"/>
        <v>280.26155987300996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0.13500000000000001</v>
      </c>
      <c r="X19" s="16">
        <f>IF(ISNA(VLOOKUP(A19,'Données projet'!$A$35:$I$55,6,0)),0%,VLOOKUP(A19,'Données projet'!$A$35:$I$55,6,0)*VLOOKUP('Données projet'!$B$9,Paramètres!$A$1:$I$89,7,0))</f>
        <v>0.18000000000000002</v>
      </c>
      <c r="Y19" s="16">
        <f>IF(ISNA(VLOOKUP(A19,'Données projet'!$A$35:$I$55,7,0)),0%,VLOOKUP(A19,'Données projet'!$A$35:$I$55,7,0))</f>
        <v>0.3</v>
      </c>
      <c r="Z19" s="21">
        <f>EXP(-LN(2)/35)*Z18+(1-EXP(-LN(2)/35))/(LN(2)/35)*V19*W19*VLOOKUP('Données projet'!$B$9,Paramètres!$A$1:$I$89,3,0)*0.475*44/12</f>
        <v>1.6064032273145115</v>
      </c>
      <c r="AA19" s="21">
        <f>EXP(-LN(2)/25)*AA18+(1-EXP(-LN(2)/25))/(LN(2)/25)*Calculateur!V19*Calculateur!X19*VLOOKUP('Données projet'!$B$9,Paramètres!$A$1:$I$89,3,0)*0.475*44/12</f>
        <v>2.1334376076279433</v>
      </c>
      <c r="AB19" s="21">
        <f>EXP(-LN(2)/2)*AB18+(1-EXP(-LN(2)/2))/(LN(2)/2)*V19*Y19*VLOOKUP('Données projet'!$B$9,Paramètres!$A$1:$I$89,3,0)*0.475*44/12</f>
        <v>3.0468371126437197</v>
      </c>
      <c r="AC19" s="22">
        <f t="shared" si="3"/>
        <v>6.786677947586174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6.9411764705882355</v>
      </c>
      <c r="AI19" s="13">
        <f>IF('Données projet'!$A$62&gt;35,AI18+AH19-AQ18,IF(A19&lt;'Données projet'!$A$62,$AF$205^A19,IF(A19='Données projet'!$A$62,'Données projet'!$B$62,AI18+AH19-AQ18)))</f>
        <v>89.126447260014572</v>
      </c>
      <c r="AJ19" s="13">
        <f>AI19*VLOOKUP('Données projet'!$B$10,Paramètres!$A$1:$I$89,3,0)*VLOOKUP('Données projet'!$B$10,Paramètres!$A$1:$I$89,5,0)</f>
        <v>53.297615461488718</v>
      </c>
      <c r="AK19" s="13">
        <f t="shared" si="35"/>
        <v>15.46219188294774</v>
      </c>
      <c r="AL19" s="20">
        <f t="shared" si="4"/>
        <v>119.75666445822681</v>
      </c>
      <c r="AM19" s="59">
        <f t="shared" si="5"/>
        <v>395.97888668044902</v>
      </c>
      <c r="AN19" s="59">
        <f ca="1">AVERAGE(OFFSET($AM$3,0,0,'Données projet'!$E$10+1,1))-AVERAGE(OFFSET($H$3,0,0,'Données projet'!$E$10+1,1))</f>
        <v>348.62416478262719</v>
      </c>
      <c r="AO19" s="59">
        <f t="shared" si="36"/>
        <v>371.70674704563288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340.24492173474681</v>
      </c>
      <c r="BI19" s="59">
        <f ca="1">AVERAGE(OFFSET($BH$3,0,0,'Données projet'!$E$11+1,1))-AVERAGE(OFFSET($H$3,0,0,'Données projet'!$E$11+1,1))</f>
        <v>405.7176439604217</v>
      </c>
      <c r="BJ19" s="59">
        <f t="shared" si="38"/>
        <v>278.21741231699929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14.2</v>
      </c>
      <c r="BY19" s="12">
        <f>IF('Données projet'!$A$114&gt;35,BY18+BX19-CG18,IF(A19&lt;'Données projet'!$A$114,$BV$205^A19,IF(A19='Données projet'!$A$114,'Données projet'!$B$114,BY18+BX19-CG18)))</f>
        <v>80.2</v>
      </c>
      <c r="BZ19" s="13">
        <f>BY19*VLOOKUP('Données projet'!$B$12,Paramètres!$A$1:$I$89,3,0)*VLOOKUP('Données projet'!$B$12,Paramètres!$A$1:$I$89,5,0)</f>
        <v>70.062720000000013</v>
      </c>
      <c r="CA19" s="13">
        <f t="shared" si="39"/>
        <v>19.689032345957123</v>
      </c>
      <c r="CB19" s="20">
        <f t="shared" si="10"/>
        <v>156.31763533587534</v>
      </c>
      <c r="CC19" s="59">
        <f t="shared" si="11"/>
        <v>432.53985755809754</v>
      </c>
      <c r="CD19" s="59">
        <f ca="1">AVERAGE(OFFSET($CC$3,0,0,'Données projet'!$E$12+1,1))-AVERAGE(OFFSET($H$3,0,0,'Données projet'!$E$12+1,1))</f>
        <v>321.23599968992932</v>
      </c>
      <c r="CE19" s="59">
        <f t="shared" si="40"/>
        <v>388.05195847800502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1.6897518233906694</v>
      </c>
      <c r="CM19" s="21">
        <f>EXP(-LN(2)/2)*CM18+(1-EXP(-LN(2)/2))/(LN(2)/2)*CG19*CJ19*VLOOKUP('Données projet'!$B$12,Paramètres!$A$1:$I$89,3,0)*0.475*44/12</f>
        <v>9.791769970322509</v>
      </c>
      <c r="CN19" s="22">
        <f t="shared" si="12"/>
        <v>11.481521793713178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3.6388888888888888</v>
      </c>
      <c r="CT19" s="12">
        <f>IF('Données projet'!$A$140&gt;35,CT18+CS19-DB18,IF(A19&lt;'Données projet'!$A$140,$CQ$205^A19,IF(A19='Données projet'!$A$140,'Données projet'!$B$140,CT18+CS19-DB18)))</f>
        <v>58.2222222222222</v>
      </c>
      <c r="CU19" s="17">
        <f>CT19*VLOOKUP('Données projet'!$B$13,Paramètres!$A$1:$I$89,3,0)*VLOOKUP('Données projet'!$B$13,Paramètres!$A$1:$I$89,5,0)</f>
        <v>56.312533333333313</v>
      </c>
      <c r="CV19" s="13">
        <f t="shared" si="41"/>
        <v>16.232548182752296</v>
      </c>
      <c r="CW19" s="20">
        <f t="shared" si="13"/>
        <v>126.34935030718243</v>
      </c>
      <c r="CX19" s="59">
        <f t="shared" si="14"/>
        <v>402.57157252940465</v>
      </c>
      <c r="CY19" s="59">
        <f ca="1">AVERAGE(OFFSET($CX$3,0,0,'Données projet'!$E$13+1,1))-AVERAGE(OFFSET($H$3,0,0,'Données projet'!$E$13+1,1))</f>
        <v>399.24912109442175</v>
      </c>
      <c r="CZ19" s="59">
        <f t="shared" si="42"/>
        <v>269.83150082245305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3.6388888888888888</v>
      </c>
      <c r="DO19" s="12">
        <f>IF('Données projet'!$A$166&gt;35,DO18+DN19-DW18,IF(A19&lt;'Données projet'!$A$166,$DL$205^A19,IF(A19='Données projet'!$A$166,'Données projet'!$B$166,DO18+DN19-DW18)))</f>
        <v>58.2222222222222</v>
      </c>
      <c r="DP19" s="17">
        <f>DO19*VLOOKUP('Données projet'!$B$14,Paramètres!$A$1:$I$89,3,0)*VLOOKUP('Données projet'!$B$14,Paramètres!$A$1:$I$89,5,0)</f>
        <v>62.670399999999979</v>
      </c>
      <c r="DQ19" s="13">
        <f t="shared" si="43"/>
        <v>17.841709356720258</v>
      </c>
      <c r="DR19" s="20">
        <f t="shared" si="16"/>
        <v>140.22525712962104</v>
      </c>
      <c r="DS19" s="59">
        <f t="shared" si="17"/>
        <v>416.4474793518433</v>
      </c>
      <c r="DT19" s="59">
        <f ca="1">AVERAGE(OFFSET($DS$3,0,0,'Données projet'!$E$14+1,1))-AVERAGE(OFFSET($H$3,0,0,'Données projet'!$E$14+1,1))</f>
        <v>439.66981240211362</v>
      </c>
      <c r="DU19" s="59">
        <f t="shared" si="44"/>
        <v>295.47805371292458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3.6388888888888888</v>
      </c>
      <c r="EJ19" s="12">
        <f>IF('Données projet'!$A$192&gt;35,EJ18+EI19-ER18,IF(A19&lt;'Données projet'!$A$192,$EG$205^A19,IF(A19='Données projet'!$A$192,'Données projet'!$B$192,EJ18+EI19-ER18)))</f>
        <v>58.2222222222222</v>
      </c>
      <c r="EK19" s="17">
        <f>EJ19*VLOOKUP('Données projet'!$B$15,Paramètres!$A$1:$I$89,3,0)*VLOOKUP('Données projet'!$B$15,Paramètres!$A$1:$I$89,5,0)</f>
        <v>55.404266666666651</v>
      </c>
      <c r="EL19" s="13">
        <f t="shared" si="45"/>
        <v>16.000989713858459</v>
      </c>
      <c r="EM19" s="20">
        <f t="shared" si="19"/>
        <v>124.36415486274791</v>
      </c>
      <c r="EN19" s="59">
        <f t="shared" si="20"/>
        <v>400.58637708497014</v>
      </c>
      <c r="EO19" s="59">
        <f ca="1">AVERAGE(OFFSET($EN$3,0,0,'Données projet'!$E$15+1,1))-AVERAGE(OFFSET($H$3,0,0,'Données projet'!$E$15+1,1))</f>
        <v>393.46715670823653</v>
      </c>
      <c r="EP19" s="59">
        <f t="shared" si="46"/>
        <v>266.16261355327214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projet'!$B$9,Paramètres!$A$1:$I$89,3,0)*VLOOKUP('Données projet'!$B$9,Paramètres!$A$1:$I$89,5,0)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384.26001971355743</v>
      </c>
      <c r="S20" s="59">
        <f ca="1">AVERAGE(OFFSET($R$3,0,0,'Données projet'!$E$9+1,1))-AVERAGE(OFFSET($H$3,0,0,'Données projet'!$E$9+1,1))</f>
        <v>549.43232095729741</v>
      </c>
      <c r="T20" s="59">
        <f t="shared" si="34"/>
        <v>280.26155987300996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1.5749026398360944</v>
      </c>
      <c r="AA20" s="21">
        <f>EXP(-LN(2)/25)*AA19+(1-EXP(-LN(2)/25))/(LN(2)/25)*Calculateur!V20*Calculateur!X20*VLOOKUP('Données projet'!$B$9,Paramètres!$A$1:$I$89,3,0)*0.475*44/12</f>
        <v>2.0750986440547496</v>
      </c>
      <c r="AB20" s="21">
        <f>EXP(-LN(2)/2)*AB19+(1-EXP(-LN(2)/2))/(LN(2)/2)*V20*Y20*VLOOKUP('Données projet'!$B$9,Paramètres!$A$1:$I$89,3,0)*0.475*44/12</f>
        <v>2.1544391835212151</v>
      </c>
      <c r="AC20" s="22">
        <f t="shared" si="3"/>
        <v>5.8044404674120589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118</v>
      </c>
      <c r="AG20" s="12">
        <f>VLOOKUP(A20,'Données projet'!$A$61:$I$81,9,0)</f>
        <v>6.9411764705882355</v>
      </c>
      <c r="AH20" s="12">
        <f t="array" ref="AH20">INDEX(AG:AG,MIN(IF(ISNUMBER(AG20:AG216),ROW(AG20:AG216),"")))</f>
        <v>6.9411764705882355</v>
      </c>
      <c r="AI20" s="13">
        <f>IF('Données projet'!$A$62&gt;35,AI19+AH20-AQ19,IF(A20&lt;'Données projet'!$A$62,$AF$205^A20,IF(A20='Données projet'!$A$62,'Données projet'!$B$62,AI19+AH20-AQ19)))</f>
        <v>118</v>
      </c>
      <c r="AJ20" s="13">
        <f>AI20*VLOOKUP('Données projet'!$B$10,Paramètres!$A$1:$I$89,3,0)*VLOOKUP('Données projet'!$B$10,Paramètres!$A$1:$I$89,5,0)</f>
        <v>70.564000000000007</v>
      </c>
      <c r="AK20" s="13">
        <f t="shared" si="35"/>
        <v>19.813453167086163</v>
      </c>
      <c r="AL20" s="20">
        <f t="shared" si="4"/>
        <v>157.40739759934175</v>
      </c>
      <c r="AM20" s="59">
        <f t="shared" si="5"/>
        <v>434.85184204378618</v>
      </c>
      <c r="AN20" s="59">
        <f ca="1">AVERAGE(OFFSET($AM$3,0,0,'Données projet'!$E$10+1,1))-AVERAGE(OFFSET($H$3,0,0,'Données projet'!$E$10+1,1))</f>
        <v>348.62416478262719</v>
      </c>
      <c r="AO20" s="59">
        <f t="shared" si="36"/>
        <v>371.70674704563288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15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0.18000000000000002</v>
      </c>
      <c r="AT20" s="16">
        <f>IF(ISNA(VLOOKUP(A20,'Données projet'!$A$61:$I$81,7,0)),0%,VLOOKUP(A20,'Données projet'!$A$61:$I$81,7,0))</f>
        <v>0.6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2.1334376076279433</v>
      </c>
      <c r="AW20" s="21">
        <f>EXP(-LN(2)/2)*AW19+(1-EXP(-LN(2)/2))/(LN(2)/2)*AQ20*AT20*VLOOKUP('Données projet'!$B$10,Paramètres!$A$1:$I$89,3,0)*0.475*44/12</f>
        <v>6.0936742252874394</v>
      </c>
      <c r="AX20" s="21">
        <f t="shared" si="6"/>
        <v>8.2271118329153836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356.31981931185817</v>
      </c>
      <c r="BI20" s="59">
        <f ca="1">AVERAGE(OFFSET($BH$3,0,0,'Données projet'!$E$11+1,1))-AVERAGE(OFFSET($H$3,0,0,'Données projet'!$E$11+1,1))</f>
        <v>405.7176439604217</v>
      </c>
      <c r="BJ20" s="59">
        <f t="shared" si="38"/>
        <v>278.21741231699929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14.2</v>
      </c>
      <c r="BY20" s="12">
        <f>IF('Données projet'!$A$114&gt;35,BY19+BX20-CG19,IF(A20&lt;'Données projet'!$A$114,$BV$205^A20,IF(A20='Données projet'!$A$114,'Données projet'!$B$114,BY19+BX20-CG19)))</f>
        <v>94.4</v>
      </c>
      <c r="BZ20" s="13">
        <f>BY20*VLOOKUP('Données projet'!$B$12,Paramètres!$A$1:$I$89,3,0)*VLOOKUP('Données projet'!$B$12,Paramètres!$A$1:$I$89,5,0)</f>
        <v>82.467840000000024</v>
      </c>
      <c r="CA20" s="13">
        <f t="shared" si="39"/>
        <v>22.739512759227473</v>
      </c>
      <c r="CB20" s="20">
        <f t="shared" si="10"/>
        <v>183.23613938898788</v>
      </c>
      <c r="CC20" s="59">
        <f t="shared" si="11"/>
        <v>460.68058383343237</v>
      </c>
      <c r="CD20" s="59">
        <f ca="1">AVERAGE(OFFSET($CC$3,0,0,'Données projet'!$E$12+1,1))-AVERAGE(OFFSET($H$3,0,0,'Données projet'!$E$12+1,1))</f>
        <v>321.23599968992932</v>
      </c>
      <c r="CE20" s="59">
        <f t="shared" si="40"/>
        <v>388.05195847800502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1.6435454709198651</v>
      </c>
      <c r="CM20" s="21">
        <f>EXP(-LN(2)/2)*CM19+(1-EXP(-LN(2)/2))/(LN(2)/2)*CG20*CJ20*VLOOKUP('Données projet'!$B$12,Paramètres!$A$1:$I$89,3,0)*0.475*44/12</f>
        <v>6.9238269458338459</v>
      </c>
      <c r="CN20" s="22">
        <f t="shared" si="12"/>
        <v>8.5673724167537113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3.6388888888888888</v>
      </c>
      <c r="CT20" s="12">
        <f>IF('Données projet'!$A$140&gt;35,CT19+CS20-DB19,IF(A20&lt;'Données projet'!$A$140,$CQ$205^A20,IF(A20='Données projet'!$A$140,'Données projet'!$B$140,CT19+CS20-DB19)))</f>
        <v>61.861111111111086</v>
      </c>
      <c r="CU20" s="17">
        <f>CT20*VLOOKUP('Données projet'!$B$13,Paramètres!$A$1:$I$89,3,0)*VLOOKUP('Données projet'!$B$13,Paramètres!$A$1:$I$89,5,0)</f>
        <v>59.832066666666648</v>
      </c>
      <c r="CV20" s="13">
        <f t="shared" si="41"/>
        <v>17.125803273366483</v>
      </c>
      <c r="CW20" s="20">
        <f t="shared" si="13"/>
        <v>134.03495681222435</v>
      </c>
      <c r="CX20" s="59">
        <f t="shared" si="14"/>
        <v>411.47940125666878</v>
      </c>
      <c r="CY20" s="59">
        <f ca="1">AVERAGE(OFFSET($CX$3,0,0,'Données projet'!$E$13+1,1))-AVERAGE(OFFSET($H$3,0,0,'Données projet'!$E$13+1,1))</f>
        <v>399.24912109442175</v>
      </c>
      <c r="CZ20" s="59">
        <f t="shared" si="42"/>
        <v>269.83150082245305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3.6388888888888888</v>
      </c>
      <c r="DO20" s="12">
        <f>IF('Données projet'!$A$166&gt;35,DO19+DN20-DW19,IF(A20&lt;'Données projet'!$A$166,$DL$205^A20,IF(A20='Données projet'!$A$166,'Données projet'!$B$166,DO19+DN20-DW19)))</f>
        <v>61.861111111111086</v>
      </c>
      <c r="DP20" s="17">
        <f>DO20*VLOOKUP('Données projet'!$B$14,Paramètres!$A$1:$I$89,3,0)*VLOOKUP('Données projet'!$B$14,Paramètres!$A$1:$I$89,5,0)</f>
        <v>66.587299999999971</v>
      </c>
      <c r="DQ20" s="13">
        <f t="shared" si="43"/>
        <v>18.823514402281916</v>
      </c>
      <c r="DR20" s="20">
        <f t="shared" si="16"/>
        <v>148.75716841730761</v>
      </c>
      <c r="DS20" s="59">
        <f t="shared" si="17"/>
        <v>426.2016128617521</v>
      </c>
      <c r="DT20" s="59">
        <f ca="1">AVERAGE(OFFSET($DS$3,0,0,'Données projet'!$E$14+1,1))-AVERAGE(OFFSET($H$3,0,0,'Données projet'!$E$14+1,1))</f>
        <v>439.66981240211362</v>
      </c>
      <c r="DU20" s="59">
        <f t="shared" si="44"/>
        <v>295.47805371292458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3.6388888888888888</v>
      </c>
      <c r="EJ20" s="12">
        <f>IF('Données projet'!$A$192&gt;35,EJ19+EI20-ER19,IF(A20&lt;'Données projet'!$A$192,$EG$205^A20,IF(A20='Données projet'!$A$192,'Données projet'!$B$192,EJ19+EI20-ER19)))</f>
        <v>61.861111111111086</v>
      </c>
      <c r="EK20" s="17">
        <f>EJ20*VLOOKUP('Données projet'!$B$15,Paramètres!$A$1:$I$89,3,0)*VLOOKUP('Données projet'!$B$15,Paramètres!$A$1:$I$89,5,0)</f>
        <v>58.86703333333331</v>
      </c>
      <c r="EL20" s="13">
        <f t="shared" si="45"/>
        <v>16.881502456272869</v>
      </c>
      <c r="EM20" s="20">
        <f t="shared" si="19"/>
        <v>131.92869983356411</v>
      </c>
      <c r="EN20" s="59">
        <f t="shared" si="20"/>
        <v>409.37314427800857</v>
      </c>
      <c r="EO20" s="59">
        <f ca="1">AVERAGE(OFFSET($EN$3,0,0,'Données projet'!$E$15+1,1))-AVERAGE(OFFSET($H$3,0,0,'Données projet'!$E$15+1,1))</f>
        <v>393.46715670823653</v>
      </c>
      <c r="EP20" s="59">
        <f t="shared" si="46"/>
        <v>266.16261355327214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projet'!$B$9,Paramètres!$A$1:$I$89,3,0)*VLOOKUP('Données projet'!$B$9,Paramètres!$A$1:$I$89,5,0)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402.83567032460354</v>
      </c>
      <c r="S21" s="59">
        <f ca="1">AVERAGE(OFFSET($R$3,0,0,'Données projet'!$E$9+1,1))-AVERAGE(OFFSET($H$3,0,0,'Données projet'!$E$9+1,1))</f>
        <v>549.43232095729741</v>
      </c>
      <c r="T21" s="59">
        <f t="shared" si="34"/>
        <v>280.26155987300996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1.5440197596646679</v>
      </c>
      <c r="AA21" s="21">
        <f>EXP(-LN(2)/25)*AA20+(1-EXP(-LN(2)/25))/(LN(2)/25)*Calculateur!V21*Calculateur!X21*VLOOKUP('Données projet'!$B$9,Paramètres!$A$1:$I$89,3,0)*0.475*44/12</f>
        <v>2.0183549625083774</v>
      </c>
      <c r="AB21" s="21">
        <f>EXP(-LN(2)/2)*AB20+(1-EXP(-LN(2)/2))/(LN(2)/2)*V21*Y21*VLOOKUP('Données projet'!$B$9,Paramètres!$A$1:$I$89,3,0)*0.475*44/12</f>
        <v>1.5234185563218601</v>
      </c>
      <c r="AC21" s="22">
        <f t="shared" si="3"/>
        <v>5.0857932784949051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11.333333333333334</v>
      </c>
      <c r="AI21" s="13">
        <f>IF('Données projet'!$A$62&gt;35,AI20+AH21-AQ20,IF(A21&lt;'Données projet'!$A$62,$AF$205^A21,IF(A21='Données projet'!$A$62,'Données projet'!$B$62,AI20+AH21-AQ20)))</f>
        <v>114.33333333333334</v>
      </c>
      <c r="AJ21" s="13">
        <f>AI21*VLOOKUP('Données projet'!$B$10,Paramètres!$A$1:$I$89,3,0)*VLOOKUP('Données projet'!$B$10,Paramètres!$A$1:$I$89,5,0)</f>
        <v>68.37133333333334</v>
      </c>
      <c r="AK21" s="13">
        <f t="shared" si="35"/>
        <v>19.268449754335993</v>
      </c>
      <c r="AL21" s="20">
        <f t="shared" si="4"/>
        <v>152.63928887769075</v>
      </c>
      <c r="AM21" s="59">
        <f t="shared" si="5"/>
        <v>431.3059555443574</v>
      </c>
      <c r="AN21" s="59">
        <f ca="1">AVERAGE(OFFSET($AM$3,0,0,'Données projet'!$E$10+1,1))-AVERAGE(OFFSET($H$3,0,0,'Données projet'!$E$10+1,1))</f>
        <v>348.62416478262719</v>
      </c>
      <c r="AO21" s="59">
        <f t="shared" si="36"/>
        <v>371.70674704563288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2.0750986440547496</v>
      </c>
      <c r="AW21" s="21">
        <f>EXP(-LN(2)/2)*AW20+(1-EXP(-LN(2)/2))/(LN(2)/2)*AQ21*AT21*VLOOKUP('Données projet'!$B$10,Paramètres!$A$1:$I$89,3,0)*0.475*44/12</f>
        <v>4.3088783670424302</v>
      </c>
      <c r="AX21" s="21">
        <f t="shared" si="6"/>
        <v>6.3839770110971799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375.85125169782572</v>
      </c>
      <c r="BI21" s="59">
        <f ca="1">AVERAGE(OFFSET($BH$3,0,0,'Données projet'!$E$11+1,1))-AVERAGE(OFFSET($H$3,0,0,'Données projet'!$E$11+1,1))</f>
        <v>405.7176439604217</v>
      </c>
      <c r="BJ21" s="59">
        <f t="shared" si="38"/>
        <v>278.21741231699929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14.2</v>
      </c>
      <c r="BY21" s="12">
        <f>IF('Données projet'!$A$114&gt;35,BY20+BX21-CG20,IF(A21&lt;'Données projet'!$A$114,$BV$205^A21,IF(A21='Données projet'!$A$114,'Données projet'!$B$114,BY20+BX21-CG20)))</f>
        <v>108.60000000000001</v>
      </c>
      <c r="BZ21" s="13">
        <f>BY21*VLOOKUP('Données projet'!$B$12,Paramètres!$A$1:$I$89,3,0)*VLOOKUP('Données projet'!$B$12,Paramètres!$A$1:$I$89,5,0)</f>
        <v>94.87296000000002</v>
      </c>
      <c r="CA21" s="13">
        <f t="shared" si="39"/>
        <v>25.736834760472274</v>
      </c>
      <c r="CB21" s="20">
        <f t="shared" si="10"/>
        <v>210.06205920782259</v>
      </c>
      <c r="CC21" s="59">
        <f t="shared" si="11"/>
        <v>488.72872587448927</v>
      </c>
      <c r="CD21" s="59">
        <f ca="1">AVERAGE(OFFSET($CC$3,0,0,'Données projet'!$E$12+1,1))-AVERAGE(OFFSET($H$3,0,0,'Données projet'!$E$12+1,1))</f>
        <v>321.23599968992932</v>
      </c>
      <c r="CE21" s="59">
        <f t="shared" si="40"/>
        <v>388.05195847800502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1.5986026335872614</v>
      </c>
      <c r="CM21" s="21">
        <f>EXP(-LN(2)/2)*CM20+(1-EXP(-LN(2)/2))/(LN(2)/2)*CG21*CJ21*VLOOKUP('Données projet'!$B$12,Paramètres!$A$1:$I$89,3,0)*0.475*44/12</f>
        <v>4.8958849851612554</v>
      </c>
      <c r="CN21" s="22">
        <f t="shared" si="12"/>
        <v>6.4944876187485168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3.6388888888888888</v>
      </c>
      <c r="CT21" s="12">
        <f>IF('Données projet'!$A$140&gt;35,CT20+CS21-DB20,IF(A21&lt;'Données projet'!$A$140,$CQ$205^A21,IF(A21='Données projet'!$A$140,'Données projet'!$B$140,CT20+CS21-DB20)))</f>
        <v>65.499999999999972</v>
      </c>
      <c r="CU21" s="17">
        <f>CT21*VLOOKUP('Données projet'!$B$13,Paramètres!$A$1:$I$89,3,0)*VLOOKUP('Données projet'!$B$13,Paramètres!$A$1:$I$89,5,0)</f>
        <v>63.351599999999976</v>
      </c>
      <c r="CV21" s="13">
        <f t="shared" si="41"/>
        <v>18.012959372620053</v>
      </c>
      <c r="CW21" s="20">
        <f t="shared" si="13"/>
        <v>141.70994090731321</v>
      </c>
      <c r="CX21" s="59">
        <f t="shared" si="14"/>
        <v>420.37660757397987</v>
      </c>
      <c r="CY21" s="59">
        <f ca="1">AVERAGE(OFFSET($CX$3,0,0,'Données projet'!$E$13+1,1))-AVERAGE(OFFSET($H$3,0,0,'Données projet'!$E$13+1,1))</f>
        <v>399.24912109442175</v>
      </c>
      <c r="CZ21" s="59">
        <f t="shared" si="42"/>
        <v>269.83150082245305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3.6388888888888888</v>
      </c>
      <c r="DO21" s="12">
        <f>IF('Données projet'!$A$166&gt;35,DO20+DN21-DW20,IF(A21&lt;'Données projet'!$A$166,$DL$205^A21,IF(A21='Données projet'!$A$166,'Données projet'!$B$166,DO20+DN21-DW20)))</f>
        <v>65.499999999999972</v>
      </c>
      <c r="DP21" s="17">
        <f>DO21*VLOOKUP('Données projet'!$B$14,Paramètres!$A$1:$I$89,3,0)*VLOOKUP('Données projet'!$B$14,Paramètres!$A$1:$I$89,5,0)</f>
        <v>70.504199999999969</v>
      </c>
      <c r="DQ21" s="13">
        <f t="shared" si="43"/>
        <v>19.798615852696354</v>
      </c>
      <c r="DR21" s="20">
        <f t="shared" si="16"/>
        <v>157.27740427677944</v>
      </c>
      <c r="DS21" s="59">
        <f t="shared" si="17"/>
        <v>435.94407094344615</v>
      </c>
      <c r="DT21" s="59">
        <f ca="1">AVERAGE(OFFSET($DS$3,0,0,'Données projet'!$E$14+1,1))-AVERAGE(OFFSET($H$3,0,0,'Données projet'!$E$14+1,1))</f>
        <v>439.66981240211362</v>
      </c>
      <c r="DU21" s="59">
        <f t="shared" si="44"/>
        <v>295.47805371292458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3.6388888888888888</v>
      </c>
      <c r="EJ21" s="12">
        <f>IF('Données projet'!$A$192&gt;35,EJ20+EI21-ER20,IF(A21&lt;'Données projet'!$A$192,$EG$205^A21,IF(A21='Données projet'!$A$192,'Données projet'!$B$192,EJ20+EI21-ER20)))</f>
        <v>65.499999999999972</v>
      </c>
      <c r="EK21" s="17">
        <f>EJ21*VLOOKUP('Données projet'!$B$15,Paramètres!$A$1:$I$89,3,0)*VLOOKUP('Données projet'!$B$15,Paramètres!$A$1:$I$89,5,0)</f>
        <v>62.329799999999977</v>
      </c>
      <c r="EL21" s="13">
        <f t="shared" si="45"/>
        <v>17.756003209877672</v>
      </c>
      <c r="EM21" s="20">
        <f t="shared" si="19"/>
        <v>139.48277392387024</v>
      </c>
      <c r="EN21" s="59">
        <f t="shared" si="20"/>
        <v>418.14944059053693</v>
      </c>
      <c r="EO21" s="59">
        <f ca="1">AVERAGE(OFFSET($EN$3,0,0,'Données projet'!$E$15+1,1))-AVERAGE(OFFSET($H$3,0,0,'Données projet'!$E$15+1,1))</f>
        <v>393.46715670823653</v>
      </c>
      <c r="EP21" s="59">
        <f t="shared" si="46"/>
        <v>266.16261355327214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projet'!$B$9,Paramètres!$A$1:$I$89,3,0)*VLOOKUP('Données projet'!$B$9,Paramètres!$A$1:$I$89,5,0)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421.35235290507615</v>
      </c>
      <c r="S22" s="59">
        <f ca="1">AVERAGE(OFFSET($R$3,0,0,'Données projet'!$E$9+1,1))-AVERAGE(OFFSET($H$3,0,0,'Données projet'!$E$9+1,1))</f>
        <v>549.43232095729741</v>
      </c>
      <c r="T22" s="59">
        <f t="shared" si="34"/>
        <v>280.26155987300996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1.5137424739367062</v>
      </c>
      <c r="AA22" s="21">
        <f>EXP(-LN(2)/25)*AA21+(1-EXP(-LN(2)/25))/(LN(2)/25)*Calculateur!V22*Calculateur!X22*VLOOKUP('Données projet'!$B$9,Paramètres!$A$1:$I$89,3,0)*0.475*44/12</f>
        <v>1.9631629399179114</v>
      </c>
      <c r="AB22" s="21">
        <f>EXP(-LN(2)/2)*AB21+(1-EXP(-LN(2)/2))/(LN(2)/2)*V22*Y22*VLOOKUP('Données projet'!$B$9,Paramètres!$A$1:$I$89,3,0)*0.475*44/12</f>
        <v>1.0772195917606078</v>
      </c>
      <c r="AC22" s="22">
        <f t="shared" si="3"/>
        <v>4.5541250056152256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11.333333333333334</v>
      </c>
      <c r="AI22" s="13">
        <f>IF('Données projet'!$A$62&gt;35,AI21+AH22-AQ21,IF(A22&lt;'Données projet'!$A$62,$AF$205^A22,IF(A22='Données projet'!$A$62,'Données projet'!$B$62,AI21+AH22-AQ21)))</f>
        <v>125.66666666666667</v>
      </c>
      <c r="AJ22" s="13">
        <f>AI22*VLOOKUP('Données projet'!$B$10,Paramètres!$A$1:$I$89,3,0)*VLOOKUP('Données projet'!$B$10,Paramètres!$A$1:$I$89,5,0)</f>
        <v>75.148666666666671</v>
      </c>
      <c r="AK22" s="13">
        <f t="shared" si="35"/>
        <v>20.946723857947624</v>
      </c>
      <c r="AL22" s="20">
        <f t="shared" si="4"/>
        <v>167.36613849703656</v>
      </c>
      <c r="AM22" s="59">
        <f t="shared" si="5"/>
        <v>447.25502738592542</v>
      </c>
      <c r="AN22" s="59">
        <f ca="1">AVERAGE(OFFSET($AM$3,0,0,'Données projet'!$E$10+1,1))-AVERAGE(OFFSET($H$3,0,0,'Données projet'!$E$10+1,1))</f>
        <v>348.62416478262719</v>
      </c>
      <c r="AO22" s="59">
        <f t="shared" si="36"/>
        <v>371.70674704563288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2.0183549625083774</v>
      </c>
      <c r="AW22" s="21">
        <f>EXP(-LN(2)/2)*AW21+(1-EXP(-LN(2)/2))/(LN(2)/2)*AQ22*AT22*VLOOKUP('Données projet'!$B$10,Paramètres!$A$1:$I$89,3,0)*0.475*44/12</f>
        <v>3.0468371126437201</v>
      </c>
      <c r="AX22" s="21">
        <f t="shared" si="6"/>
        <v>5.0651920751520976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399.64596418363215</v>
      </c>
      <c r="BI22" s="59">
        <f ca="1">AVERAGE(OFFSET($BH$3,0,0,'Données projet'!$E$11+1,1))-AVERAGE(OFFSET($H$3,0,0,'Données projet'!$E$11+1,1))</f>
        <v>405.7176439604217</v>
      </c>
      <c r="BJ22" s="59">
        <f t="shared" si="38"/>
        <v>278.21741231699929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14.2</v>
      </c>
      <c r="BY22" s="12">
        <f>IF('Données projet'!$A$114&gt;35,BY21+BX22-CG21,IF(A22&lt;'Données projet'!$A$114,$BV$205^A22,IF(A22='Données projet'!$A$114,'Données projet'!$B$114,BY21+BX22-CG21)))</f>
        <v>122.80000000000001</v>
      </c>
      <c r="BZ22" s="13">
        <f>BY22*VLOOKUP('Données projet'!$B$12,Paramètres!$A$1:$I$89,3,0)*VLOOKUP('Données projet'!$B$12,Paramètres!$A$1:$I$89,5,0)</f>
        <v>107.27808000000003</v>
      </c>
      <c r="CA22" s="13">
        <f t="shared" si="39"/>
        <v>28.688746800886673</v>
      </c>
      <c r="CB22" s="20">
        <f t="shared" si="10"/>
        <v>236.80889001154432</v>
      </c>
      <c r="CC22" s="59">
        <f t="shared" si="11"/>
        <v>516.69777890043315</v>
      </c>
      <c r="CD22" s="59">
        <f ca="1">AVERAGE(OFFSET($CC$3,0,0,'Données projet'!$E$12+1,1))-AVERAGE(OFFSET($H$3,0,0,'Données projet'!$E$12+1,1))</f>
        <v>321.23599968992932</v>
      </c>
      <c r="CE22" s="59">
        <f t="shared" si="40"/>
        <v>388.05195847800502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1.5548887605049588</v>
      </c>
      <c r="CM22" s="21">
        <f>EXP(-LN(2)/2)*CM21+(1-EXP(-LN(2)/2))/(LN(2)/2)*CG22*CJ22*VLOOKUP('Données projet'!$B$12,Paramètres!$A$1:$I$89,3,0)*0.475*44/12</f>
        <v>3.4619134729169234</v>
      </c>
      <c r="CN22" s="22">
        <f t="shared" si="12"/>
        <v>5.016802233421882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3.6388888888888888</v>
      </c>
      <c r="CT22" s="12">
        <f>IF('Données projet'!$A$140&gt;35,CT21+CS22-DB21,IF(A22&lt;'Données projet'!$A$140,$CQ$205^A22,IF(A22='Données projet'!$A$140,'Données projet'!$B$140,CT21+CS22-DB21)))</f>
        <v>69.138888888888857</v>
      </c>
      <c r="CU22" s="17">
        <f>CT22*VLOOKUP('Données projet'!$B$13,Paramètres!$A$1:$I$89,3,0)*VLOOKUP('Données projet'!$B$13,Paramètres!$A$1:$I$89,5,0)</f>
        <v>66.871133333333304</v>
      </c>
      <c r="CV22" s="13">
        <f t="shared" si="41"/>
        <v>18.894393931888395</v>
      </c>
      <c r="CW22" s="20">
        <f t="shared" si="13"/>
        <v>149.37495998692776</v>
      </c>
      <c r="CX22" s="59">
        <f t="shared" si="14"/>
        <v>429.26384887581662</v>
      </c>
      <c r="CY22" s="59">
        <f ca="1">AVERAGE(OFFSET($CX$3,0,0,'Données projet'!$E$13+1,1))-AVERAGE(OFFSET($H$3,0,0,'Données projet'!$E$13+1,1))</f>
        <v>399.24912109442175</v>
      </c>
      <c r="CZ22" s="59">
        <f t="shared" si="42"/>
        <v>269.83150082245305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3.6388888888888888</v>
      </c>
      <c r="DO22" s="12">
        <f>IF('Données projet'!$A$166&gt;35,DO21+DN22-DW21,IF(A22&lt;'Données projet'!$A$166,$DL$205^A22,IF(A22='Données projet'!$A$166,'Données projet'!$B$166,DO21+DN22-DW21)))</f>
        <v>69.138888888888857</v>
      </c>
      <c r="DP22" s="17">
        <f>DO22*VLOOKUP('Données projet'!$B$14,Paramètres!$A$1:$I$89,3,0)*VLOOKUP('Données projet'!$B$14,Paramètres!$A$1:$I$89,5,0)</f>
        <v>74.421099999999967</v>
      </c>
      <c r="DQ22" s="13">
        <f t="shared" si="43"/>
        <v>20.767428576760491</v>
      </c>
      <c r="DR22" s="20">
        <f t="shared" si="16"/>
        <v>165.78668727119114</v>
      </c>
      <c r="DS22" s="59">
        <f t="shared" si="17"/>
        <v>445.67557616008003</v>
      </c>
      <c r="DT22" s="59">
        <f ca="1">AVERAGE(OFFSET($DS$3,0,0,'Données projet'!$E$14+1,1))-AVERAGE(OFFSET($H$3,0,0,'Données projet'!$E$14+1,1))</f>
        <v>439.66981240211362</v>
      </c>
      <c r="DU22" s="59">
        <f t="shared" si="44"/>
        <v>295.47805371292458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3.6388888888888888</v>
      </c>
      <c r="EJ22" s="12">
        <f>IF('Données projet'!$A$192&gt;35,EJ21+EI22-ER21,IF(A22&lt;'Données projet'!$A$192,$EG$205^A22,IF(A22='Données projet'!$A$192,'Données projet'!$B$192,EJ21+EI22-ER21)))</f>
        <v>69.138888888888857</v>
      </c>
      <c r="EK22" s="17">
        <f>EJ22*VLOOKUP('Données projet'!$B$15,Paramètres!$A$1:$I$89,3,0)*VLOOKUP('Données projet'!$B$15,Paramètres!$A$1:$I$89,5,0)</f>
        <v>65.79256666666663</v>
      </c>
      <c r="EL22" s="13">
        <f t="shared" si="45"/>
        <v>18.624864041677203</v>
      </c>
      <c r="EM22" s="20">
        <f t="shared" si="19"/>
        <v>147.02702515036552</v>
      </c>
      <c r="EN22" s="59">
        <f t="shared" si="20"/>
        <v>426.9159140392544</v>
      </c>
      <c r="EO22" s="59">
        <f ca="1">AVERAGE(OFFSET($EN$3,0,0,'Données projet'!$E$15+1,1))-AVERAGE(OFFSET($H$3,0,0,'Données projet'!$E$15+1,1))</f>
        <v>393.46715670823653</v>
      </c>
      <c r="EP22" s="59">
        <f t="shared" si="46"/>
        <v>266.16261355327214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projet'!$B$9,Paramètres!$A$1:$I$89,3,0)*VLOOKUP('Données projet'!$B$9,Paramètres!$A$1:$I$89,5,0)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439.81830213718081</v>
      </c>
      <c r="S23" s="59">
        <f ca="1">AVERAGE(OFFSET($R$3,0,0,'Données projet'!$E$9+1,1))-AVERAGE(OFFSET($H$3,0,0,'Données projet'!$E$9+1,1))</f>
        <v>549.43232095729741</v>
      </c>
      <c r="T23" s="59">
        <f t="shared" si="34"/>
        <v>280.26155987300996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0.18000000000000002</v>
      </c>
      <c r="X23" s="16">
        <f>IF(ISNA(VLOOKUP(A23,'Données projet'!$A$35:$I$55,6,0)),0%,VLOOKUP(A23,'Données projet'!$A$35:$I$55,6,0)*VLOOKUP('Données projet'!$B$9,Paramètres!$A$1:$I$89,7,0))</f>
        <v>0.13500000000000001</v>
      </c>
      <c r="Y23" s="16">
        <f>IF(ISNA(VLOOKUP(A23,'Données projet'!$A$35:$I$55,7,0)),0%,VLOOKUP(A23,'Données projet'!$A$35:$I$55,7,0))</f>
        <v>0.3</v>
      </c>
      <c r="Z23" s="21">
        <f>EXP(-LN(2)/35)*Z22+(1-EXP(-LN(2)/35))/(LN(2)/35)*V23*W23*VLOOKUP('Données projet'!$B$9,Paramètres!$A$1:$I$89,3,0)*0.475*44/12</f>
        <v>4.6254696629518159</v>
      </c>
      <c r="AA23" s="21">
        <f>EXP(-LN(2)/25)*AA22+(1-EXP(-LN(2)/25))/(LN(2)/25)*Calculateur!V23*Calculateur!X23*VLOOKUP('Données projet'!$B$9,Paramètres!$A$1:$I$89,3,0)*0.475*44/12</f>
        <v>4.256261514478342</v>
      </c>
      <c r="AB23" s="21">
        <f>EXP(-LN(2)/2)*AB22+(1-EXP(-LN(2)/2))/(LN(2)/2)*V23*Y23*VLOOKUP('Données projet'!$B$9,Paramètres!$A$1:$I$89,3,0)*0.475*44/12</f>
        <v>5.2304037100383853</v>
      </c>
      <c r="AC23" s="22">
        <f t="shared" si="3"/>
        <v>14.112134887468542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137</v>
      </c>
      <c r="AG23" s="12">
        <f>VLOOKUP(A23,'Données projet'!$A$61:$I$81,9,0)</f>
        <v>11.333333333333334</v>
      </c>
      <c r="AH23" s="12">
        <f t="array" ref="AH23">INDEX(AG:AG,MIN(IF(ISNUMBER(AG23:AG219),ROW(AG23:AG219),"")))</f>
        <v>11.333333333333334</v>
      </c>
      <c r="AI23" s="13">
        <f>IF('Données projet'!$A$62&gt;35,AI22+AH23-AQ22,IF(A23&lt;'Données projet'!$A$62,$AF$205^A23,IF(A23='Données projet'!$A$62,'Données projet'!$B$62,AI22+AH23-AQ22)))</f>
        <v>137</v>
      </c>
      <c r="AJ23" s="13">
        <f>AI23*VLOOKUP('Données projet'!$B$10,Paramètres!$A$1:$I$89,3,0)*VLOOKUP('Données projet'!$B$10,Paramètres!$A$1:$I$89,5,0)</f>
        <v>81.926000000000002</v>
      </c>
      <c r="AK23" s="13">
        <f t="shared" si="35"/>
        <v>22.607447146245146</v>
      </c>
      <c r="AL23" s="20">
        <f t="shared" si="4"/>
        <v>182.06242044637693</v>
      </c>
      <c r="AM23" s="59">
        <f t="shared" si="5"/>
        <v>463.1735315574881</v>
      </c>
      <c r="AN23" s="59">
        <f ca="1">AVERAGE(OFFSET($AM$3,0,0,'Données projet'!$E$10+1,1))-AVERAGE(OFFSET($H$3,0,0,'Données projet'!$E$10+1,1))</f>
        <v>348.62416478262719</v>
      </c>
      <c r="AO23" s="59">
        <f t="shared" si="36"/>
        <v>371.70674704563288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15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0.18000000000000002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1.070935484876341</v>
      </c>
      <c r="AV23" s="21">
        <f>EXP(-LN(2)/25)*AV22+(1-EXP(-LN(2)/25))/(LN(2)/25)*Calculateur!AQ23*Calculateur!AS23*VLOOKUP('Données projet'!$B$10,Paramètres!$A$1:$I$89,3,0)*0.475*44/12</f>
        <v>4.0966005475458545</v>
      </c>
      <c r="AW23" s="21">
        <f>EXP(-LN(2)/2)*AW22+(1-EXP(-LN(2)/2))/(LN(2)/2)*AQ23*AT23*VLOOKUP('Données projet'!$B$10,Paramètres!$A$1:$I$89,3,0)*0.475*44/12</f>
        <v>6.2168886670461756</v>
      </c>
      <c r="AX23" s="21">
        <f t="shared" si="6"/>
        <v>11.384424699468372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428.69949531545831</v>
      </c>
      <c r="BI23" s="59">
        <f ca="1">AVERAGE(OFFSET($BH$3,0,0,'Données projet'!$E$11+1,1))-AVERAGE(OFFSET($H$3,0,0,'Données projet'!$E$11+1,1))</f>
        <v>405.7176439604217</v>
      </c>
      <c r="BJ23" s="59">
        <f t="shared" si="38"/>
        <v>278.21741231699929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8.6000000000000007E-2</v>
      </c>
      <c r="BN23" s="16">
        <f>IF(ISNA(VLOOKUP(A23,'Données projet'!$A$87:$I$107,6,0)),0%,VLOOKUP(A23,'Données projet'!$A$87:$I$107,6,0)*VLOOKUP('Données projet'!$B$11,Paramètres!$A$1:$I$89,7,0))</f>
        <v>8.6000000000000007E-2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0.51611847329112925</v>
      </c>
      <c r="BQ23" s="21">
        <f>EXP(-LN(2)/25)*BQ22+(1-EXP(-LN(2)/25))/(LN(2)/25)*Calculateur!BL23*Calculateur!BN23*VLOOKUP('Données projet'!$B$11,Paramètres!$A$1:$I$89,3,0)*0.475*44/12</f>
        <v>0.51408631820522621</v>
      </c>
      <c r="BR23" s="21">
        <f>EXP(-LN(2)/2)*BR22+(1-EXP(-LN(2)/2))/(LN(2)/2)*BL23*BO23*VLOOKUP('Données projet'!$B$11,Paramètres!$A$1:$I$89,3,0)*0.475*44/12</f>
        <v>3.0733313484058384</v>
      </c>
      <c r="BS23" s="22">
        <f t="shared" si="9"/>
        <v>4.1035361399021939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137</v>
      </c>
      <c r="BW23" s="12">
        <f>VLOOKUP(A23,'Données projet'!$A$113:$I$133,9,0)</f>
        <v>14.2</v>
      </c>
      <c r="BX23" s="12">
        <f t="array" ref="BX23">INDEX(BW:BW,MIN(IF(ISNUMBER(BW23:BW219),ROW(BW23:BW219),"")))</f>
        <v>14.2</v>
      </c>
      <c r="BY23" s="12">
        <f>IF('Données projet'!$A$114&gt;35,BY22+BX23-CG22,IF(A23&lt;'Données projet'!$A$114,$BV$205^A23,IF(A23='Données projet'!$A$114,'Données projet'!$B$114,BY22+BX23-CG22)))</f>
        <v>137</v>
      </c>
      <c r="BZ23" s="13">
        <f>BY23*VLOOKUP('Données projet'!$B$12,Paramètres!$A$1:$I$89,3,0)*VLOOKUP('Données projet'!$B$12,Paramètres!$A$1:$I$89,5,0)</f>
        <v>119.68320000000003</v>
      </c>
      <c r="CA23" s="13">
        <f t="shared" si="39"/>
        <v>31.601099532596194</v>
      </c>
      <c r="CB23" s="20">
        <f t="shared" si="10"/>
        <v>263.48682168593842</v>
      </c>
      <c r="CC23" s="59">
        <f t="shared" si="11"/>
        <v>544.59793279704957</v>
      </c>
      <c r="CD23" s="59">
        <f ca="1">AVERAGE(OFFSET($CC$3,0,0,'Données projet'!$E$12+1,1))-AVERAGE(OFFSET($H$3,0,0,'Données projet'!$E$12+1,1))</f>
        <v>321.23599968992932</v>
      </c>
      <c r="CE23" s="59">
        <f t="shared" si="40"/>
        <v>388.05195847800502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8.6000000000000007E-2</v>
      </c>
      <c r="CJ23" s="16">
        <f>IF(ISNA(VLOOKUP(A23,'Données projet'!$A$113:$I$133,7,0)),0%,VLOOKUP(A23,'Données projet'!$A$113:$I$133,7,0))</f>
        <v>0.8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5.0696112060354581</v>
      </c>
      <c r="CM23" s="21">
        <f>EXP(-LN(2)/2)*CM22+(1-EXP(-LN(2)/2))/(LN(2)/2)*CG23*CJ23*VLOOKUP('Données projet'!$B$12,Paramètres!$A$1:$I$89,3,0)*0.475*44/12</f>
        <v>30.802662365995424</v>
      </c>
      <c r="CN23" s="22">
        <f t="shared" si="12"/>
        <v>35.872273572030885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3.6388888888888888</v>
      </c>
      <c r="CT23" s="12">
        <f>IF('Données projet'!$A$140&gt;35,CT22+CS23-DB22,IF(A23&lt;'Données projet'!$A$140,$CQ$205^A23,IF(A23='Données projet'!$A$140,'Données projet'!$B$140,CT22+CS23-DB22)))</f>
        <v>72.777777777777743</v>
      </c>
      <c r="CU23" s="17">
        <f>CT23*VLOOKUP('Données projet'!$B$13,Paramètres!$A$1:$I$89,3,0)*VLOOKUP('Données projet'!$B$13,Paramètres!$A$1:$I$89,5,0)</f>
        <v>70.390666666666633</v>
      </c>
      <c r="CV23" s="13">
        <f t="shared" si="41"/>
        <v>19.770442426785856</v>
      </c>
      <c r="CW23" s="20">
        <f t="shared" si="13"/>
        <v>157.03059833776308</v>
      </c>
      <c r="CX23" s="59">
        <f t="shared" si="14"/>
        <v>438.14170944887422</v>
      </c>
      <c r="CY23" s="59">
        <f ca="1">AVERAGE(OFFSET($CX$3,0,0,'Données projet'!$E$13+1,1))-AVERAGE(OFFSET($H$3,0,0,'Données projet'!$E$13+1,1))</f>
        <v>399.24912109442175</v>
      </c>
      <c r="CZ23" s="59">
        <f t="shared" si="42"/>
        <v>269.83150082245305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3.6388888888888888</v>
      </c>
      <c r="DO23" s="12">
        <f>IF('Données projet'!$A$166&gt;35,DO22+DN23-DW22,IF(A23&lt;'Données projet'!$A$166,$DL$205^A23,IF(A23='Données projet'!$A$166,'Données projet'!$B$166,DO22+DN23-DW22)))</f>
        <v>72.777777777777743</v>
      </c>
      <c r="DP23" s="17">
        <f>DO23*VLOOKUP('Données projet'!$B$14,Paramètres!$A$1:$I$89,3,0)*VLOOKUP('Données projet'!$B$14,Paramètres!$A$1:$I$89,5,0)</f>
        <v>78.337999999999965</v>
      </c>
      <c r="DQ23" s="13">
        <f t="shared" si="43"/>
        <v>21.730321306378901</v>
      </c>
      <c r="DR23" s="20">
        <f t="shared" si="16"/>
        <v>174.28565960860985</v>
      </c>
      <c r="DS23" s="59">
        <f t="shared" si="17"/>
        <v>455.39677071972096</v>
      </c>
      <c r="DT23" s="59">
        <f ca="1">AVERAGE(OFFSET($DS$3,0,0,'Données projet'!$E$14+1,1))-AVERAGE(OFFSET($H$3,0,0,'Données projet'!$E$14+1,1))</f>
        <v>439.66981240211362</v>
      </c>
      <c r="DU23" s="59">
        <f t="shared" si="44"/>
        <v>295.47805371292458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3.6388888888888888</v>
      </c>
      <c r="EJ23" s="12">
        <f>IF('Données projet'!$A$192&gt;35,EJ22+EI23-ER22,IF(A23&lt;'Données projet'!$A$192,$EG$205^A23,IF(A23='Données projet'!$A$192,'Données projet'!$B$192,EJ22+EI23-ER22)))</f>
        <v>72.777777777777743</v>
      </c>
      <c r="EK23" s="17">
        <f>EJ23*VLOOKUP('Données projet'!$B$15,Paramètres!$A$1:$I$89,3,0)*VLOOKUP('Données projet'!$B$15,Paramètres!$A$1:$I$89,5,0)</f>
        <v>69.255333333333311</v>
      </c>
      <c r="EL23" s="13">
        <f t="shared" si="45"/>
        <v>19.488415641702009</v>
      </c>
      <c r="EM23" s="20">
        <f t="shared" si="19"/>
        <v>154.56202946485317</v>
      </c>
      <c r="EN23" s="59">
        <f t="shared" si="20"/>
        <v>435.67314057596434</v>
      </c>
      <c r="EO23" s="59">
        <f ca="1">AVERAGE(OFFSET($EN$3,0,0,'Données projet'!$E$15+1,1))-AVERAGE(OFFSET($H$3,0,0,'Données projet'!$E$15+1,1))</f>
        <v>393.46715670823653</v>
      </c>
      <c r="EP23" s="59">
        <f t="shared" si="46"/>
        <v>266.16261355327214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projet'!$B$9,Paramètres!$A$1:$I$89,3,0)*VLOOKUP('Données projet'!$B$9,Paramètres!$A$1:$I$89,5,0)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431.93653064205341</v>
      </c>
      <c r="S24" s="59">
        <f ca="1">AVERAGE(OFFSET($R$3,0,0,'Données projet'!$E$9+1,1))-AVERAGE(OFFSET($H$3,0,0,'Données projet'!$E$9+1,1))</f>
        <v>549.43232095729741</v>
      </c>
      <c r="T24" s="59">
        <f t="shared" si="34"/>
        <v>280.26155987300996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4.5347670241192493</v>
      </c>
      <c r="AA24" s="21">
        <f>EXP(-LN(2)/25)*AA23+(1-EXP(-LN(2)/25))/(LN(2)/25)*Calculateur!V24*Calculateur!X24*VLOOKUP('Données projet'!$B$9,Paramètres!$A$1:$I$89,3,0)*0.475*44/12</f>
        <v>4.1398738195378666</v>
      </c>
      <c r="AB24" s="21">
        <f>EXP(-LN(2)/2)*AB23+(1-EXP(-LN(2)/2))/(LN(2)/2)*V24*Y24*VLOOKUP('Données projet'!$B$9,Paramètres!$A$1:$I$89,3,0)*0.475*44/12</f>
        <v>3.6984539317114193</v>
      </c>
      <c r="AC24" s="22">
        <f t="shared" si="3"/>
        <v>12.373094775368536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16.399999999999999</v>
      </c>
      <c r="AI24" s="13">
        <f>IF('Données projet'!$A$62&gt;35,AI23+AH24-AQ23,IF(A24&lt;'Données projet'!$A$62,$AF$205^A24,IF(A24='Données projet'!$A$62,'Données projet'!$B$62,AI23+AH24-AQ23)))</f>
        <v>138.4</v>
      </c>
      <c r="AJ24" s="13">
        <f>AI24*VLOOKUP('Données projet'!$B$10,Paramètres!$A$1:$I$89,3,0)*VLOOKUP('Données projet'!$B$10,Paramètres!$A$1:$I$89,5,0)</f>
        <v>82.763200000000012</v>
      </c>
      <c r="AK24" s="13">
        <f t="shared" si="35"/>
        <v>22.811459894537176</v>
      </c>
      <c r="AL24" s="20">
        <f t="shared" si="4"/>
        <v>183.8758659829856</v>
      </c>
      <c r="AM24" s="59">
        <f t="shared" si="5"/>
        <v>466.20919931631892</v>
      </c>
      <c r="AN24" s="59">
        <f ca="1">AVERAGE(OFFSET($AM$3,0,0,'Données projet'!$E$10+1,1))-AVERAGE(OFFSET($H$3,0,0,'Données projet'!$E$10+1,1))</f>
        <v>348.62416478262719</v>
      </c>
      <c r="AO24" s="59">
        <f t="shared" si="36"/>
        <v>371.70674704563288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1.049935093224063</v>
      </c>
      <c r="AV24" s="21">
        <f>EXP(-LN(2)/25)*AV23+(1-EXP(-LN(2)/25))/(LN(2)/25)*Calculateur!AQ24*Calculateur!AS24*VLOOKUP('Données projet'!$B$10,Paramètres!$A$1:$I$89,3,0)*0.475*44/12</f>
        <v>3.9845787901423533</v>
      </c>
      <c r="AW24" s="21">
        <f>EXP(-LN(2)/2)*AW23+(1-EXP(-LN(2)/2))/(LN(2)/2)*AQ24*AT24*VLOOKUP('Données projet'!$B$10,Paramètres!$A$1:$I$89,3,0)*0.475*44/12</f>
        <v>4.3960041343501475</v>
      </c>
      <c r="AX24" s="21">
        <f t="shared" si="6"/>
        <v>9.4305180177165635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74.2</v>
      </c>
      <c r="BE24" s="13">
        <f>BD24*VLOOKUP('Données projet'!$B$11,Paramètres!$A$1:$I$89,3,0)*VLOOKUP('Données projet'!$B$11,Paramètres!$A$1:$I$89,5,0)</f>
        <v>67.136160000000004</v>
      </c>
      <c r="BF24" s="13">
        <f t="shared" si="37"/>
        <v>18.960545405756019</v>
      </c>
      <c r="BG24" s="20">
        <f t="shared" si="7"/>
        <v>149.95176191502506</v>
      </c>
      <c r="BH24" s="59">
        <f t="shared" si="8"/>
        <v>432.2850952483584</v>
      </c>
      <c r="BI24" s="59">
        <f ca="1">AVERAGE(OFFSET($BH$3,0,0,'Données projet'!$E$11+1,1))-AVERAGE(OFFSET($H$3,0,0,'Données projet'!$E$11+1,1))</f>
        <v>405.7176439604217</v>
      </c>
      <c r="BJ24" s="59">
        <f t="shared" si="38"/>
        <v>278.21741231699929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0.50599770483107487</v>
      </c>
      <c r="BQ24" s="21">
        <f>EXP(-LN(2)/25)*BQ23+(1-EXP(-LN(2)/25))/(LN(2)/25)*Calculateur!BL24*Calculateur!BN24*VLOOKUP('Données projet'!$B$11,Paramètres!$A$1:$I$89,3,0)*0.475*44/12</f>
        <v>0.5000286007992798</v>
      </c>
      <c r="BR24" s="21">
        <f>EXP(-LN(2)/2)*BR23+(1-EXP(-LN(2)/2))/(LN(2)/2)*BL24*BO24*VLOOKUP('Données projet'!$B$11,Paramètres!$A$1:$I$89,3,0)*0.475*44/12</f>
        <v>2.1731734372909646</v>
      </c>
      <c r="BS24" s="22">
        <f t="shared" si="9"/>
        <v>3.1791997429213192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13.8</v>
      </c>
      <c r="BY24" s="12">
        <f>IF('Données projet'!$A$114&gt;35,BY23+BX24-CG23,IF(A24&lt;'Données projet'!$A$114,$BV$205^A24,IF(A24='Données projet'!$A$114,'Données projet'!$B$114,BY23+BX24-CG23)))</f>
        <v>107.80000000000001</v>
      </c>
      <c r="BZ24" s="13">
        <f>BY24*VLOOKUP('Données projet'!$B$12,Paramètres!$A$1:$I$89,3,0)*VLOOKUP('Données projet'!$B$12,Paramètres!$A$1:$I$89,5,0)</f>
        <v>94.174080000000018</v>
      </c>
      <c r="CA24" s="13">
        <f t="shared" si="39"/>
        <v>25.569241067746205</v>
      </c>
      <c r="CB24" s="20">
        <f t="shared" si="10"/>
        <v>208.55295085965801</v>
      </c>
      <c r="CC24" s="59">
        <f t="shared" si="11"/>
        <v>490.8862841929913</v>
      </c>
      <c r="CD24" s="59">
        <f ca="1">AVERAGE(OFFSET($CC$3,0,0,'Données projet'!$E$12+1,1))-AVERAGE(OFFSET($H$3,0,0,'Données projet'!$E$12+1,1))</f>
        <v>321.23599968992932</v>
      </c>
      <c r="CE24" s="59">
        <f t="shared" si="40"/>
        <v>388.05195847800502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4.930982421007152</v>
      </c>
      <c r="CM24" s="21">
        <f>EXP(-LN(2)/2)*CM23+(1-EXP(-LN(2)/2))/(LN(2)/2)*CG24*CJ24*VLOOKUP('Données projet'!$B$12,Paramètres!$A$1:$I$89,3,0)*0.475*44/12</f>
        <v>21.780771437595028</v>
      </c>
      <c r="CN24" s="22">
        <f t="shared" si="12"/>
        <v>26.711753858602179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3.6388888888888888</v>
      </c>
      <c r="CT24" s="12">
        <f>IF('Données projet'!$A$140&gt;35,CT23+CS24-DB23,IF(A24&lt;'Données projet'!$A$140,$CQ$205^A24,IF(A24='Données projet'!$A$140,'Données projet'!$B$140,CT23+CS24-DB23)))</f>
        <v>76.416666666666629</v>
      </c>
      <c r="CU24" s="17">
        <f>CT24*VLOOKUP('Données projet'!$B$13,Paramètres!$A$1:$I$89,3,0)*VLOOKUP('Données projet'!$B$13,Paramètres!$A$1:$I$89,5,0)</f>
        <v>73.910199999999961</v>
      </c>
      <c r="CV24" s="13">
        <f t="shared" si="41"/>
        <v>20.641404890280583</v>
      </c>
      <c r="CW24" s="20">
        <f t="shared" si="13"/>
        <v>164.67737851723862</v>
      </c>
      <c r="CX24" s="59">
        <f t="shared" si="14"/>
        <v>447.01071185057197</v>
      </c>
      <c r="CY24" s="59">
        <f ca="1">AVERAGE(OFFSET($CX$3,0,0,'Données projet'!$E$13+1,1))-AVERAGE(OFFSET($H$3,0,0,'Données projet'!$E$13+1,1))</f>
        <v>399.24912109442175</v>
      </c>
      <c r="CZ24" s="59">
        <f t="shared" si="42"/>
        <v>269.83150082245305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3.6388888888888888</v>
      </c>
      <c r="DO24" s="12">
        <f>IF('Données projet'!$A$166&gt;35,DO23+DN24-DW23,IF(A24&lt;'Données projet'!$A$166,$DL$205^A24,IF(A24='Données projet'!$A$166,'Données projet'!$B$166,DO23+DN24-DW23)))</f>
        <v>76.416666666666629</v>
      </c>
      <c r="DP24" s="17">
        <f>DO24*VLOOKUP('Données projet'!$B$14,Paramètres!$A$1:$I$89,3,0)*VLOOKUP('Données projet'!$B$14,Paramètres!$A$1:$I$89,5,0)</f>
        <v>82.254899999999964</v>
      </c>
      <c r="DQ24" s="13">
        <f t="shared" si="43"/>
        <v>22.687623817317835</v>
      </c>
      <c r="DR24" s="20">
        <f t="shared" si="16"/>
        <v>182.77489564849517</v>
      </c>
      <c r="DS24" s="59">
        <f t="shared" si="17"/>
        <v>465.10822898182846</v>
      </c>
      <c r="DT24" s="59">
        <f ca="1">AVERAGE(OFFSET($DS$3,0,0,'Données projet'!$E$14+1,1))-AVERAGE(OFFSET($H$3,0,0,'Données projet'!$E$14+1,1))</f>
        <v>439.66981240211362</v>
      </c>
      <c r="DU24" s="59">
        <f t="shared" si="44"/>
        <v>295.47805371292458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3.6388888888888888</v>
      </c>
      <c r="EJ24" s="12">
        <f>IF('Données projet'!$A$192&gt;35,EJ23+EI24-ER23,IF(A24&lt;'Données projet'!$A$192,$EG$205^A24,IF(A24='Données projet'!$A$192,'Données projet'!$B$192,EJ23+EI24-ER23)))</f>
        <v>76.416666666666629</v>
      </c>
      <c r="EK24" s="17">
        <f>EJ24*VLOOKUP('Données projet'!$B$15,Paramètres!$A$1:$I$89,3,0)*VLOOKUP('Données projet'!$B$15,Paramètres!$A$1:$I$89,5,0)</f>
        <v>72.718099999999964</v>
      </c>
      <c r="EL24" s="13">
        <f t="shared" si="45"/>
        <v>20.346953762928333</v>
      </c>
      <c r="EM24" s="20">
        <f t="shared" si="19"/>
        <v>162.08830197043343</v>
      </c>
      <c r="EN24" s="59">
        <f t="shared" si="20"/>
        <v>444.42163530376672</v>
      </c>
      <c r="EO24" s="59">
        <f ca="1">AVERAGE(OFFSET($EN$3,0,0,'Données projet'!$E$15+1,1))-AVERAGE(OFFSET($H$3,0,0,'Données projet'!$E$15+1,1))</f>
        <v>393.46715670823653</v>
      </c>
      <c r="EP24" s="59">
        <f t="shared" si="46"/>
        <v>266.16261355327214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projet'!$B$9,Paramètres!$A$1:$I$89,3,0)*VLOOKUP('Données projet'!$B$9,Paramètres!$A$1:$I$89,5,0)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452.6521957139089</v>
      </c>
      <c r="S25" s="59">
        <f ca="1">AVERAGE(OFFSET($R$3,0,0,'Données projet'!$E$9+1,1))-AVERAGE(OFFSET($H$3,0,0,'Données projet'!$E$9+1,1))</f>
        <v>549.43232095729741</v>
      </c>
      <c r="T25" s="59">
        <f t="shared" si="34"/>
        <v>280.26155987300996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4.4458430087110425</v>
      </c>
      <c r="AA25" s="21">
        <f>EXP(-LN(2)/25)*AA24+(1-EXP(-LN(2)/25))/(LN(2)/25)*Calculateur!V25*Calculateur!X25*VLOOKUP('Données projet'!$B$9,Paramètres!$A$1:$I$89,3,0)*0.475*44/12</f>
        <v>4.0266687522361009</v>
      </c>
      <c r="AB25" s="21">
        <f>EXP(-LN(2)/2)*AB24+(1-EXP(-LN(2)/2))/(LN(2)/2)*V25*Y25*VLOOKUP('Données projet'!$B$9,Paramètres!$A$1:$I$89,3,0)*0.475*44/12</f>
        <v>2.6152018550191931</v>
      </c>
      <c r="AC25" s="22">
        <f t="shared" si="3"/>
        <v>11.087713615966337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16.399999999999999</v>
      </c>
      <c r="AI25" s="13">
        <f>IF('Données projet'!$A$62&gt;35,AI24+AH25-AQ24,IF(A25&lt;'Données projet'!$A$62,$AF$205^A25,IF(A25='Données projet'!$A$62,'Données projet'!$B$62,AI24+AH25-AQ24)))</f>
        <v>154.80000000000001</v>
      </c>
      <c r="AJ25" s="13">
        <f>AI25*VLOOKUP('Données projet'!$B$10,Paramètres!$A$1:$I$89,3,0)*VLOOKUP('Données projet'!$B$10,Paramètres!$A$1:$I$89,5,0)</f>
        <v>92.570400000000021</v>
      </c>
      <c r="AK25" s="13">
        <f t="shared" si="35"/>
        <v>25.184123943972491</v>
      </c>
      <c r="AL25" s="20">
        <f t="shared" si="4"/>
        <v>205.0891292024188</v>
      </c>
      <c r="AM25" s="59">
        <f t="shared" si="5"/>
        <v>488.64468475797435</v>
      </c>
      <c r="AN25" s="59">
        <f ca="1">AVERAGE(OFFSET($AM$3,0,0,'Données projet'!$E$10+1,1))-AVERAGE(OFFSET($H$3,0,0,'Données projet'!$E$10+1,1))</f>
        <v>348.62416478262719</v>
      </c>
      <c r="AO25" s="59">
        <f t="shared" si="36"/>
        <v>371.70674704563288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1.029346506443112</v>
      </c>
      <c r="AV25" s="21">
        <f>EXP(-LN(2)/25)*AV24+(1-EXP(-LN(2)/25))/(LN(2)/25)*Calculateur!AQ25*Calculateur!AS25*VLOOKUP('Données projet'!$B$10,Paramètres!$A$1:$I$89,3,0)*0.475*44/12</f>
        <v>3.8756202735860188</v>
      </c>
      <c r="AW25" s="21">
        <f>EXP(-LN(2)/2)*AW24+(1-EXP(-LN(2)/2))/(LN(2)/2)*AQ25*AT25*VLOOKUP('Données projet'!$B$10,Paramètres!$A$1:$I$89,3,0)*0.475*44/12</f>
        <v>3.1084443335230882</v>
      </c>
      <c r="AX25" s="21">
        <f t="shared" si="6"/>
        <v>8.0134111135522197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81.400000000000006</v>
      </c>
      <c r="BE25" s="13">
        <f>BD25*VLOOKUP('Données projet'!$B$11,Paramètres!$A$1:$I$89,3,0)*VLOOKUP('Données projet'!$B$11,Paramètres!$A$1:$I$89,5,0)</f>
        <v>73.650720000000007</v>
      </c>
      <c r="BF25" s="13">
        <f t="shared" si="37"/>
        <v>20.577360172493922</v>
      </c>
      <c r="BG25" s="20">
        <f t="shared" si="7"/>
        <v>164.11390630042692</v>
      </c>
      <c r="BH25" s="59">
        <f t="shared" si="8"/>
        <v>447.66946185598249</v>
      </c>
      <c r="BI25" s="59">
        <f ca="1">AVERAGE(OFFSET($BH$3,0,0,'Données projet'!$E$11+1,1))-AVERAGE(OFFSET($H$3,0,0,'Données projet'!$E$11+1,1))</f>
        <v>405.7176439604217</v>
      </c>
      <c r="BJ25" s="59">
        <f t="shared" si="38"/>
        <v>278.21741231699929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0.49607539846746296</v>
      </c>
      <c r="BQ25" s="21">
        <f>EXP(-LN(2)/25)*BQ24+(1-EXP(-LN(2)/25))/(LN(2)/25)*Calculateur!BL25*Calculateur!BN25*VLOOKUP('Données projet'!$B$11,Paramètres!$A$1:$I$89,3,0)*0.475*44/12</f>
        <v>0.4863552924150622</v>
      </c>
      <c r="BR25" s="21">
        <f>EXP(-LN(2)/2)*BR24+(1-EXP(-LN(2)/2))/(LN(2)/2)*BL25*BO25*VLOOKUP('Données projet'!$B$11,Paramètres!$A$1:$I$89,3,0)*0.475*44/12</f>
        <v>1.5366656742029194</v>
      </c>
      <c r="BS25" s="22">
        <f t="shared" si="9"/>
        <v>2.5190963650854448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13.8</v>
      </c>
      <c r="BY25" s="12">
        <f>IF('Données projet'!$A$114&gt;35,BY24+BX25-CG24,IF(A25&lt;'Données projet'!$A$114,$BV$205^A25,IF(A25='Données projet'!$A$114,'Données projet'!$B$114,BY24+BX25-CG24)))</f>
        <v>121.60000000000001</v>
      </c>
      <c r="BZ25" s="13">
        <f>BY25*VLOOKUP('Données projet'!$B$12,Paramètres!$A$1:$I$89,3,0)*VLOOKUP('Données projet'!$B$12,Paramètres!$A$1:$I$89,5,0)</f>
        <v>106.22976000000003</v>
      </c>
      <c r="CA25" s="13">
        <f t="shared" si="39"/>
        <v>28.440891625171492</v>
      </c>
      <c r="CB25" s="20">
        <f t="shared" si="10"/>
        <v>234.55138491384039</v>
      </c>
      <c r="CC25" s="59">
        <f t="shared" si="11"/>
        <v>518.10694046939591</v>
      </c>
      <c r="CD25" s="59">
        <f ca="1">AVERAGE(OFFSET($CC$3,0,0,'Données projet'!$E$12+1,1))-AVERAGE(OFFSET($H$3,0,0,'Données projet'!$E$12+1,1))</f>
        <v>321.23599968992932</v>
      </c>
      <c r="CE25" s="59">
        <f t="shared" si="40"/>
        <v>388.05195847800502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4.7961444473956156</v>
      </c>
      <c r="CM25" s="21">
        <f>EXP(-LN(2)/2)*CM24+(1-EXP(-LN(2)/2))/(LN(2)/2)*CG25*CJ25*VLOOKUP('Données projet'!$B$12,Paramètres!$A$1:$I$89,3,0)*0.475*44/12</f>
        <v>15.401331182997714</v>
      </c>
      <c r="CN25" s="22">
        <f t="shared" si="12"/>
        <v>20.197475630393328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3.6388888888888888</v>
      </c>
      <c r="CT25" s="12">
        <f>IF('Données projet'!$A$140&gt;35,CT24+CS25-DB24,IF(A25&lt;'Données projet'!$A$140,$CQ$205^A25,IF(A25='Données projet'!$A$140,'Données projet'!$B$140,CT24+CS25-DB24)))</f>
        <v>80.055555555555515</v>
      </c>
      <c r="CU25" s="17">
        <f>CT25*VLOOKUP('Données projet'!$B$13,Paramètres!$A$1:$I$89,3,0)*VLOOKUP('Données projet'!$B$13,Paramètres!$A$1:$I$89,5,0)</f>
        <v>77.429733333333303</v>
      </c>
      <c r="CV25" s="13">
        <f t="shared" si="41"/>
        <v>21.50755116614825</v>
      </c>
      <c r="CW25" s="20">
        <f t="shared" si="13"/>
        <v>172.31577050326371</v>
      </c>
      <c r="CX25" s="59">
        <f t="shared" si="14"/>
        <v>455.87132605881925</v>
      </c>
      <c r="CY25" s="59">
        <f ca="1">AVERAGE(OFFSET($CX$3,0,0,'Données projet'!$E$13+1,1))-AVERAGE(OFFSET($H$3,0,0,'Données projet'!$E$13+1,1))</f>
        <v>399.24912109442175</v>
      </c>
      <c r="CZ25" s="59">
        <f t="shared" si="42"/>
        <v>269.83150082245305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3.6388888888888888</v>
      </c>
      <c r="DO25" s="12">
        <f>IF('Données projet'!$A$166&gt;35,DO24+DN25-DW24,IF(A25&lt;'Données projet'!$A$166,$DL$205^A25,IF(A25='Données projet'!$A$166,'Données projet'!$B$166,DO24+DN25-DW24)))</f>
        <v>80.055555555555515</v>
      </c>
      <c r="DP25" s="17">
        <f>DO25*VLOOKUP('Données projet'!$B$14,Paramètres!$A$1:$I$89,3,0)*VLOOKUP('Données projet'!$B$14,Paramètres!$A$1:$I$89,5,0)</f>
        <v>86.171799999999948</v>
      </c>
      <c r="DQ25" s="13">
        <f t="shared" si="43"/>
        <v>23.639632703443091</v>
      </c>
      <c r="DR25" s="20">
        <f t="shared" si="16"/>
        <v>191.25491195849665</v>
      </c>
      <c r="DS25" s="59">
        <f t="shared" si="17"/>
        <v>474.81046751405222</v>
      </c>
      <c r="DT25" s="59">
        <f ca="1">AVERAGE(OFFSET($DS$3,0,0,'Données projet'!$E$14+1,1))-AVERAGE(OFFSET($H$3,0,0,'Données projet'!$E$14+1,1))</f>
        <v>439.66981240211362</v>
      </c>
      <c r="DU25" s="59">
        <f t="shared" si="44"/>
        <v>295.47805371292458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3.6388888888888888</v>
      </c>
      <c r="EJ25" s="12">
        <f>IF('Données projet'!$A$192&gt;35,EJ24+EI25-ER24,IF(A25&lt;'Données projet'!$A$192,$EG$205^A25,IF(A25='Données projet'!$A$192,'Données projet'!$B$192,EJ24+EI25-ER24)))</f>
        <v>80.055555555555515</v>
      </c>
      <c r="EK25" s="17">
        <f>EJ25*VLOOKUP('Données projet'!$B$15,Paramètres!$A$1:$I$89,3,0)*VLOOKUP('Données projet'!$B$15,Paramètres!$A$1:$I$89,5,0)</f>
        <v>76.180866666666631</v>
      </c>
      <c r="EL25" s="13">
        <f t="shared" si="45"/>
        <v>21.20074439979096</v>
      </c>
      <c r="EM25" s="20">
        <f t="shared" si="19"/>
        <v>169.60630594074698</v>
      </c>
      <c r="EN25" s="59">
        <f t="shared" si="20"/>
        <v>453.16186149630255</v>
      </c>
      <c r="EO25" s="59">
        <f ca="1">AVERAGE(OFFSET($EN$3,0,0,'Données projet'!$E$15+1,1))-AVERAGE(OFFSET($H$3,0,0,'Données projet'!$E$15+1,1))</f>
        <v>393.46715670823653</v>
      </c>
      <c r="EP25" s="59">
        <f t="shared" si="46"/>
        <v>266.16261355327214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projet'!$B$9,Paramètres!$A$1:$I$89,3,0)*VLOOKUP('Données projet'!$B$9,Paramètres!$A$1:$I$89,5,0)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473.31488060977773</v>
      </c>
      <c r="S26" s="59">
        <f ca="1">AVERAGE(OFFSET($R$3,0,0,'Données projet'!$E$9+1,1))-AVERAGE(OFFSET($H$3,0,0,'Données projet'!$E$9+1,1))</f>
        <v>549.43232095729741</v>
      </c>
      <c r="T26" s="59">
        <f t="shared" si="34"/>
        <v>280.26155987300996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4.3586627390066965</v>
      </c>
      <c r="AA26" s="21">
        <f>EXP(-LN(2)/25)*AA25+(1-EXP(-LN(2)/25))/(LN(2)/25)*Calculateur!V26*Calculateur!X26*VLOOKUP('Données projet'!$B$9,Paramètres!$A$1:$I$89,3,0)*0.475*44/12</f>
        <v>3.9165592834528979</v>
      </c>
      <c r="AB26" s="21">
        <f>EXP(-LN(2)/2)*AB25+(1-EXP(-LN(2)/2))/(LN(2)/2)*V26*Y26*VLOOKUP('Données projet'!$B$9,Paramètres!$A$1:$I$89,3,0)*0.475*44/12</f>
        <v>1.8492269658557099</v>
      </c>
      <c r="AC26" s="22">
        <f t="shared" si="3"/>
        <v>10.124448988315304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16.399999999999999</v>
      </c>
      <c r="AI26" s="13">
        <f>IF('Données projet'!$A$62&gt;35,AI25+AH26-AQ25,IF(A26&lt;'Données projet'!$A$62,$AF$205^A26,IF(A26='Données projet'!$A$62,'Données projet'!$B$62,AI25+AH26-AQ25)))</f>
        <v>171.20000000000002</v>
      </c>
      <c r="AJ26" s="13">
        <f>AI26*VLOOKUP('Données projet'!$B$10,Paramètres!$A$1:$I$89,3,0)*VLOOKUP('Données projet'!$B$10,Paramètres!$A$1:$I$89,5,0)</f>
        <v>102.37760000000002</v>
      </c>
      <c r="AK26" s="13">
        <f t="shared" si="35"/>
        <v>27.527651005505614</v>
      </c>
      <c r="AL26" s="20">
        <f t="shared" si="4"/>
        <v>226.25164550125564</v>
      </c>
      <c r="AM26" s="59">
        <f t="shared" si="5"/>
        <v>511.02942327903338</v>
      </c>
      <c r="AN26" s="59">
        <f ca="1">AVERAGE(OFFSET($AM$3,0,0,'Données projet'!$E$10+1,1))-AVERAGE(OFFSET($H$3,0,0,'Données projet'!$E$10+1,1))</f>
        <v>348.62416478262719</v>
      </c>
      <c r="AO26" s="59">
        <f t="shared" si="36"/>
        <v>371.70674704563288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1.0091616492911375</v>
      </c>
      <c r="AV26" s="21">
        <f>EXP(-LN(2)/25)*AV25+(1-EXP(-LN(2)/25))/(LN(2)/25)*Calculateur!AQ26*Calculateur!AS26*VLOOKUP('Données projet'!$B$10,Paramètres!$A$1:$I$89,3,0)*0.475*44/12</f>
        <v>3.7696412333947968</v>
      </c>
      <c r="AW26" s="21">
        <f>EXP(-LN(2)/2)*AW25+(1-EXP(-LN(2)/2))/(LN(2)/2)*AQ26*AT26*VLOOKUP('Données projet'!$B$10,Paramètres!$A$1:$I$89,3,0)*0.475*44/12</f>
        <v>2.1980020671750742</v>
      </c>
      <c r="AX26" s="21">
        <f t="shared" si="6"/>
        <v>6.9768049498610081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80.165279999999996</v>
      </c>
      <c r="BF26" s="13">
        <f t="shared" si="37"/>
        <v>22.177591092468788</v>
      </c>
      <c r="BG26" s="20">
        <f t="shared" si="7"/>
        <v>178.24716715271646</v>
      </c>
      <c r="BH26" s="59">
        <f t="shared" si="8"/>
        <v>463.02494493049426</v>
      </c>
      <c r="BI26" s="59">
        <f ca="1">AVERAGE(OFFSET($BH$3,0,0,'Données projet'!$E$11+1,1))-AVERAGE(OFFSET($H$3,0,0,'Données projet'!$E$11+1,1))</f>
        <v>405.7176439604217</v>
      </c>
      <c r="BJ26" s="59">
        <f t="shared" si="38"/>
        <v>278.21741231699929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0.48634766247963218</v>
      </c>
      <c r="BQ26" s="21">
        <f>EXP(-LN(2)/25)*BQ25+(1-EXP(-LN(2)/25))/(LN(2)/25)*Calculateur!BL26*Calculateur!BN26*VLOOKUP('Données projet'!$B$11,Paramètres!$A$1:$I$89,3,0)*0.475*44/12</f>
        <v>0.47305588136765908</v>
      </c>
      <c r="BR26" s="21">
        <f>EXP(-LN(2)/2)*BR25+(1-EXP(-LN(2)/2))/(LN(2)/2)*BL26*BO26*VLOOKUP('Données projet'!$B$11,Paramètres!$A$1:$I$89,3,0)*0.475*44/12</f>
        <v>1.0865867186454823</v>
      </c>
      <c r="BS26" s="22">
        <f t="shared" si="9"/>
        <v>2.0459902624927735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13.8</v>
      </c>
      <c r="BY26" s="12">
        <f>IF('Données projet'!$A$114&gt;35,BY25+BX26-CG25,IF(A26&lt;'Données projet'!$A$114,$BV$205^A26,IF(A26='Données projet'!$A$114,'Données projet'!$B$114,BY25+BX26-CG25)))</f>
        <v>135.4</v>
      </c>
      <c r="BZ26" s="13">
        <f>BY26*VLOOKUP('Données projet'!$B$12,Paramètres!$A$1:$I$89,3,0)*VLOOKUP('Données projet'!$B$12,Paramètres!$A$1:$I$89,5,0)</f>
        <v>118.28544000000002</v>
      </c>
      <c r="CA26" s="13">
        <f t="shared" si="39"/>
        <v>31.274772013169596</v>
      </c>
      <c r="CB26" s="20">
        <f t="shared" si="10"/>
        <v>260.48403592293715</v>
      </c>
      <c r="CC26" s="59">
        <f t="shared" si="11"/>
        <v>545.26181370071492</v>
      </c>
      <c r="CD26" s="59">
        <f ca="1">AVERAGE(OFFSET($CC$3,0,0,'Données projet'!$E$12+1,1))-AVERAGE(OFFSET($H$3,0,0,'Données projet'!$E$12+1,1))</f>
        <v>321.23599968992932</v>
      </c>
      <c r="CE26" s="59">
        <f t="shared" si="40"/>
        <v>388.05195847800502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4.6649936252633077</v>
      </c>
      <c r="CM26" s="21">
        <f>EXP(-LN(2)/2)*CM25+(1-EXP(-LN(2)/2))/(LN(2)/2)*CG26*CJ26*VLOOKUP('Données projet'!$B$12,Paramètres!$A$1:$I$89,3,0)*0.475*44/12</f>
        <v>10.890385718797516</v>
      </c>
      <c r="CN26" s="22">
        <f t="shared" si="12"/>
        <v>15.555379344060825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3.6388888888888888</v>
      </c>
      <c r="CT26" s="12">
        <f>IF('Données projet'!$A$140&gt;35,CT25+CS26-DB25,IF(A26&lt;'Données projet'!$A$140,$CQ$205^A26,IF(A26='Données projet'!$A$140,'Données projet'!$B$140,CT25+CS26-DB25)))</f>
        <v>83.6944444444444</v>
      </c>
      <c r="CU26" s="17">
        <f>CT26*VLOOKUP('Données projet'!$B$13,Paramètres!$A$1:$I$89,3,0)*VLOOKUP('Données projet'!$B$13,Paramètres!$A$1:$I$89,5,0)</f>
        <v>80.949266666666631</v>
      </c>
      <c r="CV26" s="13">
        <f t="shared" si="41"/>
        <v>22.369125180251999</v>
      </c>
      <c r="CW26" s="20">
        <f t="shared" si="13"/>
        <v>179.94619913338329</v>
      </c>
      <c r="CX26" s="59">
        <f t="shared" si="14"/>
        <v>464.72397691116106</v>
      </c>
      <c r="CY26" s="59">
        <f ca="1">AVERAGE(OFFSET($CX$3,0,0,'Données projet'!$E$13+1,1))-AVERAGE(OFFSET($H$3,0,0,'Données projet'!$E$13+1,1))</f>
        <v>399.24912109442175</v>
      </c>
      <c r="CZ26" s="59">
        <f t="shared" si="42"/>
        <v>269.83150082245305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3.6388888888888888</v>
      </c>
      <c r="DO26" s="12">
        <f>IF('Données projet'!$A$166&gt;35,DO25+DN26-DW25,IF(A26&lt;'Données projet'!$A$166,$DL$205^A26,IF(A26='Données projet'!$A$166,'Données projet'!$B$166,DO25+DN26-DW25)))</f>
        <v>83.6944444444444</v>
      </c>
      <c r="DP26" s="17">
        <f>DO26*VLOOKUP('Données projet'!$B$14,Paramètres!$A$1:$I$89,3,0)*VLOOKUP('Données projet'!$B$14,Paramètres!$A$1:$I$89,5,0)</f>
        <v>90.088699999999946</v>
      </c>
      <c r="DQ26" s="13">
        <f t="shared" si="43"/>
        <v>24.586616071419463</v>
      </c>
      <c r="DR26" s="20">
        <f t="shared" si="16"/>
        <v>199.7261754910555</v>
      </c>
      <c r="DS26" s="59">
        <f t="shared" si="17"/>
        <v>484.50395326883324</v>
      </c>
      <c r="DT26" s="59">
        <f ca="1">AVERAGE(OFFSET($DS$3,0,0,'Données projet'!$E$14+1,1))-AVERAGE(OFFSET($H$3,0,0,'Données projet'!$E$14+1,1))</f>
        <v>439.66981240211362</v>
      </c>
      <c r="DU26" s="59">
        <f t="shared" si="44"/>
        <v>295.47805371292458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3.6388888888888888</v>
      </c>
      <c r="EJ26" s="12">
        <f>IF('Données projet'!$A$192&gt;35,EJ25+EI26-ER25,IF(A26&lt;'Données projet'!$A$192,$EG$205^A26,IF(A26='Données projet'!$A$192,'Données projet'!$B$192,EJ25+EI26-ER25)))</f>
        <v>83.6944444444444</v>
      </c>
      <c r="EK26" s="17">
        <f>EJ26*VLOOKUP('Données projet'!$B$15,Paramètres!$A$1:$I$89,3,0)*VLOOKUP('Données projet'!$B$15,Paramètres!$A$1:$I$89,5,0)</f>
        <v>79.643633333333284</v>
      </c>
      <c r="EL26" s="13">
        <f t="shared" si="45"/>
        <v>22.050027998533004</v>
      </c>
      <c r="EM26" s="20">
        <f t="shared" si="19"/>
        <v>177.11646015300042</v>
      </c>
      <c r="EN26" s="59">
        <f t="shared" si="20"/>
        <v>461.89423793077822</v>
      </c>
      <c r="EO26" s="59">
        <f ca="1">AVERAGE(OFFSET($EN$3,0,0,'Données projet'!$E$15+1,1))-AVERAGE(OFFSET($H$3,0,0,'Données projet'!$E$15+1,1))</f>
        <v>393.46715670823653</v>
      </c>
      <c r="EP26" s="59">
        <f t="shared" si="46"/>
        <v>266.16261355327214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projet'!$B$9,Paramètres!$A$1:$I$89,3,0)*VLOOKUP('Données projet'!$B$9,Paramètres!$A$1:$I$89,5,0)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493.93081950450437</v>
      </c>
      <c r="S27" s="59">
        <f ca="1">AVERAGE(OFFSET($R$3,0,0,'Données projet'!$E$9+1,1))-AVERAGE(OFFSET($H$3,0,0,'Données projet'!$E$9+1,1))</f>
        <v>549.43232095729741</v>
      </c>
      <c r="T27" s="59">
        <f t="shared" si="34"/>
        <v>280.26155987300996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0.18000000000000002</v>
      </c>
      <c r="X27" s="16">
        <f>IF(ISNA(VLOOKUP(A27,'Données projet'!$A$35:$I$55,6,0)),0%,VLOOKUP(A27,'Données projet'!$A$35:$I$55,6,0)*VLOOKUP('Données projet'!$B$9,Paramètres!$A$1:$I$89,7,0))</f>
        <v>0.13500000000000001</v>
      </c>
      <c r="Y27" s="16">
        <f>IF(ISNA(VLOOKUP(A27,'Données projet'!$A$35:$I$55,7,0)),0%,VLOOKUP(A27,'Données projet'!$A$35:$I$55,7,0))</f>
        <v>0.3</v>
      </c>
      <c r="Z27" s="21">
        <f>EXP(-LN(2)/35)*Z26+(1-EXP(-LN(2)/35))/(LN(2)/35)*V27*W27*VLOOKUP('Données projet'!$B$9,Paramètres!$A$1:$I$89,3,0)*0.475*44/12</f>
        <v>8.6997253587054146</v>
      </c>
      <c r="AA27" s="21">
        <f>EXP(-LN(2)/25)*AA26+(1-EXP(-LN(2)/25))/(LN(2)/25)*Calculateur!V27*Calculateur!X27*VLOOKUP('Données projet'!$B$9,Paramètres!$A$1:$I$89,3,0)*0.475*44/12</f>
        <v>7.1162890557072895</v>
      </c>
      <c r="AB27" s="21">
        <f>EXP(-LN(2)/2)*AB26+(1-EXP(-LN(2)/2))/(LN(2)/2)*V27*Y27*VLOOKUP('Données projet'!$B$9,Paramètres!$A$1:$I$89,3,0)*0.475*44/12</f>
        <v>7.6043976269732845</v>
      </c>
      <c r="AC27" s="22">
        <f t="shared" si="3"/>
        <v>23.420412041385987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16.399999999999999</v>
      </c>
      <c r="AI27" s="13">
        <f>IF('Données projet'!$A$62&gt;35,AI26+AH27-AQ26,IF(A27&lt;'Données projet'!$A$62,$AF$205^A27,IF(A27='Données projet'!$A$62,'Données projet'!$B$62,AI26+AH27-AQ26)))</f>
        <v>187.60000000000002</v>
      </c>
      <c r="AJ27" s="13">
        <f>AI27*VLOOKUP('Données projet'!$B$10,Paramètres!$A$1:$I$89,3,0)*VLOOKUP('Données projet'!$B$10,Paramètres!$A$1:$I$89,5,0)</f>
        <v>112.18480000000002</v>
      </c>
      <c r="AK27" s="13">
        <f t="shared" si="35"/>
        <v>29.845149809641946</v>
      </c>
      <c r="AL27" s="20">
        <f t="shared" si="4"/>
        <v>247.36882925179307</v>
      </c>
      <c r="AM27" s="59">
        <f t="shared" si="5"/>
        <v>533.36882925179304</v>
      </c>
      <c r="AN27" s="59">
        <f ca="1">AVERAGE(OFFSET($AM$3,0,0,'Données projet'!$E$10+1,1))-AVERAGE(OFFSET($H$3,0,0,'Données projet'!$E$10+1,1))</f>
        <v>348.62416478262719</v>
      </c>
      <c r="AO27" s="59">
        <f t="shared" si="36"/>
        <v>371.70674704563288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0.98937260487636602</v>
      </c>
      <c r="AV27" s="21">
        <f>EXP(-LN(2)/25)*AV26+(1-EXP(-LN(2)/25))/(LN(2)/25)*Calculateur!AQ27*Calculateur!AS27*VLOOKUP('Données projet'!$B$10,Paramètres!$A$1:$I$89,3,0)*0.475*44/12</f>
        <v>3.6665601956307992</v>
      </c>
      <c r="AW27" s="21">
        <f>EXP(-LN(2)/2)*AW26+(1-EXP(-LN(2)/2))/(LN(2)/2)*AQ27*AT27*VLOOKUP('Données projet'!$B$10,Paramètres!$A$1:$I$89,3,0)*0.475*44/12</f>
        <v>1.5542221667615443</v>
      </c>
      <c r="AX27" s="21">
        <f t="shared" si="6"/>
        <v>6.2101549672687097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95.800000000000011</v>
      </c>
      <c r="BE27" s="13">
        <f>BD27*VLOOKUP('Données projet'!$B$11,Paramètres!$A$1:$I$89,3,0)*VLOOKUP('Données projet'!$B$11,Paramètres!$A$1:$I$89,5,0)</f>
        <v>86.679839999999999</v>
      </c>
      <c r="BF27" s="13">
        <f t="shared" si="37"/>
        <v>23.762739053789723</v>
      </c>
      <c r="BG27" s="20">
        <f t="shared" si="7"/>
        <v>192.35415851868379</v>
      </c>
      <c r="BH27" s="59">
        <f t="shared" si="8"/>
        <v>478.35415851868379</v>
      </c>
      <c r="BI27" s="59">
        <f ca="1">AVERAGE(OFFSET($BH$3,0,0,'Données projet'!$E$11+1,1))-AVERAGE(OFFSET($H$3,0,0,'Données projet'!$E$11+1,1))</f>
        <v>405.7176439604217</v>
      </c>
      <c r="BJ27" s="59">
        <f t="shared" si="38"/>
        <v>278.21741231699929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0.47681068146118966</v>
      </c>
      <c r="BQ27" s="21">
        <f>EXP(-LN(2)/25)*BQ26+(1-EXP(-LN(2)/25))/(LN(2)/25)*Calculateur!BL27*Calculateur!BN27*VLOOKUP('Données projet'!$B$11,Paramètres!$A$1:$I$89,3,0)*0.475*44/12</f>
        <v>0.46012014341473284</v>
      </c>
      <c r="BR27" s="21">
        <f>EXP(-LN(2)/2)*BR26+(1-EXP(-LN(2)/2))/(LN(2)/2)*BL27*BO27*VLOOKUP('Données projet'!$B$11,Paramètres!$A$1:$I$89,3,0)*0.475*44/12</f>
        <v>0.76833283710145972</v>
      </c>
      <c r="BS27" s="22">
        <f t="shared" si="9"/>
        <v>1.7052636619773822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13.8</v>
      </c>
      <c r="BY27" s="12">
        <f>IF('Données projet'!$A$114&gt;35,BY26+BX27-CG26,IF(A27&lt;'Données projet'!$A$114,$BV$205^A27,IF(A27='Données projet'!$A$114,'Données projet'!$B$114,BY26+BX27-CG26)))</f>
        <v>149.20000000000002</v>
      </c>
      <c r="BZ27" s="13">
        <f>BY27*VLOOKUP('Données projet'!$B$12,Paramètres!$A$1:$I$89,3,0)*VLOOKUP('Données projet'!$B$12,Paramètres!$A$1:$I$89,5,0)</f>
        <v>130.34112000000005</v>
      </c>
      <c r="CA27" s="13">
        <f t="shared" si="39"/>
        <v>34.075170122989917</v>
      </c>
      <c r="CB27" s="20">
        <f t="shared" si="10"/>
        <v>286.35837196420749</v>
      </c>
      <c r="CC27" s="59">
        <f t="shared" si="11"/>
        <v>572.35837196420744</v>
      </c>
      <c r="CD27" s="59">
        <f ca="1">AVERAGE(OFFSET($CC$3,0,0,'Données projet'!$E$12+1,1))-AVERAGE(OFFSET($H$3,0,0,'Données projet'!$E$12+1,1))</f>
        <v>321.23599968992932</v>
      </c>
      <c r="CE27" s="59">
        <f t="shared" si="40"/>
        <v>388.05195847800502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4.53742912925913</v>
      </c>
      <c r="CM27" s="21">
        <f>EXP(-LN(2)/2)*CM26+(1-EXP(-LN(2)/2))/(LN(2)/2)*CG27*CJ27*VLOOKUP('Données projet'!$B$12,Paramètres!$A$1:$I$89,3,0)*0.475*44/12</f>
        <v>7.7006655914988578</v>
      </c>
      <c r="CN27" s="22">
        <f t="shared" si="12"/>
        <v>12.238094720757989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3.6388888888888888</v>
      </c>
      <c r="CT27" s="12">
        <f>IF('Données projet'!$A$140&gt;35,CT26+CS27-DB26,IF(A27&lt;'Données projet'!$A$140,$CQ$205^A27,IF(A27='Données projet'!$A$140,'Données projet'!$B$140,CT26+CS27-DB26)))</f>
        <v>87.333333333333286</v>
      </c>
      <c r="CU27" s="17">
        <f>CT27*VLOOKUP('Données projet'!$B$13,Paramètres!$A$1:$I$89,3,0)*VLOOKUP('Données projet'!$B$13,Paramètres!$A$1:$I$89,5,0)</f>
        <v>84.468799999999959</v>
      </c>
      <c r="CV27" s="13">
        <f t="shared" si="41"/>
        <v>23.226348448030443</v>
      </c>
      <c r="CW27" s="20">
        <f t="shared" si="13"/>
        <v>187.56905021365296</v>
      </c>
      <c r="CX27" s="59">
        <f t="shared" si="14"/>
        <v>473.56905021365299</v>
      </c>
      <c r="CY27" s="59">
        <f ca="1">AVERAGE(OFFSET($CX$3,0,0,'Données projet'!$E$13+1,1))-AVERAGE(OFFSET($H$3,0,0,'Données projet'!$E$13+1,1))</f>
        <v>399.24912109442175</v>
      </c>
      <c r="CZ27" s="59">
        <f t="shared" si="42"/>
        <v>269.83150082245305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3.6388888888888888</v>
      </c>
      <c r="DO27" s="12">
        <f>IF('Données projet'!$A$166&gt;35,DO26+DN27-DW26,IF(A27&lt;'Données projet'!$A$166,$DL$205^A27,IF(A27='Données projet'!$A$166,'Données projet'!$B$166,DO26+DN27-DW26)))</f>
        <v>87.333333333333286</v>
      </c>
      <c r="DP27" s="17">
        <f>DO27*VLOOKUP('Données projet'!$B$14,Paramètres!$A$1:$I$89,3,0)*VLOOKUP('Données projet'!$B$14,Paramètres!$A$1:$I$89,5,0)</f>
        <v>94.005599999999944</v>
      </c>
      <c r="DQ27" s="13">
        <f t="shared" si="43"/>
        <v>25.52881739590234</v>
      </c>
      <c r="DR27" s="20">
        <f t="shared" si="16"/>
        <v>208.18911029786315</v>
      </c>
      <c r="DS27" s="59">
        <f t="shared" si="17"/>
        <v>494.18911029786318</v>
      </c>
      <c r="DT27" s="59">
        <f ca="1">AVERAGE(OFFSET($DS$3,0,0,'Données projet'!$E$14+1,1))-AVERAGE(OFFSET($H$3,0,0,'Données projet'!$E$14+1,1))</f>
        <v>439.66981240211362</v>
      </c>
      <c r="DU27" s="59">
        <f t="shared" si="44"/>
        <v>295.47805371292458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3.6388888888888888</v>
      </c>
      <c r="EJ27" s="12">
        <f>IF('Données projet'!$A$192&gt;35,EJ26+EI27-ER26,IF(A27&lt;'Données projet'!$A$192,$EG$205^A27,IF(A27='Données projet'!$A$192,'Données projet'!$B$192,EJ26+EI27-ER26)))</f>
        <v>87.333333333333286</v>
      </c>
      <c r="EK27" s="17">
        <f>EJ27*VLOOKUP('Données projet'!$B$15,Paramètres!$A$1:$I$89,3,0)*VLOOKUP('Données projet'!$B$15,Paramètres!$A$1:$I$89,5,0)</f>
        <v>83.106399999999965</v>
      </c>
      <c r="EL27" s="13">
        <f t="shared" si="45"/>
        <v>22.895022914659453</v>
      </c>
      <c r="EM27" s="20">
        <f t="shared" si="19"/>
        <v>184.61914490969846</v>
      </c>
      <c r="EN27" s="59">
        <f t="shared" si="20"/>
        <v>470.61914490969843</v>
      </c>
      <c r="EO27" s="59">
        <f ca="1">AVERAGE(OFFSET($EN$3,0,0,'Données projet'!$E$15+1,1))-AVERAGE(OFFSET($H$3,0,0,'Données projet'!$E$15+1,1))</f>
        <v>393.46715670823653</v>
      </c>
      <c r="EP27" s="59">
        <f t="shared" si="46"/>
        <v>266.16261355327214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475.75932505422219</v>
      </c>
      <c r="S28" s="59">
        <f ca="1">AVERAGE(OFFSET($R$3,0,0,'Données projet'!$E$9+1,1))-AVERAGE(OFFSET($H$3,0,0,'Données projet'!$E$9+1,1))</f>
        <v>549.43232095729741</v>
      </c>
      <c r="T28" s="59">
        <f t="shared" si="34"/>
        <v>280.26155987300996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8.5291290507297166</v>
      </c>
      <c r="AA28" s="21">
        <f>EXP(-LN(2)/25)*AA27+(1-EXP(-LN(2)/25))/(LN(2)/25)*Calculateur!V28*Calculateur!X28*VLOOKUP('Données projet'!$B$9,Paramètres!$A$1:$I$89,3,0)*0.475*44/12</f>
        <v>6.9216937572495967</v>
      </c>
      <c r="AB28" s="21">
        <f>EXP(-LN(2)/2)*AB27+(1-EXP(-LN(2)/2))/(LN(2)/2)*V28*Y28*VLOOKUP('Données projet'!$B$9,Paramètres!$A$1:$I$89,3,0)*0.475*44/12</f>
        <v>5.3771211288716998</v>
      </c>
      <c r="AC28" s="22">
        <f t="shared" si="3"/>
        <v>20.827943936851014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204</v>
      </c>
      <c r="AG28" s="12">
        <f>VLOOKUP(A28,'Données projet'!$A$61:$I$81,9,0)</f>
        <v>16.399999999999999</v>
      </c>
      <c r="AH28" s="12">
        <f t="array" ref="AH28">INDEX(AG:AG,MIN(IF(ISNUMBER(AG28:AG224),ROW(AG28:AG224),"")))</f>
        <v>16.399999999999999</v>
      </c>
      <c r="AI28" s="13">
        <f>IF('Données projet'!$A$62&gt;35,AI27+AH28-AQ27,IF(A28&lt;'Données projet'!$A$62,$AF$205^A28,IF(A28='Données projet'!$A$62,'Données projet'!$B$62,AI27+AH28-AQ27)))</f>
        <v>204.00000000000003</v>
      </c>
      <c r="AJ28" s="13">
        <f>AI28*VLOOKUP('Données projet'!$B$10,Paramètres!$A$1:$I$89,3,0)*VLOOKUP('Données projet'!$B$10,Paramètres!$A$1:$I$89,5,0)</f>
        <v>121.99200000000003</v>
      </c>
      <c r="AK28" s="13">
        <f t="shared" si="35"/>
        <v>32.139154469866327</v>
      </c>
      <c r="AL28" s="20">
        <f t="shared" si="4"/>
        <v>268.44509403501723</v>
      </c>
      <c r="AM28" s="59">
        <f t="shared" si="5"/>
        <v>555.66731625723946</v>
      </c>
      <c r="AN28" s="59">
        <f ca="1">AVERAGE(OFFSET($AM$3,0,0,'Données projet'!$E$10+1,1))-AVERAGE(OFFSET($H$3,0,0,'Données projet'!$E$10+1,1))</f>
        <v>348.62416478262719</v>
      </c>
      <c r="AO28" s="59">
        <f t="shared" si="36"/>
        <v>371.70674704563288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36</v>
      </c>
      <c r="AR28" s="16">
        <f>IF(ISNA(VLOOKUP(A28,'Données projet'!$A$61:$I$81,5,0)),0%,VLOOKUP(A28,'Données projet'!$A$61:$I$81,5,0)*VLOOKUP('Données projet'!$B$10,Paramètres!$A$1:$I$89,7,0))</f>
        <v>0.18000000000000002</v>
      </c>
      <c r="AS28" s="16">
        <f>IF(ISNA(VLOOKUP(A28,'Données projet'!$A$61:$I$81,6,0)),0%,VLOOKUP(A28,'Données projet'!$A$61:$I$81,6,0)*VLOOKUP('Données projet'!$B$10,Paramètres!$A$1:$I$89,7,0))</f>
        <v>0.13500000000000001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6.1104619389588786</v>
      </c>
      <c r="AV28" s="21">
        <f>EXP(-LN(2)/25)*AV27+(1-EXP(-LN(2)/25))/(LN(2)/25)*Calculateur!AQ28*Calculateur!AS28*VLOOKUP('Données projet'!$B$10,Paramètres!$A$1:$I$89,3,0)*0.475*44/12</f>
        <v>7.4064856079955526</v>
      </c>
      <c r="AW28" s="21">
        <f>EXP(-LN(2)/2)*AW27+(1-EXP(-LN(2)/2))/(LN(2)/2)*AQ28*AT28*VLOOKUP('Données projet'!$B$10,Paramètres!$A$1:$I$89,3,0)*0.475*44/12</f>
        <v>8.4114101039324645</v>
      </c>
      <c r="AX28" s="21">
        <f t="shared" si="6"/>
        <v>21.928357650886895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103.00000000000001</v>
      </c>
      <c r="BE28" s="13">
        <f>BD28*VLOOKUP('Données projet'!$B$11,Paramètres!$A$1:$I$89,3,0)*VLOOKUP('Données projet'!$B$11,Paramètres!$A$1:$I$89,5,0)</f>
        <v>93.194400000000002</v>
      </c>
      <c r="BF28" s="13">
        <f t="shared" si="37"/>
        <v>25.33406653691528</v>
      </c>
      <c r="BG28" s="20">
        <f t="shared" si="7"/>
        <v>206.43707921846078</v>
      </c>
      <c r="BH28" s="59">
        <f t="shared" si="8"/>
        <v>493.65930144068301</v>
      </c>
      <c r="BI28" s="59">
        <f ca="1">AVERAGE(OFFSET($BH$3,0,0,'Données projet'!$E$11+1,1))-AVERAGE(OFFSET($H$3,0,0,'Données projet'!$E$11+1,1))</f>
        <v>405.7176439604217</v>
      </c>
      <c r="BJ28" s="59">
        <f t="shared" si="38"/>
        <v>278.21741231699929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0.17200000000000001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4.0802900278614391</v>
      </c>
      <c r="BQ28" s="21">
        <f>EXP(-LN(2)/25)*BQ27+(1-EXP(-LN(2)/25))/(LN(2)/25)*Calculateur!BL28*Calculateur!BN28*VLOOKUP('Données projet'!$B$11,Paramètres!$A$1:$I$89,3,0)*0.475*44/12</f>
        <v>5.2456771038118353</v>
      </c>
      <c r="BR28" s="21">
        <f>EXP(-LN(2)/2)*BR27+(1-EXP(-LN(2)/2))/(LN(2)/2)*BL28*BO28*VLOOKUP('Données projet'!$B$11,Paramètres!$A$1:$I$89,3,0)*0.475*44/12</f>
        <v>7.7143998389363642</v>
      </c>
      <c r="BS28" s="22">
        <f t="shared" si="9"/>
        <v>17.040366970609639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163</v>
      </c>
      <c r="BW28" s="12">
        <f>VLOOKUP(A28,'Données projet'!$A$113:$I$133,9,0)</f>
        <v>13.8</v>
      </c>
      <c r="BX28" s="12">
        <f t="array" ref="BX28">INDEX(BW:BW,MIN(IF(ISNUMBER(BW28:BW224),ROW(BW28:BW224),"")))</f>
        <v>13.8</v>
      </c>
      <c r="BY28" s="12">
        <f>IF('Données projet'!$A$114&gt;35,BY27+BX28-CG27,IF(A28&lt;'Données projet'!$A$114,$BV$205^A28,IF(A28='Données projet'!$A$114,'Données projet'!$B$114,BY27+BX28-CG27)))</f>
        <v>163.00000000000003</v>
      </c>
      <c r="BZ28" s="13">
        <f>BY28*VLOOKUP('Données projet'!$B$12,Paramètres!$A$1:$I$89,3,0)*VLOOKUP('Données projet'!$B$12,Paramètres!$A$1:$I$89,5,0)</f>
        <v>142.39680000000004</v>
      </c>
      <c r="CA28" s="13">
        <f t="shared" si="39"/>
        <v>36.845535084476985</v>
      </c>
      <c r="CB28" s="20">
        <f t="shared" si="10"/>
        <v>312.18040027213078</v>
      </c>
      <c r="CC28" s="59">
        <f t="shared" si="11"/>
        <v>599.40262249435295</v>
      </c>
      <c r="CD28" s="59">
        <f ca="1">AVERAGE(OFFSET($CC$3,0,0,'Données projet'!$E$12+1,1))-AVERAGE(OFFSET($H$3,0,0,'Données projet'!$E$12+1,1))</f>
        <v>321.23599968992932</v>
      </c>
      <c r="CE28" s="59">
        <f t="shared" si="40"/>
        <v>388.05195847800502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44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0.17200000000000001</v>
      </c>
      <c r="CJ28" s="16">
        <f>IF(ISNA(VLOOKUP(A28,'Données projet'!$A$113:$I$133,7,0)),0%,VLOOKUP(A28,'Données projet'!$A$113:$I$133,7,0))</f>
        <v>0.6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11.693287879943739</v>
      </c>
      <c r="CM28" s="21">
        <f>EXP(-LN(2)/2)*CM27+(1-EXP(-LN(2)/2))/(LN(2)/2)*CG28*CJ28*VLOOKUP('Données projet'!$B$12,Paramètres!$A$1:$I$89,3,0)*0.475*44/12</f>
        <v>27.205791832019415</v>
      </c>
      <c r="CN28" s="22">
        <f t="shared" si="12"/>
        <v>38.899079711963154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3.6388888888888888</v>
      </c>
      <c r="CT28" s="12">
        <f>IF('Données projet'!$A$140&gt;35,CT27+CS28-DB27,IF(A28&lt;'Données projet'!$A$140,$CQ$205^A28,IF(A28='Données projet'!$A$140,'Données projet'!$B$140,CT27+CS28-DB27)))</f>
        <v>90.972222222222172</v>
      </c>
      <c r="CU28" s="17">
        <f>CT28*VLOOKUP('Données projet'!$B$13,Paramètres!$A$1:$I$89,3,0)*VLOOKUP('Données projet'!$B$13,Paramètres!$A$1:$I$89,5,0)</f>
        <v>87.988333333333287</v>
      </c>
      <c r="CV28" s="13">
        <f t="shared" si="41"/>
        <v>24.079422980932161</v>
      </c>
      <c r="CW28" s="20">
        <f t="shared" si="13"/>
        <v>195.184675580679</v>
      </c>
      <c r="CX28" s="59">
        <f t="shared" si="14"/>
        <v>482.4068978029012</v>
      </c>
      <c r="CY28" s="59">
        <f ca="1">AVERAGE(OFFSET($CX$3,0,0,'Données projet'!$E$13+1,1))-AVERAGE(OFFSET($H$3,0,0,'Données projet'!$E$13+1,1))</f>
        <v>399.24912109442175</v>
      </c>
      <c r="CZ28" s="59">
        <f t="shared" si="42"/>
        <v>269.83150082245305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3.6388888888888888</v>
      </c>
      <c r="DO28" s="12">
        <f>IF('Données projet'!$A$166&gt;35,DO27+DN28-DW27,IF(A28&lt;'Données projet'!$A$166,$DL$205^A28,IF(A28='Données projet'!$A$166,'Données projet'!$B$166,DO27+DN28-DW27)))</f>
        <v>90.972222222222172</v>
      </c>
      <c r="DP28" s="17">
        <f>DO28*VLOOKUP('Données projet'!$B$14,Paramètres!$A$1:$I$89,3,0)*VLOOKUP('Données projet'!$B$14,Paramètres!$A$1:$I$89,5,0)</f>
        <v>97.922499999999943</v>
      </c>
      <c r="DQ28" s="13">
        <f t="shared" si="43"/>
        <v>26.46645871409196</v>
      </c>
      <c r="DR28" s="20">
        <f t="shared" si="16"/>
        <v>216.64410309371007</v>
      </c>
      <c r="DS28" s="59">
        <f t="shared" si="17"/>
        <v>503.86632531593227</v>
      </c>
      <c r="DT28" s="59">
        <f ca="1">AVERAGE(OFFSET($DS$3,0,0,'Données projet'!$E$14+1,1))-AVERAGE(OFFSET($H$3,0,0,'Données projet'!$E$14+1,1))</f>
        <v>439.66981240211362</v>
      </c>
      <c r="DU28" s="59">
        <f t="shared" si="44"/>
        <v>295.47805371292458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3.6388888888888888</v>
      </c>
      <c r="EJ28" s="12">
        <f>IF('Données projet'!$A$192&gt;35,EJ27+EI28-ER27,IF(A28&lt;'Données projet'!$A$192,$EG$205^A28,IF(A28='Données projet'!$A$192,'Données projet'!$B$192,EJ27+EI28-ER27)))</f>
        <v>90.972222222222172</v>
      </c>
      <c r="EK28" s="17">
        <f>EJ28*VLOOKUP('Données projet'!$B$15,Paramètres!$A$1:$I$89,3,0)*VLOOKUP('Données projet'!$B$15,Paramètres!$A$1:$I$89,5,0)</f>
        <v>86.569166666666618</v>
      </c>
      <c r="EL28" s="13">
        <f t="shared" si="45"/>
        <v>23.735928277910954</v>
      </c>
      <c r="EM28" s="20">
        <f t="shared" si="19"/>
        <v>192.11470702847259</v>
      </c>
      <c r="EN28" s="59">
        <f t="shared" si="20"/>
        <v>479.33692925069482</v>
      </c>
      <c r="EO28" s="59">
        <f ca="1">AVERAGE(OFFSET($EN$3,0,0,'Données projet'!$E$15+1,1))-AVERAGE(OFFSET($H$3,0,0,'Données projet'!$E$15+1,1))</f>
        <v>393.46715670823653</v>
      </c>
      <c r="EP28" s="59">
        <f t="shared" si="46"/>
        <v>266.16261355327214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projet'!$B$9,Paramètres!$A$1:$I$89,3,0)*VLOOKUP('Données projet'!$B$9,Paramètres!$A$1:$I$89,5,0)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497.66664399882757</v>
      </c>
      <c r="S29" s="59">
        <f ca="1">AVERAGE(OFFSET($R$3,0,0,'Données projet'!$E$9+1,1))-AVERAGE(OFFSET($H$3,0,0,'Données projet'!$E$9+1,1))</f>
        <v>549.43232095729741</v>
      </c>
      <c r="T29" s="59">
        <f t="shared" si="34"/>
        <v>280.26155987300996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8.3618780322999484</v>
      </c>
      <c r="AA29" s="21">
        <f>EXP(-LN(2)/25)*AA28+(1-EXP(-LN(2)/25))/(LN(2)/25)*Calculateur!V29*Calculateur!X29*VLOOKUP('Données projet'!$B$9,Paramètres!$A$1:$I$89,3,0)*0.475*44/12</f>
        <v>6.7324196774615519</v>
      </c>
      <c r="AB29" s="21">
        <f>EXP(-LN(2)/2)*AB28+(1-EXP(-LN(2)/2))/(LN(2)/2)*V29*Y29*VLOOKUP('Données projet'!$B$9,Paramètres!$A$1:$I$89,3,0)*0.475*44/12</f>
        <v>3.8021988134866427</v>
      </c>
      <c r="AC29" s="22">
        <f t="shared" si="3"/>
        <v>18.896496523248143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17.600000000000001</v>
      </c>
      <c r="AI29" s="13">
        <f>IF('Données projet'!$A$62&gt;35,AI28+AH29-AQ28,IF(A29&lt;'Données projet'!$A$62,$AF$205^A29,IF(A29='Données projet'!$A$62,'Données projet'!$B$62,AI28+AH29-AQ28)))</f>
        <v>185.60000000000002</v>
      </c>
      <c r="AJ29" s="13">
        <f>AI29*VLOOKUP('Données projet'!$B$10,Paramètres!$A$1:$I$89,3,0)*VLOOKUP('Données projet'!$B$10,Paramètres!$A$1:$I$89,5,0)</f>
        <v>110.98880000000003</v>
      </c>
      <c r="AK29" s="13">
        <f t="shared" si="35"/>
        <v>29.56383208945169</v>
      </c>
      <c r="AL29" s="20">
        <f t="shared" si="4"/>
        <v>244.79583422246174</v>
      </c>
      <c r="AM29" s="59">
        <f t="shared" si="5"/>
        <v>533.24027866690619</v>
      </c>
      <c r="AN29" s="59">
        <f ca="1">AVERAGE(OFFSET($AM$3,0,0,'Données projet'!$E$10+1,1))-AVERAGE(OFFSET($H$3,0,0,'Données projet'!$E$10+1,1))</f>
        <v>348.62416478262719</v>
      </c>
      <c r="AO29" s="59">
        <f t="shared" si="36"/>
        <v>371.70674704563288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5.9906395073496661</v>
      </c>
      <c r="AV29" s="21">
        <f>EXP(-LN(2)/25)*AV28+(1-EXP(-LN(2)/25))/(LN(2)/25)*Calculateur!AQ29*Calculateur!AS29*VLOOKUP('Données projet'!$B$10,Paramètres!$A$1:$I$89,3,0)*0.475*44/12</f>
        <v>7.2039548695547637</v>
      </c>
      <c r="AW29" s="21">
        <f>EXP(-LN(2)/2)*AW28+(1-EXP(-LN(2)/2))/(LN(2)/2)*AQ29*AT29*VLOOKUP('Données projet'!$B$10,Paramètres!$A$1:$I$89,3,0)*0.475*44/12</f>
        <v>5.9477651238316884</v>
      </c>
      <c r="AX29" s="21">
        <f t="shared" si="6"/>
        <v>19.14235950073612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84.200000000000017</v>
      </c>
      <c r="BE29" s="13">
        <f>BD29*VLOOKUP('Données projet'!$B$11,Paramètres!$A$1:$I$89,3,0)*VLOOKUP('Données projet'!$B$11,Paramètres!$A$1:$I$89,5,0)</f>
        <v>76.184160000000006</v>
      </c>
      <c r="BF29" s="13">
        <f t="shared" si="37"/>
        <v>21.201554232857223</v>
      </c>
      <c r="BG29" s="20">
        <f t="shared" si="7"/>
        <v>169.613452288893</v>
      </c>
      <c r="BH29" s="59">
        <f t="shared" si="8"/>
        <v>458.05789673333743</v>
      </c>
      <c r="BI29" s="59">
        <f ca="1">AVERAGE(OFFSET($BH$3,0,0,'Données projet'!$E$11+1,1))-AVERAGE(OFFSET($H$3,0,0,'Données projet'!$E$11+1,1))</f>
        <v>405.7176439604217</v>
      </c>
      <c r="BJ29" s="59">
        <f t="shared" si="38"/>
        <v>278.21741231699929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4.0002780291462514</v>
      </c>
      <c r="BQ29" s="21">
        <f>EXP(-LN(2)/25)*BQ28+(1-EXP(-LN(2)/25))/(LN(2)/25)*Calculateur!BL29*Calculateur!BN29*VLOOKUP('Données projet'!$B$11,Paramètres!$A$1:$I$89,3,0)*0.475*44/12</f>
        <v>5.1022337875499311</v>
      </c>
      <c r="BR29" s="21">
        <f>EXP(-LN(2)/2)*BR28+(1-EXP(-LN(2)/2))/(LN(2)/2)*BL29*BO29*VLOOKUP('Données projet'!$B$11,Paramètres!$A$1:$I$89,3,0)*0.475*44/12</f>
        <v>5.4549044388963139</v>
      </c>
      <c r="BS29" s="22">
        <f t="shared" si="9"/>
        <v>14.557416255592496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</v>
      </c>
      <c r="BY29" s="12">
        <f>IF('Données projet'!$A$114&gt;35,BY28+BX29-CG28,IF(A29&lt;'Données projet'!$A$114,$BV$205^A29,IF(A29='Données projet'!$A$114,'Données projet'!$B$114,BY28+BX29-CG28)))</f>
        <v>132.00000000000003</v>
      </c>
      <c r="BZ29" s="13">
        <f>BY29*VLOOKUP('Données projet'!$B$12,Paramètres!$A$1:$I$89,3,0)*VLOOKUP('Données projet'!$B$12,Paramètres!$A$1:$I$89,5,0)</f>
        <v>115.31520000000003</v>
      </c>
      <c r="CA29" s="13">
        <f t="shared" si="39"/>
        <v>30.579827148797317</v>
      </c>
      <c r="CB29" s="20">
        <f t="shared" si="10"/>
        <v>254.10050561748869</v>
      </c>
      <c r="CC29" s="59">
        <f t="shared" si="11"/>
        <v>542.54495006193315</v>
      </c>
      <c r="CD29" s="59">
        <f ca="1">AVERAGE(OFFSET($CC$3,0,0,'Données projet'!$E$12+1,1))-AVERAGE(OFFSET($H$3,0,0,'Données projet'!$E$12+1,1))</f>
        <v>321.23599968992932</v>
      </c>
      <c r="CE29" s="59">
        <f t="shared" si="40"/>
        <v>388.05195847800502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11.373534307943393</v>
      </c>
      <c r="CM29" s="21">
        <f>EXP(-LN(2)/2)*CM28+(1-EXP(-LN(2)/2))/(LN(2)/2)*CG29*CJ29*VLOOKUP('Données projet'!$B$12,Paramètres!$A$1:$I$89,3,0)*0.475*44/12</f>
        <v>19.237399891970515</v>
      </c>
      <c r="CN29" s="22">
        <f t="shared" si="12"/>
        <v>30.610934199913906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3.6388888888888888</v>
      </c>
      <c r="CT29" s="12">
        <f>IF('Données projet'!$A$140&gt;35,CT28+CS29-DB28,IF(A29&lt;'Données projet'!$A$140,$CQ$205^A29,IF(A29='Données projet'!$A$140,'Données projet'!$B$140,CT28+CS29-DB28)))</f>
        <v>94.611111111111057</v>
      </c>
      <c r="CU29" s="17">
        <f>CT29*VLOOKUP('Données projet'!$B$13,Paramètres!$A$1:$I$89,3,0)*VLOOKUP('Données projet'!$B$13,Paramètres!$A$1:$I$89,5,0)</f>
        <v>91.507866666666615</v>
      </c>
      <c r="CV29" s="13">
        <f t="shared" si="41"/>
        <v>24.928533714730367</v>
      </c>
      <c r="CW29" s="20">
        <f t="shared" si="13"/>
        <v>202.79339733093306</v>
      </c>
      <c r="CX29" s="59">
        <f t="shared" si="14"/>
        <v>491.23784177537755</v>
      </c>
      <c r="CY29" s="59">
        <f ca="1">AVERAGE(OFFSET($CX$3,0,0,'Données projet'!$E$13+1,1))-AVERAGE(OFFSET($H$3,0,0,'Données projet'!$E$13+1,1))</f>
        <v>399.24912109442175</v>
      </c>
      <c r="CZ29" s="59">
        <f t="shared" si="42"/>
        <v>269.83150082245305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3.6388888888888888</v>
      </c>
      <c r="DO29" s="12">
        <f>IF('Données projet'!$A$166&gt;35,DO28+DN29-DW28,IF(A29&lt;'Données projet'!$A$166,$DL$205^A29,IF(A29='Données projet'!$A$166,'Données projet'!$B$166,DO28+DN29-DW28)))</f>
        <v>94.611111111111057</v>
      </c>
      <c r="DP29" s="17">
        <f>DO29*VLOOKUP('Données projet'!$B$14,Paramètres!$A$1:$I$89,3,0)*VLOOKUP('Données projet'!$B$14,Paramètres!$A$1:$I$89,5,0)</f>
        <v>101.83939999999994</v>
      </c>
      <c r="DQ29" s="13">
        <f t="shared" si="43"/>
        <v>27.399743294771419</v>
      </c>
      <c r="DR29" s="20">
        <f t="shared" si="16"/>
        <v>225.0915079050601</v>
      </c>
      <c r="DS29" s="59">
        <f t="shared" si="17"/>
        <v>513.53595234950456</v>
      </c>
      <c r="DT29" s="59">
        <f ca="1">AVERAGE(OFFSET($DS$3,0,0,'Données projet'!$E$14+1,1))-AVERAGE(OFFSET($H$3,0,0,'Données projet'!$E$14+1,1))</f>
        <v>439.66981240211362</v>
      </c>
      <c r="DU29" s="59">
        <f t="shared" si="44"/>
        <v>295.47805371292458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3.6388888888888888</v>
      </c>
      <c r="EJ29" s="12">
        <f>IF('Données projet'!$A$192&gt;35,EJ28+EI29-ER28,IF(A29&lt;'Données projet'!$A$192,$EG$205^A29,IF(A29='Données projet'!$A$192,'Données projet'!$B$192,EJ28+EI29-ER28)))</f>
        <v>94.611111111111057</v>
      </c>
      <c r="EK29" s="17">
        <f>EJ29*VLOOKUP('Données projet'!$B$15,Paramètres!$A$1:$I$89,3,0)*VLOOKUP('Données projet'!$B$15,Paramètres!$A$1:$I$89,5,0)</f>
        <v>90.031933333333285</v>
      </c>
      <c r="EL29" s="13">
        <f t="shared" si="45"/>
        <v>24.572926385938654</v>
      </c>
      <c r="EM29" s="20">
        <f t="shared" si="19"/>
        <v>199.60346401106528</v>
      </c>
      <c r="EN29" s="59">
        <f t="shared" si="20"/>
        <v>488.04790845550974</v>
      </c>
      <c r="EO29" s="59">
        <f ca="1">AVERAGE(OFFSET($EN$3,0,0,'Données projet'!$E$15+1,1))-AVERAGE(OFFSET($H$3,0,0,'Données projet'!$E$15+1,1))</f>
        <v>393.46715670823653</v>
      </c>
      <c r="EP29" s="59">
        <f t="shared" si="46"/>
        <v>266.16261355327214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projet'!$B$9,Paramètres!$A$1:$I$89,3,0)*VLOOKUP('Données projet'!$B$9,Paramètres!$A$1:$I$89,5,0)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519.52676120214142</v>
      </c>
      <c r="S30" s="59">
        <f ca="1">AVERAGE(OFFSET($R$3,0,0,'Données projet'!$E$9+1,1))-AVERAGE(OFFSET($H$3,0,0,'Données projet'!$E$9+1,1))</f>
        <v>549.43232095729741</v>
      </c>
      <c r="T30" s="59">
        <f t="shared" si="34"/>
        <v>280.26155987300996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8.1979067043285383</v>
      </c>
      <c r="AA30" s="21">
        <f>EXP(-LN(2)/25)*AA29+(1-EXP(-LN(2)/25))/(LN(2)/25)*Calculateur!V30*Calculateur!X30*VLOOKUP('Données projet'!$B$9,Paramètres!$A$1:$I$89,3,0)*0.475*44/12</f>
        <v>6.548321307338802</v>
      </c>
      <c r="AB30" s="21">
        <f>EXP(-LN(2)/2)*AB29+(1-EXP(-LN(2)/2))/(LN(2)/2)*V30*Y30*VLOOKUP('Données projet'!$B$9,Paramètres!$A$1:$I$89,3,0)*0.475*44/12</f>
        <v>2.6885605644358503</v>
      </c>
      <c r="AC30" s="22">
        <f t="shared" si="3"/>
        <v>17.434788576103191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17.600000000000001</v>
      </c>
      <c r="AI30" s="13">
        <f>IF('Données projet'!$A$62&gt;35,AI29+AH30-AQ29,IF(A30&lt;'Données projet'!$A$62,$AF$205^A30,IF(A30='Données projet'!$A$62,'Données projet'!$B$62,AI29+AH30-AQ29)))</f>
        <v>203.20000000000002</v>
      </c>
      <c r="AJ30" s="13">
        <f>AI30*VLOOKUP('Données projet'!$B$10,Paramètres!$A$1:$I$89,3,0)*VLOOKUP('Données projet'!$B$10,Paramètres!$A$1:$I$89,5,0)</f>
        <v>121.51360000000001</v>
      </c>
      <c r="AK30" s="13">
        <f t="shared" si="35"/>
        <v>32.027763694063836</v>
      </c>
      <c r="AL30" s="20">
        <f t="shared" si="4"/>
        <v>267.41787510049454</v>
      </c>
      <c r="AM30" s="59">
        <f t="shared" si="5"/>
        <v>557.08454176716123</v>
      </c>
      <c r="AN30" s="59">
        <f ca="1">AVERAGE(OFFSET($AM$3,0,0,'Données projet'!$E$10+1,1))-AVERAGE(OFFSET($H$3,0,0,'Données projet'!$E$10+1,1))</f>
        <v>348.62416478262719</v>
      </c>
      <c r="AO30" s="59">
        <f t="shared" si="36"/>
        <v>371.70674704563288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5.8731667205398432</v>
      </c>
      <c r="AV30" s="21">
        <f>EXP(-LN(2)/25)*AV29+(1-EXP(-LN(2)/25))/(LN(2)/25)*Calculateur!AQ30*Calculateur!AS30*VLOOKUP('Données projet'!$B$10,Paramètres!$A$1:$I$89,3,0)*0.475*44/12</f>
        <v>7.0069623448072669</v>
      </c>
      <c r="AW30" s="21">
        <f>EXP(-LN(2)/2)*AW29+(1-EXP(-LN(2)/2))/(LN(2)/2)*AQ30*AT30*VLOOKUP('Données projet'!$B$10,Paramètres!$A$1:$I$89,3,0)*0.475*44/12</f>
        <v>4.2057050519662331</v>
      </c>
      <c r="AX30" s="21">
        <f t="shared" si="6"/>
        <v>17.085834117313343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93.40000000000002</v>
      </c>
      <c r="BE30" s="13">
        <f>BD30*VLOOKUP('Données projet'!$B$11,Paramètres!$A$1:$I$89,3,0)*VLOOKUP('Données projet'!$B$11,Paramètres!$A$1:$I$89,5,0)</f>
        <v>84.508320000000026</v>
      </c>
      <c r="BF30" s="13">
        <f t="shared" si="37"/>
        <v>23.235950088324714</v>
      </c>
      <c r="BG30" s="20">
        <f t="shared" si="7"/>
        <v>187.65460373716556</v>
      </c>
      <c r="BH30" s="59">
        <f t="shared" si="8"/>
        <v>477.32127040383227</v>
      </c>
      <c r="BI30" s="59">
        <f ca="1">AVERAGE(OFFSET($BH$3,0,0,'Données projet'!$E$11+1,1))-AVERAGE(OFFSET($H$3,0,0,'Données projet'!$E$11+1,1))</f>
        <v>405.7176439604217</v>
      </c>
      <c r="BJ30" s="59">
        <f t="shared" si="38"/>
        <v>278.21741231699929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3.9218350169233682</v>
      </c>
      <c r="BQ30" s="21">
        <f>EXP(-LN(2)/25)*BQ29+(1-EXP(-LN(2)/25))/(LN(2)/25)*Calculateur!BL30*Calculateur!BN30*VLOOKUP('Données projet'!$B$11,Paramètres!$A$1:$I$89,3,0)*0.475*44/12</f>
        <v>4.9627129363145643</v>
      </c>
      <c r="BR30" s="21">
        <f>EXP(-LN(2)/2)*BR29+(1-EXP(-LN(2)/2))/(LN(2)/2)*BL30*BO30*VLOOKUP('Données projet'!$B$11,Paramètres!$A$1:$I$89,3,0)*0.475*44/12</f>
        <v>3.857199919468183</v>
      </c>
      <c r="BS30" s="22">
        <f t="shared" si="9"/>
        <v>12.741747872706116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</v>
      </c>
      <c r="BY30" s="12">
        <f>IF('Données projet'!$A$114&gt;35,BY29+BX30-CG29,IF(A30&lt;'Données projet'!$A$114,$BV$205^A30,IF(A30='Données projet'!$A$114,'Données projet'!$B$114,BY29+BX30-CG29)))</f>
        <v>145.00000000000003</v>
      </c>
      <c r="BZ30" s="13">
        <f>BY30*VLOOKUP('Données projet'!$B$12,Paramètres!$A$1:$I$89,3,0)*VLOOKUP('Données projet'!$B$12,Paramètres!$A$1:$I$89,5,0)</f>
        <v>126.67200000000003</v>
      </c>
      <c r="CA30" s="13">
        <f t="shared" si="39"/>
        <v>33.226199426361347</v>
      </c>
      <c r="CB30" s="20">
        <f t="shared" si="10"/>
        <v>278.48936400091276</v>
      </c>
      <c r="CC30" s="59">
        <f t="shared" si="11"/>
        <v>568.15603066757944</v>
      </c>
      <c r="CD30" s="59">
        <f ca="1">AVERAGE(OFFSET($CC$3,0,0,'Données projet'!$E$12+1,1))-AVERAGE(OFFSET($H$3,0,0,'Données projet'!$E$12+1,1))</f>
        <v>321.23599968992932</v>
      </c>
      <c r="CE30" s="59">
        <f t="shared" si="40"/>
        <v>388.05195847800502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11.062524414184507</v>
      </c>
      <c r="CM30" s="21">
        <f>EXP(-LN(2)/2)*CM29+(1-EXP(-LN(2)/2))/(LN(2)/2)*CG30*CJ30*VLOOKUP('Données projet'!$B$12,Paramètres!$A$1:$I$89,3,0)*0.475*44/12</f>
        <v>13.602895916009709</v>
      </c>
      <c r="CN30" s="22">
        <f t="shared" si="12"/>
        <v>24.665420330194216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3.6388888888888888</v>
      </c>
      <c r="CT30" s="12">
        <f>IF('Données projet'!$A$140&gt;35,CT29+CS30-DB29,IF(A30&lt;'Données projet'!$A$140,$CQ$205^A30,IF(A30='Données projet'!$A$140,'Données projet'!$B$140,CT29+CS30-DB29)))</f>
        <v>98.249999999999943</v>
      </c>
      <c r="CU30" s="17">
        <f>CT30*VLOOKUP('Données projet'!$B$13,Paramètres!$A$1:$I$89,3,0)*VLOOKUP('Données projet'!$B$13,Paramètres!$A$1:$I$89,5,0)</f>
        <v>95.027399999999943</v>
      </c>
      <c r="CV30" s="13">
        <f t="shared" si="41"/>
        <v>25.7738505537429</v>
      </c>
      <c r="CW30" s="20">
        <f t="shared" si="13"/>
        <v>210.39551138110212</v>
      </c>
      <c r="CX30" s="59">
        <f t="shared" si="14"/>
        <v>500.06217804776884</v>
      </c>
      <c r="CY30" s="59">
        <f ca="1">AVERAGE(OFFSET($CX$3,0,0,'Données projet'!$E$13+1,1))-AVERAGE(OFFSET($H$3,0,0,'Données projet'!$E$13+1,1))</f>
        <v>399.24912109442175</v>
      </c>
      <c r="CZ30" s="59">
        <f t="shared" si="42"/>
        <v>269.83150082245305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3.6388888888888888</v>
      </c>
      <c r="DO30" s="12">
        <f>IF('Données projet'!$A$166&gt;35,DO29+DN30-DW29,IF(A30&lt;'Données projet'!$A$166,$DL$205^A30,IF(A30='Données projet'!$A$166,'Données projet'!$B$166,DO29+DN30-DW29)))</f>
        <v>98.249999999999943</v>
      </c>
      <c r="DP30" s="17">
        <f>DO30*VLOOKUP('Données projet'!$B$14,Paramètres!$A$1:$I$89,3,0)*VLOOKUP('Données projet'!$B$14,Paramètres!$A$1:$I$89,5,0)</f>
        <v>105.75629999999994</v>
      </c>
      <c r="DQ30" s="13">
        <f t="shared" si="43"/>
        <v>28.328857885173701</v>
      </c>
      <c r="DR30" s="20">
        <f t="shared" si="16"/>
        <v>233.53164998334407</v>
      </c>
      <c r="DS30" s="59">
        <f t="shared" si="17"/>
        <v>523.19831665001072</v>
      </c>
      <c r="DT30" s="59">
        <f ca="1">AVERAGE(OFFSET($DS$3,0,0,'Données projet'!$E$14+1,1))-AVERAGE(OFFSET($H$3,0,0,'Données projet'!$E$14+1,1))</f>
        <v>439.66981240211362</v>
      </c>
      <c r="DU30" s="59">
        <f t="shared" si="44"/>
        <v>295.47805371292458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3.6388888888888888</v>
      </c>
      <c r="EJ30" s="12">
        <f>IF('Données projet'!$A$192&gt;35,EJ29+EI30-ER29,IF(A30&lt;'Données projet'!$A$192,$EG$205^A30,IF(A30='Données projet'!$A$192,'Données projet'!$B$192,EJ29+EI30-ER29)))</f>
        <v>98.249999999999943</v>
      </c>
      <c r="EK30" s="17">
        <f>EJ30*VLOOKUP('Données projet'!$B$15,Paramètres!$A$1:$I$89,3,0)*VLOOKUP('Données projet'!$B$15,Paramètres!$A$1:$I$89,5,0)</f>
        <v>93.494699999999938</v>
      </c>
      <c r="EL30" s="13">
        <f t="shared" si="45"/>
        <v>25.406184719363015</v>
      </c>
      <c r="EM30" s="20">
        <f t="shared" si="19"/>
        <v>207.08570755289045</v>
      </c>
      <c r="EN30" s="59">
        <f t="shared" si="20"/>
        <v>496.75237421955717</v>
      </c>
      <c r="EO30" s="59">
        <f ca="1">AVERAGE(OFFSET($EN$3,0,0,'Données projet'!$E$15+1,1))-AVERAGE(OFFSET($H$3,0,0,'Données projet'!$E$15+1,1))</f>
        <v>393.46715670823653</v>
      </c>
      <c r="EP30" s="59">
        <f t="shared" si="46"/>
        <v>266.16261355327214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projet'!$B$9,Paramètres!$A$1:$I$89,3,0)*VLOOKUP('Données projet'!$B$9,Paramètres!$A$1:$I$89,5,0)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541.34451071368244</v>
      </c>
      <c r="S31" s="59">
        <f ca="1">AVERAGE(OFFSET($R$3,0,0,'Données projet'!$E$9+1,1))-AVERAGE(OFFSET($H$3,0,0,'Données projet'!$E$9+1,1))</f>
        <v>549.43232095729741</v>
      </c>
      <c r="T31" s="59">
        <f t="shared" si="34"/>
        <v>280.26155987300996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0.18000000000000002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0.3</v>
      </c>
      <c r="Z31" s="21">
        <f>EXP(-LN(2)/35)*Z30+(1-EXP(-LN(2)/35))/(LN(2)/35)*V31*W31*VLOOKUP('Données projet'!$B$9,Paramètres!$A$1:$I$89,3,0)*0.475*44/12</f>
        <v>13.034849683508938</v>
      </c>
      <c r="AA31" s="21">
        <f>EXP(-LN(2)/25)*AA30+(1-EXP(-LN(2)/25))/(LN(2)/25)*Calculateur!V31*Calculateur!X31*VLOOKUP('Données projet'!$B$9,Paramètres!$A$1:$I$89,3,0)*0.475*44/12</f>
        <v>10.102772930177274</v>
      </c>
      <c r="AB31" s="21">
        <f>EXP(-LN(2)/2)*AB30+(1-EXP(-LN(2)/2))/(LN(2)/2)*V31*Y31*VLOOKUP('Données projet'!$B$9,Paramètres!$A$1:$I$89,3,0)*0.475*44/12</f>
        <v>9.0103860029120018</v>
      </c>
      <c r="AC31" s="22">
        <f t="shared" si="3"/>
        <v>32.148008616598212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17.600000000000001</v>
      </c>
      <c r="AI31" s="13">
        <f>IF('Données projet'!$A$62&gt;35,AI30+AH31-AQ30,IF(A31&lt;'Données projet'!$A$62,$AF$205^A31,IF(A31='Données projet'!$A$62,'Données projet'!$B$62,AI30+AH31-AQ30)))</f>
        <v>220.8</v>
      </c>
      <c r="AJ31" s="13">
        <f>AI31*VLOOKUP('Données projet'!$B$10,Paramètres!$A$1:$I$89,3,0)*VLOOKUP('Données projet'!$B$10,Paramètres!$A$1:$I$89,5,0)</f>
        <v>132.03840000000002</v>
      </c>
      <c r="AK31" s="13">
        <f t="shared" si="35"/>
        <v>34.466946374534373</v>
      </c>
      <c r="AL31" s="20">
        <f t="shared" si="4"/>
        <v>289.99681160231404</v>
      </c>
      <c r="AM31" s="59">
        <f t="shared" si="5"/>
        <v>580.8857004912029</v>
      </c>
      <c r="AN31" s="59">
        <f ca="1">AVERAGE(OFFSET($AM$3,0,0,'Données projet'!$E$10+1,1))-AVERAGE(OFFSET($H$3,0,0,'Données projet'!$E$10+1,1))</f>
        <v>348.62416478262719</v>
      </c>
      <c r="AO31" s="59">
        <f t="shared" si="36"/>
        <v>371.70674704563288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5.7579975034280357</v>
      </c>
      <c r="AV31" s="21">
        <f>EXP(-LN(2)/25)*AV30+(1-EXP(-LN(2)/25))/(LN(2)/25)*Calculateur!AQ31*Calculateur!AS31*VLOOKUP('Données projet'!$B$10,Paramètres!$A$1:$I$89,3,0)*0.475*44/12</f>
        <v>6.8153565910083769</v>
      </c>
      <c r="AW31" s="21">
        <f>EXP(-LN(2)/2)*AW30+(1-EXP(-LN(2)/2))/(LN(2)/2)*AQ31*AT31*VLOOKUP('Données projet'!$B$10,Paramètres!$A$1:$I$89,3,0)*0.475*44/12</f>
        <v>2.9738825619158451</v>
      </c>
      <c r="AX31" s="21">
        <f t="shared" si="6"/>
        <v>15.547236656352258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102.60000000000002</v>
      </c>
      <c r="BE31" s="13">
        <f>BD31*VLOOKUP('Données projet'!$B$11,Paramètres!$A$1:$I$89,3,0)*VLOOKUP('Données projet'!$B$11,Paramètres!$A$1:$I$89,5,0)</f>
        <v>92.832480000000018</v>
      </c>
      <c r="BF31" s="13">
        <f t="shared" si="37"/>
        <v>25.247114117480137</v>
      </c>
      <c r="BG31" s="20">
        <f t="shared" si="7"/>
        <v>205.65529308794461</v>
      </c>
      <c r="BH31" s="59">
        <f t="shared" si="8"/>
        <v>496.54418197683344</v>
      </c>
      <c r="BI31" s="59">
        <f ca="1">AVERAGE(OFFSET($BH$3,0,0,'Données projet'!$E$11+1,1))-AVERAGE(OFFSET($H$3,0,0,'Données projet'!$E$11+1,1))</f>
        <v>405.7176439604217</v>
      </c>
      <c r="BJ31" s="59">
        <f t="shared" si="38"/>
        <v>278.21741231699929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3.8449302243246626</v>
      </c>
      <c r="BQ31" s="21">
        <f>EXP(-LN(2)/25)*BQ30+(1-EXP(-LN(2)/25))/(LN(2)/25)*Calculateur!BL31*Calculateur!BN31*VLOOKUP('Données projet'!$B$11,Paramètres!$A$1:$I$89,3,0)*0.475*44/12</f>
        <v>4.8270072900933121</v>
      </c>
      <c r="BR31" s="21">
        <f>EXP(-LN(2)/2)*BR30+(1-EXP(-LN(2)/2))/(LN(2)/2)*BL31*BO31*VLOOKUP('Données projet'!$B$11,Paramètres!$A$1:$I$89,3,0)*0.475*44/12</f>
        <v>2.7274522194481574</v>
      </c>
      <c r="BS31" s="22">
        <f t="shared" si="9"/>
        <v>11.399389733866132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</v>
      </c>
      <c r="BY31" s="12">
        <f>IF('Données projet'!$A$114&gt;35,BY30+BX31-CG30,IF(A31&lt;'Données projet'!$A$114,$BV$205^A31,IF(A31='Données projet'!$A$114,'Données projet'!$B$114,BY30+BX31-CG30)))</f>
        <v>158.00000000000003</v>
      </c>
      <c r="BZ31" s="13">
        <f>BY31*VLOOKUP('Données projet'!$B$12,Paramètres!$A$1:$I$89,3,0)*VLOOKUP('Données projet'!$B$12,Paramètres!$A$1:$I$89,5,0)</f>
        <v>138.02880000000005</v>
      </c>
      <c r="CA31" s="13">
        <f t="shared" si="39"/>
        <v>35.845059256813073</v>
      </c>
      <c r="CB31" s="20">
        <f t="shared" si="10"/>
        <v>302.83030487228285</v>
      </c>
      <c r="CC31" s="59">
        <f t="shared" si="11"/>
        <v>593.71919376117171</v>
      </c>
      <c r="CD31" s="59">
        <f ca="1">AVERAGE(OFFSET($CC$3,0,0,'Données projet'!$E$12+1,1))-AVERAGE(OFFSET($H$3,0,0,'Données projet'!$E$12+1,1))</f>
        <v>321.23599968992932</v>
      </c>
      <c r="CE31" s="59">
        <f t="shared" si="40"/>
        <v>388.05195847800502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10.760019102325757</v>
      </c>
      <c r="CM31" s="21">
        <f>EXP(-LN(2)/2)*CM30+(1-EXP(-LN(2)/2))/(LN(2)/2)*CG31*CJ31*VLOOKUP('Données projet'!$B$12,Paramètres!$A$1:$I$89,3,0)*0.475*44/12</f>
        <v>9.6186999459852593</v>
      </c>
      <c r="CN31" s="22">
        <f t="shared" si="12"/>
        <v>20.378719048311016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3.6388888888888888</v>
      </c>
      <c r="CT31" s="12">
        <f>IF('Données projet'!$A$140&gt;35,CT30+CS31-DB30,IF(A31&lt;'Données projet'!$A$140,$CQ$205^A31,IF(A31='Données projet'!$A$140,'Données projet'!$B$140,CT30+CS31-DB30)))</f>
        <v>101.88888888888883</v>
      </c>
      <c r="CU31" s="17">
        <f>CT31*VLOOKUP('Données projet'!$B$13,Paramètres!$A$1:$I$89,3,0)*VLOOKUP('Données projet'!$B$13,Paramètres!$A$1:$I$89,5,0)</f>
        <v>98.546933333333286</v>
      </c>
      <c r="CV31" s="13">
        <f t="shared" si="41"/>
        <v>26.615530103691253</v>
      </c>
      <c r="CW31" s="20">
        <f t="shared" si="13"/>
        <v>217.99129048615103</v>
      </c>
      <c r="CX31" s="59">
        <f t="shared" si="14"/>
        <v>508.88017937503992</v>
      </c>
      <c r="CY31" s="59">
        <f ca="1">AVERAGE(OFFSET($CX$3,0,0,'Données projet'!$E$13+1,1))-AVERAGE(OFFSET($H$3,0,0,'Données projet'!$E$13+1,1))</f>
        <v>399.24912109442175</v>
      </c>
      <c r="CZ31" s="59">
        <f t="shared" si="42"/>
        <v>269.83150082245305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3.6388888888888888</v>
      </c>
      <c r="DO31" s="12">
        <f>IF('Données projet'!$A$166&gt;35,DO30+DN31-DW30,IF(A31&lt;'Données projet'!$A$166,$DL$205^A31,IF(A31='Données projet'!$A$166,'Données projet'!$B$166,DO30+DN31-DW30)))</f>
        <v>101.88888888888883</v>
      </c>
      <c r="DP31" s="17">
        <f>DO31*VLOOKUP('Données projet'!$B$14,Paramètres!$A$1:$I$89,3,0)*VLOOKUP('Données projet'!$B$14,Paramètres!$A$1:$I$89,5,0)</f>
        <v>109.67319999999992</v>
      </c>
      <c r="DQ31" s="13">
        <f t="shared" si="43"/>
        <v>29.253974615622084</v>
      </c>
      <c r="DR31" s="20">
        <f t="shared" si="16"/>
        <v>241.96482912220833</v>
      </c>
      <c r="DS31" s="59">
        <f t="shared" si="17"/>
        <v>532.85371801109716</v>
      </c>
      <c r="DT31" s="59">
        <f ca="1">AVERAGE(OFFSET($DS$3,0,0,'Données projet'!$E$14+1,1))-AVERAGE(OFFSET($H$3,0,0,'Données projet'!$E$14+1,1))</f>
        <v>439.66981240211362</v>
      </c>
      <c r="DU31" s="59">
        <f t="shared" si="44"/>
        <v>295.47805371292458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3.6388888888888888</v>
      </c>
      <c r="EJ31" s="12">
        <f>IF('Données projet'!$A$192&gt;35,EJ30+EI31-ER30,IF(A31&lt;'Données projet'!$A$192,$EG$205^A31,IF(A31='Données projet'!$A$192,'Données projet'!$B$192,EJ30+EI31-ER30)))</f>
        <v>101.88888888888883</v>
      </c>
      <c r="EK31" s="17">
        <f>EJ31*VLOOKUP('Données projet'!$B$15,Paramètres!$A$1:$I$89,3,0)*VLOOKUP('Données projet'!$B$15,Paramètres!$A$1:$I$89,5,0)</f>
        <v>96.957466666666619</v>
      </c>
      <c r="EL31" s="13">
        <f t="shared" si="45"/>
        <v>26.235857649913658</v>
      </c>
      <c r="EM31" s="20">
        <f t="shared" si="19"/>
        <v>214.56170651804396</v>
      </c>
      <c r="EN31" s="59">
        <f t="shared" si="20"/>
        <v>505.45059540693285</v>
      </c>
      <c r="EO31" s="59">
        <f ca="1">AVERAGE(OFFSET($EN$3,0,0,'Données projet'!$E$15+1,1))-AVERAGE(OFFSET($H$3,0,0,'Données projet'!$E$15+1,1))</f>
        <v>393.46715670823653</v>
      </c>
      <c r="EP31" s="59">
        <f t="shared" si="46"/>
        <v>266.16261355327214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projet'!$B$9,Paramètres!$A$1:$I$89,3,0)*VLOOKUP('Données projet'!$B$9,Paramètres!$A$1:$I$89,5,0)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516.60101227214113</v>
      </c>
      <c r="S32" s="59">
        <f ca="1">AVERAGE(OFFSET($R$3,0,0,'Données projet'!$E$9+1,1))-AVERAGE(OFFSET($H$3,0,0,'Données projet'!$E$9+1,1))</f>
        <v>549.43232095729741</v>
      </c>
      <c r="T32" s="59">
        <f t="shared" si="34"/>
        <v>280.26155987300996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12.77924423168859</v>
      </c>
      <c r="AA32" s="21">
        <f>EXP(-LN(2)/25)*AA31+(1-EXP(-LN(2)/25))/(LN(2)/25)*Calculateur!V32*Calculateur!X32*VLOOKUP('Données projet'!$B$9,Paramètres!$A$1:$I$89,3,0)*0.475*44/12</f>
        <v>9.8265120731198383</v>
      </c>
      <c r="AB32" s="21">
        <f>EXP(-LN(2)/2)*AB31+(1-EXP(-LN(2)/2))/(LN(2)/2)*V32*Y32*VLOOKUP('Données projet'!$B$9,Paramètres!$A$1:$I$89,3,0)*0.475*44/12</f>
        <v>6.3713050437674275</v>
      </c>
      <c r="AC32" s="22">
        <f t="shared" si="3"/>
        <v>28.977061348575859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17.600000000000001</v>
      </c>
      <c r="AI32" s="13">
        <f>IF('Données projet'!$A$62&gt;35,AI31+AH32-AQ31,IF(A32&lt;'Données projet'!$A$62,$AF$205^A32,IF(A32='Données projet'!$A$62,'Données projet'!$B$62,AI31+AH32-AQ31)))</f>
        <v>238.4</v>
      </c>
      <c r="AJ32" s="13">
        <f>AI32*VLOOKUP('Données projet'!$B$10,Paramètres!$A$1:$I$89,3,0)*VLOOKUP('Données projet'!$B$10,Paramètres!$A$1:$I$89,5,0)</f>
        <v>142.56319999999999</v>
      </c>
      <c r="AK32" s="13">
        <f t="shared" si="35"/>
        <v>36.883577154665602</v>
      </c>
      <c r="AL32" s="20">
        <f t="shared" si="4"/>
        <v>312.53647021104257</v>
      </c>
      <c r="AM32" s="59">
        <f t="shared" si="5"/>
        <v>604.64758132215366</v>
      </c>
      <c r="AN32" s="59">
        <f ca="1">AVERAGE(OFFSET($AM$3,0,0,'Données projet'!$E$10+1,1))-AVERAGE(OFFSET($H$3,0,0,'Données projet'!$E$10+1,1))</f>
        <v>348.62416478262719</v>
      </c>
      <c r="AO32" s="59">
        <f t="shared" si="36"/>
        <v>371.70674704563288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5.6450866844175049</v>
      </c>
      <c r="AV32" s="21">
        <f>EXP(-LN(2)/25)*AV31+(1-EXP(-LN(2)/25))/(LN(2)/25)*Calculateur!AQ32*Calculateur!AS32*VLOOKUP('Données projet'!$B$10,Paramètres!$A$1:$I$89,3,0)*0.475*44/12</f>
        <v>6.6289903066232263</v>
      </c>
      <c r="AW32" s="21">
        <f>EXP(-LN(2)/2)*AW31+(1-EXP(-LN(2)/2))/(LN(2)/2)*AQ32*AT32*VLOOKUP('Données projet'!$B$10,Paramètres!$A$1:$I$89,3,0)*0.475*44/12</f>
        <v>2.102852525983117</v>
      </c>
      <c r="AX32" s="21">
        <f t="shared" si="6"/>
        <v>14.376929517023848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111.80000000000003</v>
      </c>
      <c r="BE32" s="13">
        <f>BD32*VLOOKUP('Données projet'!$B$11,Paramètres!$A$1:$I$89,3,0)*VLOOKUP('Données projet'!$B$11,Paramètres!$A$1:$I$89,5,0)</f>
        <v>101.15664000000001</v>
      </c>
      <c r="BF32" s="13">
        <f t="shared" si="37"/>
        <v>27.237366379381644</v>
      </c>
      <c r="BG32" s="20">
        <f t="shared" si="7"/>
        <v>223.61956111075639</v>
      </c>
      <c r="BH32" s="59">
        <f t="shared" si="8"/>
        <v>515.73067222186751</v>
      </c>
      <c r="BI32" s="59">
        <f ca="1">AVERAGE(OFFSET($BH$3,0,0,'Données projet'!$E$11+1,1))-AVERAGE(OFFSET($H$3,0,0,'Données projet'!$E$11+1,1))</f>
        <v>405.7176439604217</v>
      </c>
      <c r="BJ32" s="59">
        <f t="shared" si="38"/>
        <v>278.21741231699929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3.7695334878015259</v>
      </c>
      <c r="BQ32" s="21">
        <f>EXP(-LN(2)/25)*BQ31+(1-EXP(-LN(2)/25))/(LN(2)/25)*Calculateur!BL32*Calculateur!BN32*VLOOKUP('Données projet'!$B$11,Paramètres!$A$1:$I$89,3,0)*0.475*44/12</f>
        <v>4.6950125219044292</v>
      </c>
      <c r="BR32" s="21">
        <f>EXP(-LN(2)/2)*BR31+(1-EXP(-LN(2)/2))/(LN(2)/2)*BL32*BO32*VLOOKUP('Données projet'!$B$11,Paramètres!$A$1:$I$89,3,0)*0.475*44/12</f>
        <v>1.9285999597340917</v>
      </c>
      <c r="BS32" s="22">
        <f t="shared" si="9"/>
        <v>10.393145969440047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</v>
      </c>
      <c r="BY32" s="12">
        <f>IF('Données projet'!$A$114&gt;35,BY31+BX32-CG31,IF(A32&lt;'Données projet'!$A$114,$BV$205^A32,IF(A32='Données projet'!$A$114,'Données projet'!$B$114,BY31+BX32-CG31)))</f>
        <v>171.00000000000003</v>
      </c>
      <c r="BZ32" s="13">
        <f>BY32*VLOOKUP('Données projet'!$B$12,Paramètres!$A$1:$I$89,3,0)*VLOOKUP('Données projet'!$B$12,Paramètres!$A$1:$I$89,5,0)</f>
        <v>149.38560000000004</v>
      </c>
      <c r="CA32" s="13">
        <f t="shared" si="39"/>
        <v>38.438927680599591</v>
      </c>
      <c r="CB32" s="20">
        <f t="shared" si="10"/>
        <v>327.12771904371101</v>
      </c>
      <c r="CC32" s="59">
        <f t="shared" si="11"/>
        <v>619.23883015482215</v>
      </c>
      <c r="CD32" s="59">
        <f ca="1">AVERAGE(OFFSET($CC$3,0,0,'Données projet'!$E$12+1,1))-AVERAGE(OFFSET($H$3,0,0,'Données projet'!$E$12+1,1))</f>
        <v>321.23599968992932</v>
      </c>
      <c r="CE32" s="59">
        <f t="shared" si="40"/>
        <v>388.05195847800502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10.465785814127846</v>
      </c>
      <c r="CM32" s="21">
        <f>EXP(-LN(2)/2)*CM31+(1-EXP(-LN(2)/2))/(LN(2)/2)*CG32*CJ32*VLOOKUP('Données projet'!$B$12,Paramètres!$A$1:$I$89,3,0)*0.475*44/12</f>
        <v>6.8014479580048555</v>
      </c>
      <c r="CN32" s="22">
        <f t="shared" si="12"/>
        <v>17.267233772132702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3.6388888888888888</v>
      </c>
      <c r="CT32" s="12">
        <f>IF('Données projet'!$A$140&gt;35,CT31+CS32-DB31,IF(A32&lt;'Données projet'!$A$140,$CQ$205^A32,IF(A32='Données projet'!$A$140,'Données projet'!$B$140,CT31+CS32-DB31)))</f>
        <v>105.52777777777771</v>
      </c>
      <c r="CU32" s="17">
        <f>CT32*VLOOKUP('Données projet'!$B$13,Paramètres!$A$1:$I$89,3,0)*VLOOKUP('Données projet'!$B$13,Paramètres!$A$1:$I$89,5,0)</f>
        <v>102.06646666666661</v>
      </c>
      <c r="CV32" s="13">
        <f t="shared" si="41"/>
        <v>27.453717150051705</v>
      </c>
      <c r="CW32" s="20">
        <f t="shared" si="13"/>
        <v>225.58098681411772</v>
      </c>
      <c r="CX32" s="59">
        <f t="shared" si="14"/>
        <v>517.69209792522884</v>
      </c>
      <c r="CY32" s="59">
        <f ca="1">AVERAGE(OFFSET($CX$3,0,0,'Données projet'!$E$13+1,1))-AVERAGE(OFFSET($H$3,0,0,'Données projet'!$E$13+1,1))</f>
        <v>399.24912109442175</v>
      </c>
      <c r="CZ32" s="59">
        <f t="shared" si="42"/>
        <v>269.83150082245305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3.6388888888888888</v>
      </c>
      <c r="DO32" s="12">
        <f>IF('Données projet'!$A$166&gt;35,DO31+DN32-DW31,IF(A32&lt;'Données projet'!$A$166,$DL$205^A32,IF(A32='Données projet'!$A$166,'Données projet'!$B$166,DO31+DN32-DW31)))</f>
        <v>105.52777777777771</v>
      </c>
      <c r="DP32" s="17">
        <f>DO32*VLOOKUP('Données projet'!$B$14,Paramètres!$A$1:$I$89,3,0)*VLOOKUP('Données projet'!$B$14,Paramètres!$A$1:$I$89,5,0)</f>
        <v>113.59009999999994</v>
      </c>
      <c r="DQ32" s="13">
        <f t="shared" si="43"/>
        <v>30.175252624432861</v>
      </c>
      <c r="DR32" s="20">
        <f t="shared" si="16"/>
        <v>250.39132248755382</v>
      </c>
      <c r="DS32" s="59">
        <f t="shared" si="17"/>
        <v>542.50243359866499</v>
      </c>
      <c r="DT32" s="59">
        <f ca="1">AVERAGE(OFFSET($DS$3,0,0,'Données projet'!$E$14+1,1))-AVERAGE(OFFSET($H$3,0,0,'Données projet'!$E$14+1,1))</f>
        <v>439.66981240211362</v>
      </c>
      <c r="DU32" s="59">
        <f t="shared" si="44"/>
        <v>295.47805371292458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3.6388888888888888</v>
      </c>
      <c r="EJ32" s="12">
        <f>IF('Données projet'!$A$192&gt;35,EJ31+EI32-ER31,IF(A32&lt;'Données projet'!$A$192,$EG$205^A32,IF(A32='Données projet'!$A$192,'Données projet'!$B$192,EJ31+EI32-ER31)))</f>
        <v>105.52777777777771</v>
      </c>
      <c r="EK32" s="17">
        <f>EJ32*VLOOKUP('Données projet'!$B$15,Paramètres!$A$1:$I$89,3,0)*VLOOKUP('Données projet'!$B$15,Paramètres!$A$1:$I$89,5,0)</f>
        <v>100.42023333333329</v>
      </c>
      <c r="EL32" s="13">
        <f t="shared" si="45"/>
        <v>27.062087897691615</v>
      </c>
      <c r="EM32" s="20">
        <f t="shared" si="19"/>
        <v>222.03170947736837</v>
      </c>
      <c r="EN32" s="59">
        <f t="shared" si="20"/>
        <v>514.14282058847948</v>
      </c>
      <c r="EO32" s="59">
        <f ca="1">AVERAGE(OFFSET($EN$3,0,0,'Données projet'!$E$15+1,1))-AVERAGE(OFFSET($H$3,0,0,'Données projet'!$E$15+1,1))</f>
        <v>393.46715670823653</v>
      </c>
      <c r="EP32" s="59">
        <f t="shared" si="46"/>
        <v>266.16261355327214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projet'!$B$9,Paramètres!$A$1:$I$89,3,0)*VLOOKUP('Données projet'!$B$9,Paramètres!$A$1:$I$89,5,0)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549.43232095729741</v>
      </c>
      <c r="T33" s="59">
        <f t="shared" si="34"/>
        <v>280.26155987300996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12.528651046874508</v>
      </c>
      <c r="AA33" s="21">
        <f>EXP(-LN(2)/25)*AA32+(1-EXP(-LN(2)/25))/(LN(2)/25)*Calculateur!V33*Calculateur!X33*VLOOKUP('Données projet'!$B$9,Paramètres!$A$1:$I$89,3,0)*0.475*44/12</f>
        <v>9.5578055837265659</v>
      </c>
      <c r="AB33" s="21">
        <f>EXP(-LN(2)/2)*AB32+(1-EXP(-LN(2)/2))/(LN(2)/2)*V33*Y33*VLOOKUP('Données projet'!$B$9,Paramètres!$A$1:$I$89,3,0)*0.475*44/12</f>
        <v>4.5051930014560009</v>
      </c>
      <c r="AC33" s="22">
        <f t="shared" si="3"/>
        <v>26.591649632057074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256</v>
      </c>
      <c r="AG33" s="12">
        <f>VLOOKUP(A33,'Données projet'!$A$61:$I$81,9,0)</f>
        <v>17.600000000000001</v>
      </c>
      <c r="AH33" s="12">
        <f t="array" ref="AH33">INDEX(AG:AG,MIN(IF(ISNUMBER(AG33:AG229),ROW(AG33:AG229),"")))</f>
        <v>17.600000000000001</v>
      </c>
      <c r="AI33" s="13">
        <f>IF('Données projet'!$A$62&gt;35,AI32+AH33-AQ32,IF(A33&lt;'Données projet'!$A$62,$AF$205^A33,IF(A33='Données projet'!$A$62,'Données projet'!$B$62,AI32+AH33-AQ32)))</f>
        <v>256</v>
      </c>
      <c r="AJ33" s="13">
        <f>AI33*VLOOKUP('Données projet'!$B$10,Paramètres!$A$1:$I$89,3,0)*VLOOKUP('Données projet'!$B$10,Paramètres!$A$1:$I$89,5,0)</f>
        <v>153.08800000000002</v>
      </c>
      <c r="AK33" s="13">
        <f t="shared" si="35"/>
        <v>39.27951026543515</v>
      </c>
      <c r="AL33" s="20">
        <f t="shared" si="4"/>
        <v>335.04008037896625</v>
      </c>
      <c r="AM33" s="59">
        <f t="shared" si="5"/>
        <v>628.37341371229957</v>
      </c>
      <c r="AN33" s="59">
        <f ca="1">AVERAGE(OFFSET($AM$3,0,0,'Données projet'!$E$10+1,1))-AVERAGE(OFFSET($H$3,0,0,'Données projet'!$E$10+1,1))</f>
        <v>348.62416478262719</v>
      </c>
      <c r="AO33" s="59">
        <f t="shared" si="36"/>
        <v>371.70674704563288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0.18000000000000002</v>
      </c>
      <c r="AS33" s="16">
        <f>IF(ISNA(VLOOKUP(A33,'Données projet'!$A$61:$I$81,6,0)),0%,VLOOKUP(A33,'Données projet'!$A$61:$I$81,6,0)*VLOOKUP('Données projet'!$B$10,Paramètres!$A$1:$I$89,7,0))</f>
        <v>0.13500000000000001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13.245125468808626</v>
      </c>
      <c r="AV33" s="21">
        <f>EXP(-LN(2)/25)*AV32+(1-EXP(-LN(2)/25))/(LN(2)/25)*Calculateur!AQ33*Calculateur!AS33*VLOOKUP('Données projet'!$B$10,Paramètres!$A$1:$I$89,3,0)*0.475*44/12</f>
        <v>12.208001758680613</v>
      </c>
      <c r="AW33" s="21">
        <f>EXP(-LN(2)/2)*AW32+(1-EXP(-LN(2)/2))/(LN(2)/2)*AQ33*AT33*VLOOKUP('Données projet'!$B$10,Paramètres!$A$1:$I$89,3,0)*0.475*44/12</f>
        <v>12.455554886475316</v>
      </c>
      <c r="AX33" s="21">
        <f t="shared" si="6"/>
        <v>37.908682113964559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121.00000000000003</v>
      </c>
      <c r="BE33" s="13">
        <f>BD33*VLOOKUP('Données projet'!$B$11,Paramètres!$A$1:$I$89,3,0)*VLOOKUP('Données projet'!$B$11,Paramètres!$A$1:$I$89,5,0)</f>
        <v>109.48080000000002</v>
      </c>
      <c r="BF33" s="13">
        <f t="shared" si="37"/>
        <v>29.208623339903898</v>
      </c>
      <c r="BG33" s="20">
        <f t="shared" si="7"/>
        <v>241.55074565033269</v>
      </c>
      <c r="BH33" s="59">
        <f t="shared" si="8"/>
        <v>534.88407898366597</v>
      </c>
      <c r="BI33" s="59">
        <f ca="1">AVERAGE(OFFSET($BH$3,0,0,'Données projet'!$E$11+1,1))-AVERAGE(OFFSET($H$3,0,0,'Données projet'!$E$11+1,1))</f>
        <v>405.7176439604217</v>
      </c>
      <c r="BJ33" s="59">
        <f t="shared" si="38"/>
        <v>278.21741231699929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0.17200000000000001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7.3084445483320444</v>
      </c>
      <c r="BQ33" s="21">
        <f>EXP(-LN(2)/25)*BQ32+(1-EXP(-LN(2)/25))/(LN(2)/25)*Calculateur!BL33*Calculateur!BN33*VLOOKUP('Données projet'!$B$11,Paramètres!$A$1:$I$89,3,0)*0.475*44/12</f>
        <v>9.3647661275084193</v>
      </c>
      <c r="BR33" s="21">
        <f>EXP(-LN(2)/2)*BR32+(1-EXP(-LN(2)/2))/(LN(2)/2)*BL33*BO33*VLOOKUP('Données projet'!$B$11,Paramètres!$A$1:$I$89,3,0)*0.475*44/12</f>
        <v>8.5348325893377019</v>
      </c>
      <c r="BS33" s="22">
        <f t="shared" si="9"/>
        <v>25.208043265178169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184</v>
      </c>
      <c r="BW33" s="12">
        <f>VLOOKUP(A33,'Données projet'!$A$113:$I$133,9,0)</f>
        <v>13</v>
      </c>
      <c r="BX33" s="12">
        <f t="array" ref="BX33">INDEX(BW:BW,MIN(IF(ISNUMBER(BW33:BW229),ROW(BW33:BW229),"")))</f>
        <v>13</v>
      </c>
      <c r="BY33" s="12">
        <f>IF('Données projet'!$A$114&gt;35,BY32+BX33-CG32,IF(A33&lt;'Données projet'!$A$114,$BV$205^A33,IF(A33='Données projet'!$A$114,'Données projet'!$B$114,BY32+BX33-CG32)))</f>
        <v>184.00000000000003</v>
      </c>
      <c r="BZ33" s="13">
        <f>BY33*VLOOKUP('Données projet'!$B$12,Paramètres!$A$1:$I$89,3,0)*VLOOKUP('Données projet'!$B$12,Paramètres!$A$1:$I$89,5,0)</f>
        <v>160.74240000000003</v>
      </c>
      <c r="CA33" s="13">
        <f t="shared" si="39"/>
        <v>41.009920657227809</v>
      </c>
      <c r="CB33" s="20">
        <f t="shared" si="10"/>
        <v>351.38529181133845</v>
      </c>
      <c r="CC33" s="59">
        <f t="shared" si="11"/>
        <v>644.71862514467171</v>
      </c>
      <c r="CD33" s="59">
        <f ca="1">AVERAGE(OFFSET($CC$3,0,0,'Données projet'!$E$12+1,1))-AVERAGE(OFFSET($H$3,0,0,'Données projet'!$E$12+1,1))</f>
        <v>321.23599968992932</v>
      </c>
      <c r="CE33" s="59">
        <f t="shared" si="40"/>
        <v>388.05195847800502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44</v>
      </c>
      <c r="CH33" s="16">
        <f>IF(ISNA(VLOOKUP(A33,'Données projet'!$A$113:$I$133,5,0)),0%,VLOOKUP(A33,'Données projet'!$A$113:$I$133,5,0)*VLOOKUP('Données projet'!$B$12,Paramètres!$A$1:$I$89,7,0))</f>
        <v>8.6000000000000007E-2</v>
      </c>
      <c r="CI33" s="16">
        <f>IF(ISNA(VLOOKUP(A33,'Données projet'!$A$113:$I$133,6,0)),0%,VLOOKUP(A33,'Données projet'!$A$113:$I$133,6,0)*VLOOKUP('Données projet'!$B$12,Paramètres!$A$1:$I$89,7,0))</f>
        <v>0.25800000000000001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3.6543560867509846</v>
      </c>
      <c r="CL33" s="21">
        <f>EXP(-LN(2)/25)*CL32+(1-EXP(-LN(2)/25))/(LN(2)/25)*Calculateur!CG33*Calculateur!CI33*VLOOKUP('Données projet'!$B$12,Paramètres!$A$1:$I$89,3,0)*0.475*44/12</f>
        <v>21.099500833924601</v>
      </c>
      <c r="CM33" s="21">
        <f>EXP(-LN(2)/2)*CM32+(1-EXP(-LN(2)/2))/(LN(2)/2)*CG33*CJ33*VLOOKUP('Données projet'!$B$12,Paramètres!$A$1:$I$89,3,0)*0.475*44/12</f>
        <v>12.062882963866182</v>
      </c>
      <c r="CN33" s="22">
        <f t="shared" si="12"/>
        <v>36.816739884541768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3.6388888888888888</v>
      </c>
      <c r="CT33" s="12">
        <f>IF('Données projet'!$A$140&gt;35,CT32+CS33-DB32,IF(A33&lt;'Données projet'!$A$140,$CQ$205^A33,IF(A33='Données projet'!$A$140,'Données projet'!$B$140,CT32+CS33-DB32)))</f>
        <v>109.1666666666666</v>
      </c>
      <c r="CU33" s="17">
        <f>CT33*VLOOKUP('Données projet'!$B$13,Paramètres!$A$1:$I$89,3,0)*VLOOKUP('Données projet'!$B$13,Paramètres!$A$1:$I$89,5,0)</f>
        <v>105.58599999999994</v>
      </c>
      <c r="CV33" s="13">
        <f t="shared" si="41"/>
        <v>28.28854592676738</v>
      </c>
      <c r="CW33" s="20">
        <f t="shared" si="13"/>
        <v>233.16483415578645</v>
      </c>
      <c r="CX33" s="59">
        <f t="shared" si="14"/>
        <v>526.49816748911974</v>
      </c>
      <c r="CY33" s="59">
        <f ca="1">AVERAGE(OFFSET($CX$3,0,0,'Données projet'!$E$13+1,1))-AVERAGE(OFFSET($H$3,0,0,'Données projet'!$E$13+1,1))</f>
        <v>399.24912109442175</v>
      </c>
      <c r="CZ33" s="59">
        <f t="shared" si="42"/>
        <v>269.83150082245305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3.6388888888888888</v>
      </c>
      <c r="DO33" s="12">
        <f>IF('Données projet'!$A$166&gt;35,DO32+DN33-DW32,IF(A33&lt;'Données projet'!$A$166,$DL$205^A33,IF(A33='Données projet'!$A$166,'Données projet'!$B$166,DO32+DN33-DW32)))</f>
        <v>109.1666666666666</v>
      </c>
      <c r="DP33" s="17">
        <f>DO33*VLOOKUP('Données projet'!$B$14,Paramètres!$A$1:$I$89,3,0)*VLOOKUP('Données projet'!$B$14,Paramètres!$A$1:$I$89,5,0)</f>
        <v>117.50699999999992</v>
      </c>
      <c r="DQ33" s="13">
        <f t="shared" si="43"/>
        <v>31.09283945239704</v>
      </c>
      <c r="DR33" s="20">
        <f t="shared" si="16"/>
        <v>258.81138704625801</v>
      </c>
      <c r="DS33" s="59">
        <f t="shared" si="17"/>
        <v>552.14472037959126</v>
      </c>
      <c r="DT33" s="59">
        <f ca="1">AVERAGE(OFFSET($DS$3,0,0,'Données projet'!$E$14+1,1))-AVERAGE(OFFSET($H$3,0,0,'Données projet'!$E$14+1,1))</f>
        <v>439.66981240211362</v>
      </c>
      <c r="DU33" s="59">
        <f t="shared" si="44"/>
        <v>295.47805371292458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3.6388888888888888</v>
      </c>
      <c r="EJ33" s="12">
        <f>IF('Données projet'!$A$192&gt;35,EJ32+EI33-ER32,IF(A33&lt;'Données projet'!$A$192,$EG$205^A33,IF(A33='Données projet'!$A$192,'Données projet'!$B$192,EJ32+EI33-ER32)))</f>
        <v>109.1666666666666</v>
      </c>
      <c r="EK33" s="17">
        <f>EJ33*VLOOKUP('Données projet'!$B$15,Paramètres!$A$1:$I$89,3,0)*VLOOKUP('Données projet'!$B$15,Paramètres!$A$1:$I$89,5,0)</f>
        <v>103.88299999999994</v>
      </c>
      <c r="EL33" s="13">
        <f t="shared" si="45"/>
        <v>27.885007781783134</v>
      </c>
      <c r="EM33" s="20">
        <f t="shared" si="19"/>
        <v>229.49594688660548</v>
      </c>
      <c r="EN33" s="59">
        <f t="shared" si="20"/>
        <v>522.82928021993882</v>
      </c>
      <c r="EO33" s="59">
        <f ca="1">AVERAGE(OFFSET($EN$3,0,0,'Données projet'!$E$15+1,1))-AVERAGE(OFFSET($H$3,0,0,'Données projet'!$E$15+1,1))</f>
        <v>393.46715670823653</v>
      </c>
      <c r="EP33" s="59">
        <f t="shared" si="46"/>
        <v>266.16261355327214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projet'!$B$9,Paramètres!$A$1:$I$89,3,0)*VLOOKUP('Données projet'!$B$9,Paramètres!$A$1:$I$89,5,0)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549.43232095729741</v>
      </c>
      <c r="T34" s="59">
        <f t="shared" si="34"/>
        <v>280.26155987300996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12.28297184156788</v>
      </c>
      <c r="AA34" s="21">
        <f>EXP(-LN(2)/25)*AA33+(1-EXP(-LN(2)/25))/(LN(2)/25)*Calculateur!V34*Calculateur!X34*VLOOKUP('Données projet'!$B$9,Paramètres!$A$1:$I$89,3,0)*0.475*44/12</f>
        <v>9.2964468874164119</v>
      </c>
      <c r="AB34" s="21">
        <f>EXP(-LN(2)/2)*AB33+(1-EXP(-LN(2)/2))/(LN(2)/2)*V34*Y34*VLOOKUP('Données projet'!$B$9,Paramètres!$A$1:$I$89,3,0)*0.475*44/12</f>
        <v>3.1856525218837137</v>
      </c>
      <c r="AC34" s="22">
        <f t="shared" si="3"/>
        <v>24.765071250868008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18.8</v>
      </c>
      <c r="AI34" s="13">
        <f>IF('Données projet'!$A$62&gt;35,AI33+AH34-AQ33,IF(A34&lt;'Données projet'!$A$62,$AF$205^A34,IF(A34='Données projet'!$A$62,'Données projet'!$B$62,AI33+AH34-AQ33)))</f>
        <v>220.8</v>
      </c>
      <c r="AJ34" s="13">
        <f>AI34*VLOOKUP('Données projet'!$B$10,Paramètres!$A$1:$I$89,3,0)*VLOOKUP('Données projet'!$B$10,Paramètres!$A$1:$I$89,5,0)</f>
        <v>132.03840000000002</v>
      </c>
      <c r="AK34" s="13">
        <f t="shared" si="35"/>
        <v>34.466946374534373</v>
      </c>
      <c r="AL34" s="20">
        <f t="shared" si="4"/>
        <v>289.99681160231404</v>
      </c>
      <c r="AM34" s="59">
        <f t="shared" si="5"/>
        <v>583.33014493564735</v>
      </c>
      <c r="AN34" s="59">
        <f ca="1">AVERAGE(OFFSET($AM$3,0,0,'Données projet'!$E$10+1,1))-AVERAGE(OFFSET($H$3,0,0,'Données projet'!$E$10+1,1))</f>
        <v>348.62416478262719</v>
      </c>
      <c r="AO34" s="59">
        <f t="shared" si="36"/>
        <v>371.70674704563288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12.985396637094116</v>
      </c>
      <c r="AV34" s="21">
        <f>EXP(-LN(2)/25)*AV33+(1-EXP(-LN(2)/25))/(LN(2)/25)*Calculateur!AQ34*Calculateur!AS34*VLOOKUP('Données projet'!$B$10,Paramètres!$A$1:$I$89,3,0)*0.475*44/12</f>
        <v>11.87417330859858</v>
      </c>
      <c r="AW34" s="21">
        <f>EXP(-LN(2)/2)*AW33+(1-EXP(-LN(2)/2))/(LN(2)/2)*AQ34*AT34*VLOOKUP('Données projet'!$B$10,Paramètres!$A$1:$I$89,3,0)*0.475*44/12</f>
        <v>8.8074073236679347</v>
      </c>
      <c r="AX34" s="21">
        <f t="shared" si="6"/>
        <v>33.666977269360629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103.80000000000004</v>
      </c>
      <c r="BE34" s="13">
        <f>BD34*VLOOKUP('Données projet'!$B$11,Paramètres!$A$1:$I$89,3,0)*VLOOKUP('Données projet'!$B$11,Paramètres!$A$1:$I$89,5,0)</f>
        <v>93.91824000000004</v>
      </c>
      <c r="BF34" s="13">
        <f t="shared" si="37"/>
        <v>25.507853654186022</v>
      </c>
      <c r="BG34" s="20">
        <f t="shared" si="7"/>
        <v>208.00044644770739</v>
      </c>
      <c r="BH34" s="59">
        <f t="shared" si="8"/>
        <v>501.33377978104068</v>
      </c>
      <c r="BI34" s="59">
        <f ca="1">AVERAGE(OFFSET($BH$3,0,0,'Données projet'!$E$11+1,1))-AVERAGE(OFFSET($H$3,0,0,'Données projet'!$E$11+1,1))</f>
        <v>405.7176439604217</v>
      </c>
      <c r="BJ34" s="59">
        <f t="shared" si="38"/>
        <v>278.21741231699929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7.1651304084502652</v>
      </c>
      <c r="BQ34" s="21">
        <f>EXP(-LN(2)/25)*BQ33+(1-EXP(-LN(2)/25))/(LN(2)/25)*Calculateur!BL34*Calculateur!BN34*VLOOKUP('Données projet'!$B$11,Paramètres!$A$1:$I$89,3,0)*0.475*44/12</f>
        <v>9.1086861052800536</v>
      </c>
      <c r="BR34" s="21">
        <f>EXP(-LN(2)/2)*BR33+(1-EXP(-LN(2)/2))/(LN(2)/2)*BL34*BO34*VLOOKUP('Données projet'!$B$11,Paramètres!$A$1:$I$89,3,0)*0.475*44/12</f>
        <v>6.03503800021263</v>
      </c>
      <c r="BS34" s="22">
        <f t="shared" si="9"/>
        <v>22.308854513942947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12.2</v>
      </c>
      <c r="BY34" s="12">
        <f>IF('Données projet'!$A$114&gt;35,BY33+BX34-CG33,IF(A34&lt;'Données projet'!$A$114,$BV$205^A34,IF(A34='Données projet'!$A$114,'Données projet'!$B$114,BY33+BX34-CG33)))</f>
        <v>152.20000000000002</v>
      </c>
      <c r="BZ34" s="13">
        <f>BY34*VLOOKUP('Données projet'!$B$12,Paramètres!$A$1:$I$89,3,0)*VLOOKUP('Données projet'!$B$12,Paramètres!$A$1:$I$89,5,0)</f>
        <v>132.96192000000002</v>
      </c>
      <c r="CA34" s="13">
        <f t="shared" si="39"/>
        <v>34.679872132599144</v>
      </c>
      <c r="CB34" s="20">
        <f t="shared" si="10"/>
        <v>291.97612129761018</v>
      </c>
      <c r="CC34" s="59">
        <f t="shared" si="11"/>
        <v>585.30945463094349</v>
      </c>
      <c r="CD34" s="59">
        <f ca="1">AVERAGE(OFFSET($CC$3,0,0,'Données projet'!$E$12+1,1))-AVERAGE(OFFSET($H$3,0,0,'Données projet'!$E$12+1,1))</f>
        <v>321.23599968992932</v>
      </c>
      <c r="CE34" s="59">
        <f t="shared" si="40"/>
        <v>388.05195847800502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3.5826963928269215</v>
      </c>
      <c r="CL34" s="21">
        <f>EXP(-LN(2)/25)*CL33+(1-EXP(-LN(2)/25))/(LN(2)/25)*Calculateur!CG34*Calculateur!CI34*VLOOKUP('Données projet'!$B$12,Paramètres!$A$1:$I$89,3,0)*0.475*44/12</f>
        <v>20.522533874046406</v>
      </c>
      <c r="CM34" s="21">
        <f>EXP(-LN(2)/2)*CM33+(1-EXP(-LN(2)/2))/(LN(2)/2)*CG34*CJ34*VLOOKUP('Données projet'!$B$12,Paramètres!$A$1:$I$89,3,0)*0.475*44/12</f>
        <v>8.5297463444094568</v>
      </c>
      <c r="CN34" s="22">
        <f t="shared" si="12"/>
        <v>32.634976611282781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3.6388888888888888</v>
      </c>
      <c r="CT34" s="12">
        <f>IF('Données projet'!$A$140&gt;35,CT33+CS34-DB33,IF(A34&lt;'Données projet'!$A$140,$CQ$205^A34,IF(A34='Données projet'!$A$140,'Données projet'!$B$140,CT33+CS34-DB33)))</f>
        <v>112.80555555555549</v>
      </c>
      <c r="CU34" s="17">
        <f>CT34*VLOOKUP('Données projet'!$B$13,Paramètres!$A$1:$I$89,3,0)*VLOOKUP('Données projet'!$B$13,Paramètres!$A$1:$I$89,5,0)</f>
        <v>109.10553333333327</v>
      </c>
      <c r="CV34" s="13">
        <f t="shared" si="41"/>
        <v>29.120141211046544</v>
      </c>
      <c r="CW34" s="20">
        <f t="shared" si="13"/>
        <v>240.74304983146149</v>
      </c>
      <c r="CX34" s="59">
        <f t="shared" si="14"/>
        <v>534.07638316479483</v>
      </c>
      <c r="CY34" s="59">
        <f ca="1">AVERAGE(OFFSET($CX$3,0,0,'Données projet'!$E$13+1,1))-AVERAGE(OFFSET($H$3,0,0,'Données projet'!$E$13+1,1))</f>
        <v>399.24912109442175</v>
      </c>
      <c r="CZ34" s="59">
        <f t="shared" si="42"/>
        <v>269.83150082245305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3.6388888888888888</v>
      </c>
      <c r="DO34" s="12">
        <f>IF('Données projet'!$A$166&gt;35,DO33+DN34-DW33,IF(A34&lt;'Données projet'!$A$166,$DL$205^A34,IF(A34='Données projet'!$A$166,'Données projet'!$B$166,DO33+DN34-DW33)))</f>
        <v>112.80555555555549</v>
      </c>
      <c r="DP34" s="17">
        <f>DO34*VLOOKUP('Données projet'!$B$14,Paramètres!$A$1:$I$89,3,0)*VLOOKUP('Données projet'!$B$14,Paramètres!$A$1:$I$89,5,0)</f>
        <v>121.42389999999993</v>
      </c>
      <c r="DQ34" s="13">
        <f t="shared" si="43"/>
        <v>32.006872246107918</v>
      </c>
      <c r="DR34" s="20">
        <f t="shared" si="16"/>
        <v>267.22526166197116</v>
      </c>
      <c r="DS34" s="59">
        <f t="shared" si="17"/>
        <v>560.55859499530447</v>
      </c>
      <c r="DT34" s="59">
        <f ca="1">AVERAGE(OFFSET($DS$3,0,0,'Données projet'!$E$14+1,1))-AVERAGE(OFFSET($H$3,0,0,'Données projet'!$E$14+1,1))</f>
        <v>439.66981240211362</v>
      </c>
      <c r="DU34" s="59">
        <f t="shared" si="44"/>
        <v>295.47805371292458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3.6388888888888888</v>
      </c>
      <c r="EJ34" s="12">
        <f>IF('Données projet'!$A$192&gt;35,EJ33+EI34-ER33,IF(A34&lt;'Données projet'!$A$192,$EG$205^A34,IF(A34='Données projet'!$A$192,'Données projet'!$B$192,EJ33+EI34-ER33)))</f>
        <v>112.80555555555549</v>
      </c>
      <c r="EK34" s="17">
        <f>EJ34*VLOOKUP('Données projet'!$B$15,Paramètres!$A$1:$I$89,3,0)*VLOOKUP('Données projet'!$B$15,Paramètres!$A$1:$I$89,5,0)</f>
        <v>107.34576666666659</v>
      </c>
      <c r="EL34" s="13">
        <f t="shared" si="45"/>
        <v>28.704740299440626</v>
      </c>
      <c r="EM34" s="20">
        <f t="shared" si="19"/>
        <v>236.95463296597003</v>
      </c>
      <c r="EN34" s="59">
        <f t="shared" si="20"/>
        <v>530.28796629930332</v>
      </c>
      <c r="EO34" s="59">
        <f ca="1">AVERAGE(OFFSET($EN$3,0,0,'Données projet'!$E$15+1,1))-AVERAGE(OFFSET($H$3,0,0,'Données projet'!$E$15+1,1))</f>
        <v>393.46715670823653</v>
      </c>
      <c r="EP34" s="59">
        <f t="shared" si="46"/>
        <v>266.16261355327214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projet'!$B$9,Paramètres!$A$1:$I$89,3,0)*VLOOKUP('Données projet'!$B$9,Paramètres!$A$1:$I$89,5,0)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549.43232095729741</v>
      </c>
      <c r="T35" s="59">
        <f t="shared" si="34"/>
        <v>280.26155987300996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12.042110255627795</v>
      </c>
      <c r="AA35" s="21">
        <f>EXP(-LN(2)/25)*AA34+(1-EXP(-LN(2)/25))/(LN(2)/25)*Calculateur!V35*Calculateur!X35*VLOOKUP('Données projet'!$B$9,Paramètres!$A$1:$I$89,3,0)*0.475*44/12</f>
        <v>9.0422350584011149</v>
      </c>
      <c r="AB35" s="21">
        <f>EXP(-LN(2)/2)*AB34+(1-EXP(-LN(2)/2))/(LN(2)/2)*V35*Y35*VLOOKUP('Données projet'!$B$9,Paramètres!$A$1:$I$89,3,0)*0.475*44/12</f>
        <v>2.2525965007280004</v>
      </c>
      <c r="AC35" s="22">
        <f t="shared" si="3"/>
        <v>23.336941814756909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18.8</v>
      </c>
      <c r="AI35" s="13">
        <f>IF('Données projet'!$A$62&gt;35,AI34+AH35-AQ34,IF(A35&lt;'Données projet'!$A$62,$AF$205^A35,IF(A35='Données projet'!$A$62,'Données projet'!$B$62,AI34+AH35-AQ34)))</f>
        <v>239.60000000000002</v>
      </c>
      <c r="AJ35" s="13">
        <f>AI35*VLOOKUP('Données projet'!$B$10,Paramètres!$A$1:$I$89,3,0)*VLOOKUP('Données projet'!$B$10,Paramètres!$A$1:$I$89,5,0)</f>
        <v>143.28080000000003</v>
      </c>
      <c r="AK35" s="13">
        <f t="shared" si="35"/>
        <v>37.047574465948976</v>
      </c>
      <c r="AL35" s="20">
        <f t="shared" si="4"/>
        <v>314.07191886152782</v>
      </c>
      <c r="AM35" s="59">
        <f t="shared" si="5"/>
        <v>607.40525219486108</v>
      </c>
      <c r="AN35" s="59">
        <f ca="1">AVERAGE(OFFSET($AM$3,0,0,'Données projet'!$E$10+1,1))-AVERAGE(OFFSET($H$3,0,0,'Données projet'!$E$10+1,1))</f>
        <v>348.62416478262719</v>
      </c>
      <c r="AO35" s="59">
        <f t="shared" si="36"/>
        <v>371.70674704563288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12.730760929350582</v>
      </c>
      <c r="AV35" s="21">
        <f>EXP(-LN(2)/25)*AV34+(1-EXP(-LN(2)/25))/(LN(2)/25)*Calculateur!AQ35*Calculateur!AS35*VLOOKUP('Données projet'!$B$10,Paramètres!$A$1:$I$89,3,0)*0.475*44/12</f>
        <v>11.549473415039317</v>
      </c>
      <c r="AW35" s="21">
        <f>EXP(-LN(2)/2)*AW34+(1-EXP(-LN(2)/2))/(LN(2)/2)*AQ35*AT35*VLOOKUP('Données projet'!$B$10,Paramètres!$A$1:$I$89,3,0)*0.475*44/12</f>
        <v>6.2277774432376587</v>
      </c>
      <c r="AX35" s="21">
        <f t="shared" si="6"/>
        <v>30.508011787627559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114.60000000000004</v>
      </c>
      <c r="BE35" s="13">
        <f>BD35*VLOOKUP('Données projet'!$B$11,Paramètres!$A$1:$I$89,3,0)*VLOOKUP('Données projet'!$B$11,Paramètres!$A$1:$I$89,5,0)</f>
        <v>103.69008000000004</v>
      </c>
      <c r="BF35" s="13">
        <f t="shared" si="37"/>
        <v>27.83924565319537</v>
      </c>
      <c r="BG35" s="20">
        <f t="shared" si="7"/>
        <v>229.08024217931529</v>
      </c>
      <c r="BH35" s="59">
        <f t="shared" si="8"/>
        <v>522.41357551264855</v>
      </c>
      <c r="BI35" s="59">
        <f ca="1">AVERAGE(OFFSET($BH$3,0,0,'Données projet'!$E$11+1,1))-AVERAGE(OFFSET($H$3,0,0,'Données projet'!$E$11+1,1))</f>
        <v>405.7176439604217</v>
      </c>
      <c r="BJ35" s="59">
        <f t="shared" si="38"/>
        <v>278.21741231699929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7.0246265714385734</v>
      </c>
      <c r="BQ35" s="21">
        <f>EXP(-LN(2)/25)*BQ34+(1-EXP(-LN(2)/25))/(LN(2)/25)*Calculateur!BL35*Calculateur!BN35*VLOOKUP('Données projet'!$B$11,Paramètres!$A$1:$I$89,3,0)*0.475*44/12</f>
        <v>8.8596086047261871</v>
      </c>
      <c r="BR35" s="21">
        <f>EXP(-LN(2)/2)*BR34+(1-EXP(-LN(2)/2))/(LN(2)/2)*BL35*BO35*VLOOKUP('Données projet'!$B$11,Paramètres!$A$1:$I$89,3,0)*0.475*44/12</f>
        <v>4.2674162946688519</v>
      </c>
      <c r="BS35" s="22">
        <f t="shared" si="9"/>
        <v>20.151651470833613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12.2</v>
      </c>
      <c r="BY35" s="12">
        <f>IF('Données projet'!$A$114&gt;35,BY34+BX35-CG34,IF(A35&lt;'Données projet'!$A$114,$BV$205^A35,IF(A35='Données projet'!$A$114,'Données projet'!$B$114,BY34+BX35-CG34)))</f>
        <v>164.4</v>
      </c>
      <c r="BZ35" s="13">
        <f>BY35*VLOOKUP('Données projet'!$B$12,Paramètres!$A$1:$I$89,3,0)*VLOOKUP('Données projet'!$B$12,Paramètres!$A$1:$I$89,5,0)</f>
        <v>143.61984000000001</v>
      </c>
      <c r="CA35" s="13">
        <f t="shared" si="39"/>
        <v>37.125023974706046</v>
      </c>
      <c r="CB35" s="20">
        <f t="shared" si="10"/>
        <v>314.79730475594641</v>
      </c>
      <c r="CC35" s="59">
        <f t="shared" si="11"/>
        <v>608.13063808927973</v>
      </c>
      <c r="CD35" s="59">
        <f ca="1">AVERAGE(OFFSET($CC$3,0,0,'Données projet'!$E$12+1,1))-AVERAGE(OFFSET($H$3,0,0,'Données projet'!$E$12+1,1))</f>
        <v>321.23599968992932</v>
      </c>
      <c r="CE35" s="59">
        <f t="shared" si="40"/>
        <v>388.05195847800502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3.5124419017926116</v>
      </c>
      <c r="CL35" s="21">
        <f>EXP(-LN(2)/25)*CL34+(1-EXP(-LN(2)/25))/(LN(2)/25)*Calculateur!CG35*Calculateur!CI35*VLOOKUP('Données projet'!$B$12,Paramètres!$A$1:$I$89,3,0)*0.475*44/12</f>
        <v>19.961344106027454</v>
      </c>
      <c r="CM35" s="21">
        <f>EXP(-LN(2)/2)*CM34+(1-EXP(-LN(2)/2))/(LN(2)/2)*CG35*CJ35*VLOOKUP('Données projet'!$B$12,Paramètres!$A$1:$I$89,3,0)*0.475*44/12</f>
        <v>6.0314414819330917</v>
      </c>
      <c r="CN35" s="22">
        <f t="shared" si="12"/>
        <v>29.50522748975316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3.6388888888888888</v>
      </c>
      <c r="CT35" s="12">
        <f>IF('Données projet'!$A$140&gt;35,CT34+CS35-DB34,IF(A35&lt;'Données projet'!$A$140,$CQ$205^A35,IF(A35='Données projet'!$A$140,'Données projet'!$B$140,CT34+CS35-DB34)))</f>
        <v>116.44444444444437</v>
      </c>
      <c r="CU35" s="17">
        <f>CT35*VLOOKUP('Données projet'!$B$13,Paramètres!$A$1:$I$89,3,0)*VLOOKUP('Données projet'!$B$13,Paramètres!$A$1:$I$89,5,0)</f>
        <v>112.62506666666661</v>
      </c>
      <c r="CV35" s="13">
        <f t="shared" si="41"/>
        <v>29.948619272928472</v>
      </c>
      <c r="CW35" s="20">
        <f t="shared" si="13"/>
        <v>248.31583634479477</v>
      </c>
      <c r="CX35" s="59">
        <f t="shared" si="14"/>
        <v>541.64916967812815</v>
      </c>
      <c r="CY35" s="59">
        <f ca="1">AVERAGE(OFFSET($CX$3,0,0,'Données projet'!$E$13+1,1))-AVERAGE(OFFSET($H$3,0,0,'Données projet'!$E$13+1,1))</f>
        <v>399.24912109442175</v>
      </c>
      <c r="CZ35" s="59">
        <f t="shared" si="42"/>
        <v>269.83150082245305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3.6388888888888888</v>
      </c>
      <c r="DO35" s="12">
        <f>IF('Données projet'!$A$166&gt;35,DO34+DN35-DW34,IF(A35&lt;'Données projet'!$A$166,$DL$205^A35,IF(A35='Données projet'!$A$166,'Données projet'!$B$166,DO34+DN35-DW34)))</f>
        <v>116.44444444444437</v>
      </c>
      <c r="DP35" s="17">
        <f>DO35*VLOOKUP('Données projet'!$B$14,Paramètres!$A$1:$I$89,3,0)*VLOOKUP('Données projet'!$B$14,Paramètres!$A$1:$I$89,5,0)</f>
        <v>125.34079999999992</v>
      </c>
      <c r="DQ35" s="13">
        <f t="shared" si="43"/>
        <v>32.9174788016592</v>
      </c>
      <c r="DR35" s="20">
        <f t="shared" si="16"/>
        <v>275.63316891288963</v>
      </c>
      <c r="DS35" s="59">
        <f t="shared" si="17"/>
        <v>568.96650224622294</v>
      </c>
      <c r="DT35" s="59">
        <f ca="1">AVERAGE(OFFSET($DS$3,0,0,'Données projet'!$E$14+1,1))-AVERAGE(OFFSET($H$3,0,0,'Données projet'!$E$14+1,1))</f>
        <v>439.66981240211362</v>
      </c>
      <c r="DU35" s="59">
        <f t="shared" si="44"/>
        <v>295.47805371292458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3.6388888888888888</v>
      </c>
      <c r="EJ35" s="12">
        <f>IF('Données projet'!$A$192&gt;35,EJ34+EI35-ER34,IF(A35&lt;'Données projet'!$A$192,$EG$205^A35,IF(A35='Données projet'!$A$192,'Données projet'!$B$192,EJ34+EI35-ER34)))</f>
        <v>116.44444444444437</v>
      </c>
      <c r="EK35" s="17">
        <f>EJ35*VLOOKUP('Données projet'!$B$15,Paramètres!$A$1:$I$89,3,0)*VLOOKUP('Données projet'!$B$15,Paramètres!$A$1:$I$89,5,0)</f>
        <v>110.80853333333326</v>
      </c>
      <c r="EL35" s="13">
        <f t="shared" si="45"/>
        <v>29.521400062102884</v>
      </c>
      <c r="EM35" s="20">
        <f t="shared" si="19"/>
        <v>244.40796733038462</v>
      </c>
      <c r="EN35" s="59">
        <f t="shared" si="20"/>
        <v>537.74130066371799</v>
      </c>
      <c r="EO35" s="59">
        <f ca="1">AVERAGE(OFFSET($EN$3,0,0,'Données projet'!$E$15+1,1))-AVERAGE(OFFSET($H$3,0,0,'Données projet'!$E$15+1,1))</f>
        <v>393.46715670823653</v>
      </c>
      <c r="EP35" s="59">
        <f t="shared" si="46"/>
        <v>266.16261355327214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projet'!$B$9,Paramètres!$A$1:$I$89,3,0)*VLOOKUP('Données projet'!$B$9,Paramètres!$A$1:$I$89,5,0)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549.43232095729741</v>
      </c>
      <c r="T36" s="59">
        <f t="shared" si="34"/>
        <v>280.26155987300996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11.805971818476936</v>
      </c>
      <c r="AA36" s="21">
        <f>EXP(-LN(2)/25)*AA35+(1-EXP(-LN(2)/25))/(LN(2)/25)*Calculateur!V36*Calculateur!X36*VLOOKUP('Données projet'!$B$9,Paramètres!$A$1:$I$89,3,0)*0.475*44/12</f>
        <v>8.7949746652186604</v>
      </c>
      <c r="AB36" s="21">
        <f>EXP(-LN(2)/2)*AB35+(1-EXP(-LN(2)/2))/(LN(2)/2)*V36*Y36*VLOOKUP('Données projet'!$B$9,Paramètres!$A$1:$I$89,3,0)*0.475*44/12</f>
        <v>1.5928262609418569</v>
      </c>
      <c r="AC36" s="22">
        <f t="shared" si="3"/>
        <v>22.19377274463745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18.8</v>
      </c>
      <c r="AI36" s="13">
        <f>IF('Données projet'!$A$62&gt;35,AI35+AH36-AQ35,IF(A36&lt;'Données projet'!$A$62,$AF$205^A36,IF(A36='Données projet'!$A$62,'Données projet'!$B$62,AI35+AH36-AQ35)))</f>
        <v>258.40000000000003</v>
      </c>
      <c r="AJ36" s="13">
        <f>AI36*VLOOKUP('Données projet'!$B$10,Paramètres!$A$1:$I$89,3,0)*VLOOKUP('Données projet'!$B$10,Paramètres!$A$1:$I$89,5,0)</f>
        <v>154.52320000000003</v>
      </c>
      <c r="AK36" s="13">
        <f t="shared" si="35"/>
        <v>39.60471498856284</v>
      </c>
      <c r="AL36" s="20">
        <f t="shared" si="4"/>
        <v>338.10611860508033</v>
      </c>
      <c r="AM36" s="59">
        <f t="shared" si="5"/>
        <v>631.43945193841364</v>
      </c>
      <c r="AN36" s="59">
        <f ca="1">AVERAGE(OFFSET($AM$3,0,0,'Données projet'!$E$10+1,1))-AVERAGE(OFFSET($H$3,0,0,'Données projet'!$E$10+1,1))</f>
        <v>348.62416478262719</v>
      </c>
      <c r="AO36" s="59">
        <f t="shared" si="36"/>
        <v>371.70674704563288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12.481118472523454</v>
      </c>
      <c r="AV36" s="21">
        <f>EXP(-LN(2)/25)*AV35+(1-EXP(-LN(2)/25))/(LN(2)/25)*Calculateur!AQ36*Calculateur!AS36*VLOOKUP('Données projet'!$B$10,Paramètres!$A$1:$I$89,3,0)*0.475*44/12</f>
        <v>11.233652457144657</v>
      </c>
      <c r="AW36" s="21">
        <f>EXP(-LN(2)/2)*AW35+(1-EXP(-LN(2)/2))/(LN(2)/2)*AQ36*AT36*VLOOKUP('Données projet'!$B$10,Paramètres!$A$1:$I$89,3,0)*0.475*44/12</f>
        <v>4.4037036618339682</v>
      </c>
      <c r="AX36" s="21">
        <f t="shared" si="6"/>
        <v>28.118474591502082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125.40000000000003</v>
      </c>
      <c r="BE36" s="13">
        <f>BD36*VLOOKUP('Données projet'!$B$11,Paramètres!$A$1:$I$89,3,0)*VLOOKUP('Données projet'!$B$11,Paramètres!$A$1:$I$89,5,0)</f>
        <v>113.46192000000002</v>
      </c>
      <c r="BF36" s="13">
        <f t="shared" si="37"/>
        <v>30.145163126535493</v>
      </c>
      <c r="BG36" s="20">
        <f t="shared" si="7"/>
        <v>250.11566977871598</v>
      </c>
      <c r="BH36" s="59">
        <f t="shared" si="8"/>
        <v>543.44900311204924</v>
      </c>
      <c r="BI36" s="59">
        <f ca="1">AVERAGE(OFFSET($BH$3,0,0,'Données projet'!$E$11+1,1))-AVERAGE(OFFSET($H$3,0,0,'Données projet'!$E$11+1,1))</f>
        <v>405.7176439604217</v>
      </c>
      <c r="BJ36" s="59">
        <f t="shared" si="38"/>
        <v>278.21741231699929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6.8868779289718027</v>
      </c>
      <c r="BQ36" s="21">
        <f>EXP(-LN(2)/25)*BQ35+(1-EXP(-LN(2)/25))/(LN(2)/25)*Calculateur!BL36*Calculateur!BN36*VLOOKUP('Données projet'!$B$11,Paramètres!$A$1:$I$89,3,0)*0.475*44/12</f>
        <v>8.6173421415233822</v>
      </c>
      <c r="BR36" s="21">
        <f>EXP(-LN(2)/2)*BR35+(1-EXP(-LN(2)/2))/(LN(2)/2)*BL36*BO36*VLOOKUP('Données projet'!$B$11,Paramètres!$A$1:$I$89,3,0)*0.475*44/12</f>
        <v>3.0175190001063155</v>
      </c>
      <c r="BS36" s="22">
        <f t="shared" si="9"/>
        <v>18.521739070601502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12.2</v>
      </c>
      <c r="BY36" s="12">
        <f>IF('Données projet'!$A$114&gt;35,BY35+BX36-CG35,IF(A36&lt;'Données projet'!$A$114,$BV$205^A36,IF(A36='Données projet'!$A$114,'Données projet'!$B$114,BY35+BX36-CG35)))</f>
        <v>176.6</v>
      </c>
      <c r="BZ36" s="13">
        <f>BY36*VLOOKUP('Données projet'!$B$12,Paramètres!$A$1:$I$89,3,0)*VLOOKUP('Données projet'!$B$12,Paramètres!$A$1:$I$89,5,0)</f>
        <v>154.27776</v>
      </c>
      <c r="CA36" s="13">
        <f t="shared" si="39"/>
        <v>39.549125277353333</v>
      </c>
      <c r="CB36" s="20">
        <f t="shared" si="10"/>
        <v>337.58182519139035</v>
      </c>
      <c r="CC36" s="59">
        <f t="shared" si="11"/>
        <v>630.91515852472367</v>
      </c>
      <c r="CD36" s="59">
        <f ca="1">AVERAGE(OFFSET($CC$3,0,0,'Données projet'!$E$12+1,1))-AVERAGE(OFFSET($H$3,0,0,'Données projet'!$E$12+1,1))</f>
        <v>321.23599968992932</v>
      </c>
      <c r="CE36" s="59">
        <f t="shared" si="40"/>
        <v>388.05195847800502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3.4435650584764765</v>
      </c>
      <c r="CL36" s="21">
        <f>EXP(-LN(2)/25)*CL35+(1-EXP(-LN(2)/25))/(LN(2)/25)*Calculateur!CG36*Calculateur!CI36*VLOOKUP('Données projet'!$B$12,Paramètres!$A$1:$I$89,3,0)*0.475*44/12</f>
        <v>19.415500101726668</v>
      </c>
      <c r="CM36" s="21">
        <f>EXP(-LN(2)/2)*CM35+(1-EXP(-LN(2)/2))/(LN(2)/2)*CG36*CJ36*VLOOKUP('Données projet'!$B$12,Paramètres!$A$1:$I$89,3,0)*0.475*44/12</f>
        <v>4.2648731722047293</v>
      </c>
      <c r="CN36" s="22">
        <f t="shared" si="12"/>
        <v>27.123938332407874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3.6388888888888888</v>
      </c>
      <c r="CT36" s="12">
        <f>IF('Données projet'!$A$140&gt;35,CT35+CS36-DB35,IF(A36&lt;'Données projet'!$A$140,$CQ$205^A36,IF(A36='Données projet'!$A$140,'Données projet'!$B$140,CT35+CS36-DB35)))</f>
        <v>120.08333333333326</v>
      </c>
      <c r="CU36" s="17">
        <f>CT36*VLOOKUP('Données projet'!$B$13,Paramètres!$A$1:$I$89,3,0)*VLOOKUP('Données projet'!$B$13,Paramètres!$A$1:$I$89,5,0)</f>
        <v>116.14459999999994</v>
      </c>
      <c r="CV36" s="13">
        <f t="shared" si="41"/>
        <v>30.774088702819</v>
      </c>
      <c r="CW36" s="20">
        <f t="shared" si="13"/>
        <v>255.88338282407631</v>
      </c>
      <c r="CX36" s="59">
        <f t="shared" si="14"/>
        <v>549.21671615740956</v>
      </c>
      <c r="CY36" s="59">
        <f ca="1">AVERAGE(OFFSET($CX$3,0,0,'Données projet'!$E$13+1,1))-AVERAGE(OFFSET($H$3,0,0,'Données projet'!$E$13+1,1))</f>
        <v>399.24912109442175</v>
      </c>
      <c r="CZ36" s="59">
        <f t="shared" si="42"/>
        <v>269.83150082245305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3.6388888888888888</v>
      </c>
      <c r="DO36" s="12">
        <f>IF('Données projet'!$A$166&gt;35,DO35+DN36-DW35,IF(A36&lt;'Données projet'!$A$166,$DL$205^A36,IF(A36='Données projet'!$A$166,'Données projet'!$B$166,DO35+DN36-DW35)))</f>
        <v>120.08333333333326</v>
      </c>
      <c r="DP36" s="17">
        <f>DO36*VLOOKUP('Données projet'!$B$14,Paramètres!$A$1:$I$89,3,0)*VLOOKUP('Données projet'!$B$14,Paramètres!$A$1:$I$89,5,0)</f>
        <v>129.25769999999991</v>
      </c>
      <c r="DQ36" s="13">
        <f t="shared" si="43"/>
        <v>33.824778474215456</v>
      </c>
      <c r="DR36" s="20">
        <f t="shared" si="16"/>
        <v>284.03531667592512</v>
      </c>
      <c r="DS36" s="59">
        <f t="shared" si="17"/>
        <v>577.36865000925843</v>
      </c>
      <c r="DT36" s="59">
        <f ca="1">AVERAGE(OFFSET($DS$3,0,0,'Données projet'!$E$14+1,1))-AVERAGE(OFFSET($H$3,0,0,'Données projet'!$E$14+1,1))</f>
        <v>439.66981240211362</v>
      </c>
      <c r="DU36" s="59">
        <f t="shared" si="44"/>
        <v>295.47805371292458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3.6388888888888888</v>
      </c>
      <c r="EJ36" s="12">
        <f>IF('Données projet'!$A$192&gt;35,EJ35+EI36-ER35,IF(A36&lt;'Données projet'!$A$192,$EG$205^A36,IF(A36='Données projet'!$A$192,'Données projet'!$B$192,EJ35+EI36-ER35)))</f>
        <v>120.08333333333326</v>
      </c>
      <c r="EK36" s="17">
        <f>EJ36*VLOOKUP('Données projet'!$B$15,Paramètres!$A$1:$I$89,3,0)*VLOOKUP('Données projet'!$B$15,Paramètres!$A$1:$I$89,5,0)</f>
        <v>114.27129999999994</v>
      </c>
      <c r="EL36" s="13">
        <f t="shared" si="45"/>
        <v>30.335094111125777</v>
      </c>
      <c r="EM36" s="20">
        <f t="shared" si="19"/>
        <v>251.85613641021061</v>
      </c>
      <c r="EN36" s="59">
        <f t="shared" si="20"/>
        <v>545.1894697435439</v>
      </c>
      <c r="EO36" s="59">
        <f ca="1">AVERAGE(OFFSET($EN$3,0,0,'Données projet'!$E$15+1,1))-AVERAGE(OFFSET($H$3,0,0,'Données projet'!$E$15+1,1))</f>
        <v>393.46715670823653</v>
      </c>
      <c r="EP36" s="59">
        <f t="shared" si="46"/>
        <v>266.16261355327214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projet'!$B$9,Paramètres!$A$1:$I$89,3,0)*VLOOKUP('Données projet'!$B$9,Paramètres!$A$1:$I$89,5,0)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549.43232095729741</v>
      </c>
      <c r="T37" s="59">
        <f t="shared" si="34"/>
        <v>280.26155987300996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11.57446391204838</v>
      </c>
      <c r="AA37" s="21">
        <f>EXP(-LN(2)/25)*AA36+(1-EXP(-LN(2)/25))/(LN(2)/25)*Calculateur!V37*Calculateur!X37*VLOOKUP('Données projet'!$B$9,Paramètres!$A$1:$I$89,3,0)*0.475*44/12</f>
        <v>8.5544756204906403</v>
      </c>
      <c r="AB37" s="21">
        <f>EXP(-LN(2)/2)*AB36+(1-EXP(-LN(2)/2))/(LN(2)/2)*V37*Y37*VLOOKUP('Données projet'!$B$9,Paramètres!$A$1:$I$89,3,0)*0.475*44/12</f>
        <v>1.1262982503640002</v>
      </c>
      <c r="AC37" s="22">
        <f t="shared" si="3"/>
        <v>21.255237782903023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18.8</v>
      </c>
      <c r="AI37" s="13">
        <f>IF('Données projet'!$A$62&gt;35,AI36+AH37-AQ36,IF(A37&lt;'Données projet'!$A$62,$AF$205^A37,IF(A37='Données projet'!$A$62,'Données projet'!$B$62,AI36+AH37-AQ36)))</f>
        <v>277.20000000000005</v>
      </c>
      <c r="AJ37" s="13">
        <f>AI37*VLOOKUP('Données projet'!$B$10,Paramètres!$A$1:$I$89,3,0)*VLOOKUP('Données projet'!$B$10,Paramètres!$A$1:$I$89,5,0)</f>
        <v>165.76560000000003</v>
      </c>
      <c r="AK37" s="13">
        <f t="shared" si="35"/>
        <v>42.140271125684265</v>
      </c>
      <c r="AL37" s="20">
        <f t="shared" si="4"/>
        <v>362.10272554390014</v>
      </c>
      <c r="AM37" s="59">
        <f t="shared" si="5"/>
        <v>655.43605887723345</v>
      </c>
      <c r="AN37" s="59">
        <f ca="1">AVERAGE(OFFSET($AM$3,0,0,'Données projet'!$E$10+1,1))-AVERAGE(OFFSET($H$3,0,0,'Données projet'!$E$10+1,1))</f>
        <v>348.62416478262719</v>
      </c>
      <c r="AO37" s="59">
        <f t="shared" si="36"/>
        <v>371.70674704563288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12.236371352007842</v>
      </c>
      <c r="AV37" s="21">
        <f>EXP(-LN(2)/25)*AV36+(1-EXP(-LN(2)/25))/(LN(2)/25)*Calculateur!AQ37*Calculateur!AS37*VLOOKUP('Données projet'!$B$10,Paramètres!$A$1:$I$89,3,0)*0.475*44/12</f>
        <v>10.926467639951928</v>
      </c>
      <c r="AW37" s="21">
        <f>EXP(-LN(2)/2)*AW36+(1-EXP(-LN(2)/2))/(LN(2)/2)*AQ37*AT37*VLOOKUP('Données projet'!$B$10,Paramètres!$A$1:$I$89,3,0)*0.475*44/12</f>
        <v>3.1138887216188302</v>
      </c>
      <c r="AX37" s="21">
        <f t="shared" si="6"/>
        <v>26.276727713578602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136.20000000000005</v>
      </c>
      <c r="BE37" s="13">
        <f>BD37*VLOOKUP('Données projet'!$B$11,Paramètres!$A$1:$I$89,3,0)*VLOOKUP('Données projet'!$B$11,Paramètres!$A$1:$I$89,5,0)</f>
        <v>123.23376000000005</v>
      </c>
      <c r="BF37" s="13">
        <f t="shared" si="37"/>
        <v>32.428049504876491</v>
      </c>
      <c r="BG37" s="20">
        <f t="shared" si="7"/>
        <v>271.11098488765998</v>
      </c>
      <c r="BH37" s="59">
        <f t="shared" si="8"/>
        <v>564.4443182209933</v>
      </c>
      <c r="BI37" s="59">
        <f ca="1">AVERAGE(OFFSET($BH$3,0,0,'Données projet'!$E$11+1,1))-AVERAGE(OFFSET($H$3,0,0,'Données projet'!$E$11+1,1))</f>
        <v>405.7176439604217</v>
      </c>
      <c r="BJ37" s="59">
        <f t="shared" si="38"/>
        <v>278.21741231699929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6.7518304533654296</v>
      </c>
      <c r="BQ37" s="21">
        <f>EXP(-LN(2)/25)*BQ36+(1-EXP(-LN(2)/25))/(LN(2)/25)*Calculateur!BL37*Calculateur!BN37*VLOOKUP('Données projet'!$B$11,Paramètres!$A$1:$I$89,3,0)*0.475*44/12</f>
        <v>8.3817004674970974</v>
      </c>
      <c r="BR37" s="21">
        <f>EXP(-LN(2)/2)*BR36+(1-EXP(-LN(2)/2))/(LN(2)/2)*BL37*BO37*VLOOKUP('Données projet'!$B$11,Paramètres!$A$1:$I$89,3,0)*0.475*44/12</f>
        <v>2.1337081473344264</v>
      </c>
      <c r="BS37" s="22">
        <f t="shared" si="9"/>
        <v>17.267239068196954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12.2</v>
      </c>
      <c r="BY37" s="12">
        <f>IF('Données projet'!$A$114&gt;35,BY36+BX37-CG36,IF(A37&lt;'Données projet'!$A$114,$BV$205^A37,IF(A37='Données projet'!$A$114,'Données projet'!$B$114,BY36+BX37-CG36)))</f>
        <v>188.79999999999998</v>
      </c>
      <c r="BZ37" s="13">
        <f>BY37*VLOOKUP('Données projet'!$B$12,Paramètres!$A$1:$I$89,3,0)*VLOOKUP('Données projet'!$B$12,Paramètres!$A$1:$I$89,5,0)</f>
        <v>164.93567999999999</v>
      </c>
      <c r="CA37" s="13">
        <f t="shared" si="39"/>
        <v>41.953795695589498</v>
      </c>
      <c r="CB37" s="20">
        <f t="shared" si="10"/>
        <v>360.33250350315166</v>
      </c>
      <c r="CC37" s="59">
        <f t="shared" si="11"/>
        <v>653.66583683648491</v>
      </c>
      <c r="CD37" s="59">
        <f ca="1">AVERAGE(OFFSET($CC$3,0,0,'Données projet'!$E$12+1,1))-AVERAGE(OFFSET($H$3,0,0,'Données projet'!$E$12+1,1))</f>
        <v>321.23599968992932</v>
      </c>
      <c r="CE37" s="59">
        <f t="shared" si="40"/>
        <v>388.05195847800502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3.3760388480470445</v>
      </c>
      <c r="CL37" s="21">
        <f>EXP(-LN(2)/25)*CL36+(1-EXP(-LN(2)/25))/(LN(2)/25)*Calculateur!CG37*Calculateur!CI37*VLOOKUP('Données projet'!$B$12,Paramètres!$A$1:$I$89,3,0)*0.475*44/12</f>
        <v>18.884582230428176</v>
      </c>
      <c r="CM37" s="21">
        <f>EXP(-LN(2)/2)*CM36+(1-EXP(-LN(2)/2))/(LN(2)/2)*CG37*CJ37*VLOOKUP('Données projet'!$B$12,Paramètres!$A$1:$I$89,3,0)*0.475*44/12</f>
        <v>3.0157207409665467</v>
      </c>
      <c r="CN37" s="22">
        <f t="shared" si="12"/>
        <v>25.276341819441768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3.6388888888888888</v>
      </c>
      <c r="CT37" s="12">
        <f>IF('Données projet'!$A$140&gt;35,CT36+CS37-DB36,IF(A37&lt;'Données projet'!$A$140,$CQ$205^A37,IF(A37='Données projet'!$A$140,'Données projet'!$B$140,CT36+CS37-DB36)))</f>
        <v>123.72222222222214</v>
      </c>
      <c r="CU37" s="17">
        <f>CT37*VLOOKUP('Données projet'!$B$13,Paramètres!$A$1:$I$89,3,0)*VLOOKUP('Données projet'!$B$13,Paramètres!$A$1:$I$89,5,0)</f>
        <v>119.66413333333325</v>
      </c>
      <c r="CV37" s="13">
        <f t="shared" si="41"/>
        <v>31.59665113590076</v>
      </c>
      <c r="CW37" s="20">
        <f t="shared" si="13"/>
        <v>263.4458662839159</v>
      </c>
      <c r="CX37" s="59">
        <f t="shared" si="14"/>
        <v>556.77919961724922</v>
      </c>
      <c r="CY37" s="59">
        <f ca="1">AVERAGE(OFFSET($CX$3,0,0,'Données projet'!$E$13+1,1))-AVERAGE(OFFSET($H$3,0,0,'Données projet'!$E$13+1,1))</f>
        <v>399.24912109442175</v>
      </c>
      <c r="CZ37" s="59">
        <f t="shared" si="42"/>
        <v>269.83150082245305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3.6388888888888888</v>
      </c>
      <c r="DO37" s="12">
        <f>IF('Données projet'!$A$166&gt;35,DO36+DN37-DW36,IF(A37&lt;'Données projet'!$A$166,$DL$205^A37,IF(A37='Données projet'!$A$166,'Données projet'!$B$166,DO36+DN37-DW36)))</f>
        <v>123.72222222222214</v>
      </c>
      <c r="DP37" s="17">
        <f>DO37*VLOOKUP('Données projet'!$B$14,Paramètres!$A$1:$I$89,3,0)*VLOOKUP('Données projet'!$B$14,Paramètres!$A$1:$I$89,5,0)</f>
        <v>133.17459999999991</v>
      </c>
      <c r="DQ37" s="13">
        <f t="shared" si="43"/>
        <v>34.728882974234452</v>
      </c>
      <c r="DR37" s="20">
        <f t="shared" si="16"/>
        <v>292.43189951345812</v>
      </c>
      <c r="DS37" s="59">
        <f t="shared" si="17"/>
        <v>585.76523284679138</v>
      </c>
      <c r="DT37" s="59">
        <f ca="1">AVERAGE(OFFSET($DS$3,0,0,'Données projet'!$E$14+1,1))-AVERAGE(OFFSET($H$3,0,0,'Données projet'!$E$14+1,1))</f>
        <v>439.66981240211362</v>
      </c>
      <c r="DU37" s="59">
        <f t="shared" si="44"/>
        <v>295.47805371292458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3.6388888888888888</v>
      </c>
      <c r="EJ37" s="12">
        <f>IF('Données projet'!$A$192&gt;35,EJ36+EI37-ER36,IF(A37&lt;'Données projet'!$A$192,$EG$205^A37,IF(A37='Données projet'!$A$192,'Données projet'!$B$192,EJ36+EI37-ER36)))</f>
        <v>123.72222222222214</v>
      </c>
      <c r="EK37" s="17">
        <f>EJ37*VLOOKUP('Données projet'!$B$15,Paramètres!$A$1:$I$89,3,0)*VLOOKUP('Données projet'!$B$15,Paramètres!$A$1:$I$89,5,0)</f>
        <v>117.73406666666659</v>
      </c>
      <c r="EL37" s="13">
        <f t="shared" si="45"/>
        <v>31.145922631858745</v>
      </c>
      <c r="EM37" s="20">
        <f t="shared" si="19"/>
        <v>259.29931469493164</v>
      </c>
      <c r="EN37" s="59">
        <f t="shared" si="20"/>
        <v>552.63264802826495</v>
      </c>
      <c r="EO37" s="59">
        <f ca="1">AVERAGE(OFFSET($EN$3,0,0,'Données projet'!$E$15+1,1))-AVERAGE(OFFSET($H$3,0,0,'Données projet'!$E$15+1,1))</f>
        <v>393.46715670823653</v>
      </c>
      <c r="EP37" s="59">
        <f t="shared" si="46"/>
        <v>266.16261355327214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projet'!$B$9,Paramètres!$A$1:$I$89,3,0)*VLOOKUP('Données projet'!$B$9,Paramètres!$A$1:$I$89,5,0)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549.43232095729741</v>
      </c>
      <c r="T38" s="59">
        <f t="shared" si="34"/>
        <v>280.26155987300996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11.347495734459008</v>
      </c>
      <c r="AA38" s="21">
        <f>EXP(-LN(2)/25)*AA37+(1-EXP(-LN(2)/25))/(LN(2)/25)*Calculateur!V38*Calculateur!X38*VLOOKUP('Données projet'!$B$9,Paramètres!$A$1:$I$89,3,0)*0.475*44/12</f>
        <v>8.3205530347880021</v>
      </c>
      <c r="AB38" s="21">
        <f>EXP(-LN(2)/2)*AB37+(1-EXP(-LN(2)/2))/(LN(2)/2)*V38*Y38*VLOOKUP('Données projet'!$B$9,Paramètres!$A$1:$I$89,3,0)*0.475*44/12</f>
        <v>0.79641313047092843</v>
      </c>
      <c r="AC38" s="22">
        <f t="shared" si="3"/>
        <v>20.464461899717936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296</v>
      </c>
      <c r="AG38" s="12">
        <f>VLOOKUP(A38,'Données projet'!$A$61:$I$81,9,0)</f>
        <v>18.8</v>
      </c>
      <c r="AH38" s="12">
        <f t="array" ref="AH38">INDEX(AG:AG,MIN(IF(ISNUMBER(AG38:AG234),ROW(AG38:AG234),"")))</f>
        <v>18.8</v>
      </c>
      <c r="AI38" s="13">
        <f>IF('Données projet'!$A$62&gt;35,AI37+AH38-AQ37,IF(A38&lt;'Données projet'!$A$62,$AF$205^A38,IF(A38='Données projet'!$A$62,'Données projet'!$B$62,AI37+AH38-AQ37)))</f>
        <v>296.00000000000006</v>
      </c>
      <c r="AJ38" s="13">
        <f>AI38*VLOOKUP('Données projet'!$B$10,Paramètres!$A$1:$I$89,3,0)*VLOOKUP('Données projet'!$B$10,Paramètres!$A$1:$I$89,5,0)</f>
        <v>177.00800000000004</v>
      </c>
      <c r="AK38" s="13">
        <f t="shared" si="35"/>
        <v>44.65587329900309</v>
      </c>
      <c r="AL38" s="20">
        <f t="shared" si="4"/>
        <v>386.06457932909711</v>
      </c>
      <c r="AM38" s="59">
        <f t="shared" si="5"/>
        <v>679.39791266243037</v>
      </c>
      <c r="AN38" s="59">
        <f ca="1">AVERAGE(OFFSET($AM$3,0,0,'Données projet'!$E$10+1,1))-AVERAGE(OFFSET($H$3,0,0,'Données projet'!$E$10+1,1))</f>
        <v>348.62416478262719</v>
      </c>
      <c r="AO38" s="59">
        <f t="shared" si="36"/>
        <v>371.70674704563288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52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11.996423573244538</v>
      </c>
      <c r="AV38" s="21">
        <f>EXP(-LN(2)/25)*AV37+(1-EXP(-LN(2)/25))/(LN(2)/25)*Calculateur!AQ38*Calculateur!AS38*VLOOKUP('Données projet'!$B$10,Paramètres!$A$1:$I$89,3,0)*0.475*44/12</f>
        <v>10.627682807739482</v>
      </c>
      <c r="AW38" s="21">
        <f>EXP(-LN(2)/2)*AW37+(1-EXP(-LN(2)/2))/(LN(2)/2)*AQ38*AT38*VLOOKUP('Données projet'!$B$10,Paramètres!$A$1:$I$89,3,0)*0.475*44/12</f>
        <v>2.2018518309169846</v>
      </c>
      <c r="AX38" s="21">
        <f t="shared" si="6"/>
        <v>24.825958211901003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147.00000000000006</v>
      </c>
      <c r="BE38" s="13">
        <f>BD38*VLOOKUP('Données projet'!$B$11,Paramètres!$A$1:$I$89,3,0)*VLOOKUP('Données projet'!$B$11,Paramètres!$A$1:$I$89,5,0)</f>
        <v>133.00560000000004</v>
      </c>
      <c r="BF38" s="13">
        <f t="shared" si="37"/>
        <v>34.689938673073549</v>
      </c>
      <c r="BG38" s="20">
        <f t="shared" si="7"/>
        <v>292.06972985560316</v>
      </c>
      <c r="BH38" s="59">
        <f t="shared" si="8"/>
        <v>585.40306318893647</v>
      </c>
      <c r="BI38" s="59">
        <f ca="1">AVERAGE(OFFSET($BH$3,0,0,'Données projet'!$E$11+1,1))-AVERAGE(OFFSET($H$3,0,0,'Données projet'!$E$11+1,1))</f>
        <v>405.7176439604217</v>
      </c>
      <c r="BJ38" s="59">
        <f t="shared" si="38"/>
        <v>278.21741231699929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6.6194311763848708</v>
      </c>
      <c r="BQ38" s="21">
        <f>EXP(-LN(2)/25)*BQ37+(1-EXP(-LN(2)/25))/(LN(2)/25)*Calculateur!BL38*Calculateur!BN38*VLOOKUP('Données projet'!$B$11,Paramètres!$A$1:$I$89,3,0)*0.475*44/12</f>
        <v>8.1525024274389182</v>
      </c>
      <c r="BR38" s="21">
        <f>EXP(-LN(2)/2)*BR37+(1-EXP(-LN(2)/2))/(LN(2)/2)*BL38*BO38*VLOOKUP('Données projet'!$B$11,Paramètres!$A$1:$I$89,3,0)*0.475*44/12</f>
        <v>1.508759500053158</v>
      </c>
      <c r="BS38" s="22">
        <f t="shared" si="9"/>
        <v>16.280693103876949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201</v>
      </c>
      <c r="BW38" s="12">
        <f>VLOOKUP(A38,'Données projet'!$A$113:$I$133,9,0)</f>
        <v>12.2</v>
      </c>
      <c r="BX38" s="12">
        <f t="array" ref="BX38">INDEX(BW:BW,MIN(IF(ISNUMBER(BW38:BW234),ROW(BW38:BW234),"")))</f>
        <v>12.2</v>
      </c>
      <c r="BY38" s="12">
        <f>IF('Données projet'!$A$114&gt;35,BY37+BX38-CG37,IF(A38&lt;'Données projet'!$A$114,$BV$205^A38,IF(A38='Données projet'!$A$114,'Données projet'!$B$114,BY37+BX38-CG37)))</f>
        <v>200.99999999999997</v>
      </c>
      <c r="BZ38" s="13">
        <f>BY38*VLOOKUP('Données projet'!$B$12,Paramètres!$A$1:$I$89,3,0)*VLOOKUP('Données projet'!$B$12,Paramètres!$A$1:$I$89,5,0)</f>
        <v>175.59359999999998</v>
      </c>
      <c r="CA38" s="13">
        <f t="shared" si="39"/>
        <v>44.340433728638573</v>
      </c>
      <c r="CB38" s="20">
        <f t="shared" si="10"/>
        <v>383.05177541071208</v>
      </c>
      <c r="CC38" s="59">
        <f t="shared" si="11"/>
        <v>676.3851087440454</v>
      </c>
      <c r="CD38" s="59">
        <f ca="1">AVERAGE(OFFSET($CC$3,0,0,'Données projet'!$E$12+1,1))-AVERAGE(OFFSET($H$3,0,0,'Données projet'!$E$12+1,1))</f>
        <v>321.23599968992932</v>
      </c>
      <c r="CE38" s="59">
        <f t="shared" si="40"/>
        <v>388.05195847800502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3.3098367854172119</v>
      </c>
      <c r="CL38" s="21">
        <f>EXP(-LN(2)/25)*CL37+(1-EXP(-LN(2)/25))/(LN(2)/25)*Calculateur!CG38*Calculateur!CI38*VLOOKUP('Données projet'!$B$12,Paramètres!$A$1:$I$89,3,0)*0.475*44/12</f>
        <v>18.3681823362401</v>
      </c>
      <c r="CM38" s="21">
        <f>EXP(-LN(2)/2)*CM37+(1-EXP(-LN(2)/2))/(LN(2)/2)*CG38*CJ38*VLOOKUP('Données projet'!$B$12,Paramètres!$A$1:$I$89,3,0)*0.475*44/12</f>
        <v>2.1324365861023651</v>
      </c>
      <c r="CN38" s="22">
        <f t="shared" si="12"/>
        <v>23.810455707759676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3.6388888888888888</v>
      </c>
      <c r="CT38" s="12">
        <f>IF('Données projet'!$A$140&gt;35,CT37+CS38-DB37,IF(A38&lt;'Données projet'!$A$140,$CQ$205^A38,IF(A38='Données projet'!$A$140,'Données projet'!$B$140,CT37+CS38-DB37)))</f>
        <v>127.36111111111103</v>
      </c>
      <c r="CU38" s="17">
        <f>CT38*VLOOKUP('Données projet'!$B$13,Paramètres!$A$1:$I$89,3,0)*VLOOKUP('Données projet'!$B$13,Paramètres!$A$1:$I$89,5,0)</f>
        <v>123.18366666666658</v>
      </c>
      <c r="CV38" s="13">
        <f t="shared" si="41"/>
        <v>32.416401888923524</v>
      </c>
      <c r="CW38" s="20">
        <f t="shared" si="13"/>
        <v>271.00345273431941</v>
      </c>
      <c r="CX38" s="59">
        <f t="shared" si="14"/>
        <v>564.33678606765272</v>
      </c>
      <c r="CY38" s="59">
        <f ca="1">AVERAGE(OFFSET($CX$3,0,0,'Données projet'!$E$13+1,1))-AVERAGE(OFFSET($H$3,0,0,'Données projet'!$E$13+1,1))</f>
        <v>399.24912109442175</v>
      </c>
      <c r="CZ38" s="59">
        <f t="shared" si="42"/>
        <v>269.83150082245305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3.6388888888888888</v>
      </c>
      <c r="DO38" s="12">
        <f>IF('Données projet'!$A$166&gt;35,DO37+DN38-DW37,IF(A38&lt;'Données projet'!$A$166,$DL$205^A38,IF(A38='Données projet'!$A$166,'Données projet'!$B$166,DO37+DN38-DW37)))</f>
        <v>127.36111111111103</v>
      </c>
      <c r="DP38" s="17">
        <f>DO38*VLOOKUP('Données projet'!$B$14,Paramètres!$A$1:$I$89,3,0)*VLOOKUP('Données projet'!$B$14,Paramètres!$A$1:$I$89,5,0)</f>
        <v>137.09149999999991</v>
      </c>
      <c r="DQ38" s="13">
        <f t="shared" si="43"/>
        <v>35.629897067383737</v>
      </c>
      <c r="DR38" s="20">
        <f t="shared" si="16"/>
        <v>300.82309989235983</v>
      </c>
      <c r="DS38" s="59">
        <f t="shared" si="17"/>
        <v>594.15643322569315</v>
      </c>
      <c r="DT38" s="59">
        <f ca="1">AVERAGE(OFFSET($DS$3,0,0,'Données projet'!$E$14+1,1))-AVERAGE(OFFSET($H$3,0,0,'Données projet'!$E$14+1,1))</f>
        <v>439.66981240211362</v>
      </c>
      <c r="DU38" s="59">
        <f t="shared" si="44"/>
        <v>295.47805371292458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3.6388888888888888</v>
      </c>
      <c r="EJ38" s="12">
        <f>IF('Données projet'!$A$192&gt;35,EJ37+EI38-ER37,IF(A38&lt;'Données projet'!$A$192,$EG$205^A38,IF(A38='Données projet'!$A$192,'Données projet'!$B$192,EJ37+EI38-ER37)))</f>
        <v>127.36111111111103</v>
      </c>
      <c r="EK38" s="17">
        <f>EJ38*VLOOKUP('Données projet'!$B$15,Paramètres!$A$1:$I$89,3,0)*VLOOKUP('Données projet'!$B$15,Paramètres!$A$1:$I$89,5,0)</f>
        <v>121.19683333333325</v>
      </c>
      <c r="EL38" s="13">
        <f t="shared" si="45"/>
        <v>31.953979581351252</v>
      </c>
      <c r="EM38" s="20">
        <f t="shared" si="19"/>
        <v>266.73766582640883</v>
      </c>
      <c r="EN38" s="59">
        <f t="shared" si="20"/>
        <v>560.07099915974209</v>
      </c>
      <c r="EO38" s="59">
        <f ca="1">AVERAGE(OFFSET($EN$3,0,0,'Données projet'!$E$15+1,1))-AVERAGE(OFFSET($H$3,0,0,'Données projet'!$E$15+1,1))</f>
        <v>393.46715670823653</v>
      </c>
      <c r="EP38" s="59">
        <f t="shared" si="46"/>
        <v>266.16261355327214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projet'!$B$9,Paramètres!$A$1:$I$89,3,0)*VLOOKUP('Données projet'!$B$9,Paramètres!$A$1:$I$89,5,0)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549.43232095729741</v>
      </c>
      <c r="T39" s="59">
        <f t="shared" si="34"/>
        <v>280.26155987300996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11.124978264395244</v>
      </c>
      <c r="AA39" s="21">
        <f>EXP(-LN(2)/25)*AA38+(1-EXP(-LN(2)/25))/(LN(2)/25)*Calculateur!V39*Calculateur!X39*VLOOKUP('Données projet'!$B$9,Paramètres!$A$1:$I$89,3,0)*0.475*44/12</f>
        <v>8.0930270744928574</v>
      </c>
      <c r="AB39" s="21">
        <f>EXP(-LN(2)/2)*AB38+(1-EXP(-LN(2)/2))/(LN(2)/2)*V39*Y39*VLOOKUP('Données projet'!$B$9,Paramètres!$A$1:$I$89,3,0)*0.475*44/12</f>
        <v>0.56314912518200011</v>
      </c>
      <c r="AC39" s="22">
        <f t="shared" si="3"/>
        <v>19.781154464070102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17.600000000000001</v>
      </c>
      <c r="AI39" s="13">
        <f>IF('Données projet'!$A$62&gt;35,AI38+AH39-AQ38,IF(A39&lt;'Données projet'!$A$62,$AF$205^A39,IF(A39='Données projet'!$A$62,'Données projet'!$B$62,AI38+AH39-AQ38)))</f>
        <v>261.60000000000008</v>
      </c>
      <c r="AJ39" s="13">
        <f>AI39*VLOOKUP('Données projet'!$B$10,Paramètres!$A$1:$I$89,3,0)*VLOOKUP('Données projet'!$B$10,Paramètres!$A$1:$I$89,5,0)</f>
        <v>156.43680000000006</v>
      </c>
      <c r="AK39" s="13">
        <f t="shared" si="35"/>
        <v>40.037775291207829</v>
      </c>
      <c r="AL39" s="20">
        <f t="shared" si="4"/>
        <v>342.1932186321871</v>
      </c>
      <c r="AM39" s="59">
        <f t="shared" si="5"/>
        <v>635.52655196552041</v>
      </c>
      <c r="AN39" s="59">
        <f ca="1">AVERAGE(OFFSET($AM$3,0,0,'Données projet'!$E$10+1,1))-AVERAGE(OFFSET($H$3,0,0,'Données projet'!$E$10+1,1))</f>
        <v>348.62416478262719</v>
      </c>
      <c r="AO39" s="59">
        <f t="shared" si="36"/>
        <v>371.70674704563288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11.761181024069089</v>
      </c>
      <c r="AV39" s="21">
        <f>EXP(-LN(2)/25)*AV38+(1-EXP(-LN(2)/25))/(LN(2)/25)*Calculateur!AQ39*Calculateur!AS39*VLOOKUP('Données projet'!$B$10,Paramètres!$A$1:$I$89,3,0)*0.475*44/12</f>
        <v>10.337068262476297</v>
      </c>
      <c r="AW39" s="21">
        <f>EXP(-LN(2)/2)*AW38+(1-EXP(-LN(2)/2))/(LN(2)/2)*AQ39*AT39*VLOOKUP('Données projet'!$B$10,Paramètres!$A$1:$I$89,3,0)*0.475*44/12</f>
        <v>1.5569443608094153</v>
      </c>
      <c r="AX39" s="21">
        <f t="shared" si="6"/>
        <v>23.6551936473548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130.20000000000005</v>
      </c>
      <c r="BE39" s="13">
        <f>BD39*VLOOKUP('Données projet'!$B$11,Paramètres!$A$1:$I$89,3,0)*VLOOKUP('Données projet'!$B$11,Paramètres!$A$1:$I$89,5,0)</f>
        <v>117.80496000000004</v>
      </c>
      <c r="BF39" s="13">
        <f t="shared" si="37"/>
        <v>31.162493487829593</v>
      </c>
      <c r="BG39" s="20">
        <f t="shared" si="7"/>
        <v>259.45164815796994</v>
      </c>
      <c r="BH39" s="59">
        <f t="shared" si="8"/>
        <v>552.78498149130326</v>
      </c>
      <c r="BI39" s="59">
        <f ca="1">AVERAGE(OFFSET($BH$3,0,0,'Données projet'!$E$11+1,1))-AVERAGE(OFFSET($H$3,0,0,'Données projet'!$E$11+1,1))</f>
        <v>405.7176439604217</v>
      </c>
      <c r="BJ39" s="59">
        <f t="shared" si="38"/>
        <v>278.21741231699929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6.4896281684703157</v>
      </c>
      <c r="BQ39" s="21">
        <f>EXP(-LN(2)/25)*BQ38+(1-EXP(-LN(2)/25))/(LN(2)/25)*Calculateur!BL39*Calculateur!BN39*VLOOKUP('Données projet'!$B$11,Paramètres!$A$1:$I$89,3,0)*0.475*44/12</f>
        <v>7.929571819839131</v>
      </c>
      <c r="BR39" s="21">
        <f>EXP(-LN(2)/2)*BR38+(1-EXP(-LN(2)/2))/(LN(2)/2)*BL39*BO39*VLOOKUP('Données projet'!$B$11,Paramètres!$A$1:$I$89,3,0)*0.475*44/12</f>
        <v>1.0668540736672132</v>
      </c>
      <c r="BS39" s="22">
        <f t="shared" si="9"/>
        <v>15.486054061976661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10.8</v>
      </c>
      <c r="BY39" s="12">
        <f>IF('Données projet'!$A$114&gt;35,BY38+BX39-CG38,IF(A39&lt;'Données projet'!$A$114,$BV$205^A39,IF(A39='Données projet'!$A$114,'Données projet'!$B$114,BY38+BX39-CG38)))</f>
        <v>169.79999999999998</v>
      </c>
      <c r="BZ39" s="13">
        <f>BY39*VLOOKUP('Données projet'!$B$12,Paramètres!$A$1:$I$89,3,0)*VLOOKUP('Données projet'!$B$12,Paramètres!$A$1:$I$89,5,0)</f>
        <v>148.33727999999999</v>
      </c>
      <c r="CA39" s="13">
        <f t="shared" si="39"/>
        <v>38.200481752654802</v>
      </c>
      <c r="CB39" s="20">
        <f t="shared" si="10"/>
        <v>324.88660171920714</v>
      </c>
      <c r="CC39" s="59">
        <f t="shared" si="11"/>
        <v>618.21993505254045</v>
      </c>
      <c r="CD39" s="59">
        <f ca="1">AVERAGE(OFFSET($CC$3,0,0,'Données projet'!$E$12+1,1))-AVERAGE(OFFSET($H$3,0,0,'Données projet'!$E$12+1,1))</f>
        <v>321.23599968992932</v>
      </c>
      <c r="CE39" s="59">
        <f t="shared" si="40"/>
        <v>388.05195847800502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3.2449329048562796</v>
      </c>
      <c r="CL39" s="21">
        <f>EXP(-LN(2)/25)*CL38+(1-EXP(-LN(2)/25))/(LN(2)/25)*Calculateur!CG39*Calculateur!CI39*VLOOKUP('Données projet'!$B$12,Paramètres!$A$1:$I$89,3,0)*0.475*44/12</f>
        <v>17.865903424314887</v>
      </c>
      <c r="CM39" s="21">
        <f>EXP(-LN(2)/2)*CM38+(1-EXP(-LN(2)/2))/(LN(2)/2)*CG39*CJ39*VLOOKUP('Données projet'!$B$12,Paramètres!$A$1:$I$89,3,0)*0.475*44/12</f>
        <v>1.5078603704832736</v>
      </c>
      <c r="CN39" s="22">
        <f t="shared" si="12"/>
        <v>22.618696699654443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131</v>
      </c>
      <c r="CR39" s="12">
        <f>VLOOKUP(A39,'Données projet'!$A$139:$I$159,9,0)</f>
        <v>3.6388888888888888</v>
      </c>
      <c r="CS39" s="12">
        <f t="array" ref="CS39">INDEX(CR:CR,MIN(IF(ISNUMBER(CR39:CR235),ROW(CR39:CR235),"")))</f>
        <v>3.6388888888888888</v>
      </c>
      <c r="CT39" s="12">
        <f>IF('Données projet'!$A$140&gt;35,CT38+CS39-DB38,IF(A39&lt;'Données projet'!$A$140,$CQ$205^A39,IF(A39='Données projet'!$A$140,'Données projet'!$B$140,CT38+CS39-DB38)))</f>
        <v>130.99999999999991</v>
      </c>
      <c r="CU39" s="17">
        <f>CT39*VLOOKUP('Données projet'!$B$13,Paramètres!$A$1:$I$89,3,0)*VLOOKUP('Données projet'!$B$13,Paramètres!$A$1:$I$89,5,0)</f>
        <v>126.70319999999991</v>
      </c>
      <c r="CV39" s="13">
        <f t="shared" si="41"/>
        <v>33.233430522173116</v>
      </c>
      <c r="CW39" s="20">
        <f t="shared" si="13"/>
        <v>278.55629815945139</v>
      </c>
      <c r="CX39" s="59">
        <f t="shared" si="14"/>
        <v>571.8896314927847</v>
      </c>
      <c r="CY39" s="59">
        <f ca="1">AVERAGE(OFFSET($CX$3,0,0,'Données projet'!$E$13+1,1))-AVERAGE(OFFSET($H$3,0,0,'Données projet'!$E$13+1,1))</f>
        <v>399.24912109442175</v>
      </c>
      <c r="CZ39" s="59">
        <f t="shared" si="42"/>
        <v>269.83150082245305</v>
      </c>
      <c r="DA39" s="15">
        <f>IF(ISNA(VLOOKUP(A39,'Données projet'!$A$139:$I$159,3,0)),0,VLOOKUP(A39,'Données projet'!$A$139:$I$159,3,0))</f>
        <v>1</v>
      </c>
      <c r="DB39" s="15">
        <f>IF(ISNA(VLOOKUP(A39,'Données projet'!$A$139:$I$159,4,0)),0,VLOOKUP(A39,'Données projet'!$A$139:$I$159,4,0))</f>
        <v>36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131</v>
      </c>
      <c r="DM39" s="12">
        <f>VLOOKUP(A39,'Données projet'!$A$165:$I$185,9,0)</f>
        <v>3.6388888888888888</v>
      </c>
      <c r="DN39" s="12">
        <f t="array" ref="DN39">INDEX(DM:DM,MIN(IF(ISNUMBER(DM39:DM235),ROW(DM39:DM235),"")))</f>
        <v>3.6388888888888888</v>
      </c>
      <c r="DO39" s="12">
        <f>IF('Données projet'!$A$166&gt;35,DO38+DN39-DW38,IF(A39&lt;'Données projet'!$A$166,$DL$205^A39,IF(A39='Données projet'!$A$166,'Données projet'!$B$166,DO38+DN39-DW38)))</f>
        <v>130.99999999999991</v>
      </c>
      <c r="DP39" s="17">
        <f>DO39*VLOOKUP('Données projet'!$B$14,Paramètres!$A$1:$I$89,3,0)*VLOOKUP('Données projet'!$B$14,Paramètres!$A$1:$I$89,5,0)</f>
        <v>141.00839999999988</v>
      </c>
      <c r="DQ39" s="13">
        <f t="shared" si="43"/>
        <v>36.527919192218455</v>
      </c>
      <c r="DR39" s="20">
        <f t="shared" si="16"/>
        <v>309.20908925978028</v>
      </c>
      <c r="DS39" s="59">
        <f t="shared" si="17"/>
        <v>602.54242259311354</v>
      </c>
      <c r="DT39" s="59">
        <f ca="1">AVERAGE(OFFSET($DS$3,0,0,'Données projet'!$E$14+1,1))-AVERAGE(OFFSET($H$3,0,0,'Données projet'!$E$14+1,1))</f>
        <v>439.66981240211362</v>
      </c>
      <c r="DU39" s="59">
        <f t="shared" si="44"/>
        <v>295.47805371292458</v>
      </c>
      <c r="DV39" s="15">
        <f>IF(ISNA(VLOOKUP(A39,'Données projet'!$A$165:$I$185,3,0)),0,VLOOKUP(A39,'Données projet'!$A$165:$I$185,3,0))</f>
        <v>1</v>
      </c>
      <c r="DW39" s="15">
        <f>IF(ISNA(VLOOKUP(A39,'Données projet'!$A$165:$I$185,4,0)),0,VLOOKUP(A39,'Données projet'!$A$165:$I$185,4,0))</f>
        <v>36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131</v>
      </c>
      <c r="EH39" s="12">
        <f>VLOOKUP(A39,'Données projet'!$A$191:$I$211,9,0)</f>
        <v>3.6388888888888888</v>
      </c>
      <c r="EI39" s="12">
        <f t="array" ref="EI39">INDEX(EH:EH,MIN(IF(ISNUMBER(EH39:EH235),ROW(EH39:EH235),"")))</f>
        <v>3.6388888888888888</v>
      </c>
      <c r="EJ39" s="12">
        <f>IF('Données projet'!$A$192&gt;35,EJ38+EI39-ER38,IF(A39&lt;'Données projet'!$A$192,$EG$205^A39,IF(A39='Données projet'!$A$192,'Données projet'!$B$192,EJ38+EI39-ER38)))</f>
        <v>130.99999999999991</v>
      </c>
      <c r="EK39" s="17">
        <f>EJ39*VLOOKUP('Données projet'!$B$15,Paramètres!$A$1:$I$89,3,0)*VLOOKUP('Données projet'!$B$15,Paramètres!$A$1:$I$89,5,0)</f>
        <v>124.65959999999991</v>
      </c>
      <c r="EL39" s="13">
        <f t="shared" si="45"/>
        <v>32.759353242305167</v>
      </c>
      <c r="EM39" s="20">
        <f t="shared" si="19"/>
        <v>274.17134356368132</v>
      </c>
      <c r="EN39" s="59">
        <f t="shared" si="20"/>
        <v>567.50467689701463</v>
      </c>
      <c r="EO39" s="59">
        <f ca="1">AVERAGE(OFFSET($EN$3,0,0,'Données projet'!$E$15+1,1))-AVERAGE(OFFSET($H$3,0,0,'Données projet'!$E$15+1,1))</f>
        <v>393.46715670823653</v>
      </c>
      <c r="EP39" s="59">
        <f t="shared" si="46"/>
        <v>266.16261355327214</v>
      </c>
      <c r="EQ39" s="15">
        <f>IF(ISNA(VLOOKUP(A39,'Données projet'!$A$191:$I$211,3,0)),0,VLOOKUP(A39,'Données projet'!$A$191:$I$211,3,0))</f>
        <v>1</v>
      </c>
      <c r="ER39" s="15">
        <f>IF(ISNA(VLOOKUP(A39,'Données projet'!$A$191:$I$211,4,0)),0,VLOOKUP(A39,'Données projet'!$A$191:$I$211,4,0))</f>
        <v>36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projet'!$B$9,Paramètres!$A$1:$I$89,3,0)*VLOOKUP('Données projet'!$B$9,Paramètres!$A$1:$I$89,5,0)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549.43232095729741</v>
      </c>
      <c r="T40" s="59">
        <f t="shared" si="34"/>
        <v>280.26155987300996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10.906824226197175</v>
      </c>
      <c r="AA40" s="21">
        <f>EXP(-LN(2)/25)*AA39+(1-EXP(-LN(2)/25))/(LN(2)/25)*Calculateur!V40*Calculateur!X40*VLOOKUP('Données projet'!$B$9,Paramètres!$A$1:$I$89,3,0)*0.475*44/12</f>
        <v>7.8717228235470529</v>
      </c>
      <c r="AB40" s="21">
        <f>EXP(-LN(2)/2)*AB39+(1-EXP(-LN(2)/2))/(LN(2)/2)*V40*Y40*VLOOKUP('Données projet'!$B$9,Paramètres!$A$1:$I$89,3,0)*0.475*44/12</f>
        <v>0.39820656523546422</v>
      </c>
      <c r="AC40" s="22">
        <f t="shared" si="3"/>
        <v>19.176753614979692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17.600000000000001</v>
      </c>
      <c r="AI40" s="13">
        <f>IF('Données projet'!$A$62&gt;35,AI39+AH40-AQ39,IF(A40&lt;'Données projet'!$A$62,$AF$205^A40,IF(A40='Données projet'!$A$62,'Données projet'!$B$62,AI39+AH40-AQ39)))</f>
        <v>279.2000000000001</v>
      </c>
      <c r="AJ40" s="13">
        <f>AI40*VLOOKUP('Données projet'!$B$10,Paramètres!$A$1:$I$89,3,0)*VLOOKUP('Données projet'!$B$10,Paramètres!$A$1:$I$89,5,0)</f>
        <v>166.96160000000006</v>
      </c>
      <c r="AK40" s="13">
        <f t="shared" si="35"/>
        <v>42.408810446399933</v>
      </c>
      <c r="AL40" s="20">
        <f t="shared" si="4"/>
        <v>364.6534648608133</v>
      </c>
      <c r="AM40" s="59">
        <f t="shared" si="5"/>
        <v>657.98679819414656</v>
      </c>
      <c r="AN40" s="59">
        <f ca="1">AVERAGE(OFFSET($AM$3,0,0,'Données projet'!$E$10+1,1))-AVERAGE(OFFSET($H$3,0,0,'Données projet'!$E$10+1,1))</f>
        <v>348.62416478262719</v>
      </c>
      <c r="AO40" s="59">
        <f t="shared" si="36"/>
        <v>371.70674704563288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11.530551437799183</v>
      </c>
      <c r="AV40" s="21">
        <f>EXP(-LN(2)/25)*AV39+(1-EXP(-LN(2)/25))/(LN(2)/25)*Calculateur!AQ40*Calculateur!AS40*VLOOKUP('Données projet'!$B$10,Paramètres!$A$1:$I$89,3,0)*0.475*44/12</f>
        <v>10.054400587236088</v>
      </c>
      <c r="AW40" s="21">
        <f>EXP(-LN(2)/2)*AW39+(1-EXP(-LN(2)/2))/(LN(2)/2)*AQ40*AT40*VLOOKUP('Données projet'!$B$10,Paramètres!$A$1:$I$89,3,0)*0.475*44/12</f>
        <v>1.1009259154584925</v>
      </c>
      <c r="AX40" s="21">
        <f t="shared" si="6"/>
        <v>22.685877940493764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141.40000000000003</v>
      </c>
      <c r="BE40" s="13">
        <f>BD40*VLOOKUP('Données projet'!$B$11,Paramètres!$A$1:$I$89,3,0)*VLOOKUP('Données projet'!$B$11,Paramètres!$A$1:$I$89,5,0)</f>
        <v>127.93872000000003</v>
      </c>
      <c r="BF40" s="13">
        <f t="shared" si="37"/>
        <v>33.519615889545641</v>
      </c>
      <c r="BG40" s="20">
        <f t="shared" si="7"/>
        <v>281.20660167429202</v>
      </c>
      <c r="BH40" s="59">
        <f t="shared" si="8"/>
        <v>574.53993500762533</v>
      </c>
      <c r="BI40" s="59">
        <f ca="1">AVERAGE(OFFSET($BH$3,0,0,'Données projet'!$E$11+1,1))-AVERAGE(OFFSET($H$3,0,0,'Données projet'!$E$11+1,1))</f>
        <v>405.7176439604217</v>
      </c>
      <c r="BJ40" s="59">
        <f t="shared" si="38"/>
        <v>278.21741231699929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6.3623705183689472</v>
      </c>
      <c r="BQ40" s="21">
        <f>EXP(-LN(2)/25)*BQ39+(1-EXP(-LN(2)/25))/(LN(2)/25)*Calculateur!BL40*Calculateur!BN40*VLOOKUP('Données projet'!$B$11,Paramètres!$A$1:$I$89,3,0)*0.475*44/12</f>
        <v>7.7127372614275709</v>
      </c>
      <c r="BR40" s="21">
        <f>EXP(-LN(2)/2)*BR39+(1-EXP(-LN(2)/2))/(LN(2)/2)*BL40*BO40*VLOOKUP('Données projet'!$B$11,Paramètres!$A$1:$I$89,3,0)*0.475*44/12</f>
        <v>0.75437975002657898</v>
      </c>
      <c r="BS40" s="22">
        <f t="shared" si="9"/>
        <v>14.829487529823098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10.8</v>
      </c>
      <c r="BY40" s="12">
        <f>IF('Données projet'!$A$114&gt;35,BY39+BX40-CG39,IF(A40&lt;'Données projet'!$A$114,$BV$205^A40,IF(A40='Données projet'!$A$114,'Données projet'!$B$114,BY39+BX40-CG39)))</f>
        <v>180.6</v>
      </c>
      <c r="BZ40" s="13">
        <f>BY40*VLOOKUP('Données projet'!$B$12,Paramètres!$A$1:$I$89,3,0)*VLOOKUP('Données projet'!$B$12,Paramètres!$A$1:$I$89,5,0)</f>
        <v>157.77216000000001</v>
      </c>
      <c r="CA40" s="13">
        <f t="shared" si="39"/>
        <v>40.339610539653599</v>
      </c>
      <c r="CB40" s="20">
        <f t="shared" si="10"/>
        <v>345.04466702323003</v>
      </c>
      <c r="CC40" s="59">
        <f t="shared" si="11"/>
        <v>638.37800035656335</v>
      </c>
      <c r="CD40" s="59">
        <f ca="1">AVERAGE(OFFSET($CC$3,0,0,'Données projet'!$E$12+1,1))-AVERAGE(OFFSET($H$3,0,0,'Données projet'!$E$12+1,1))</f>
        <v>321.23599968992932</v>
      </c>
      <c r="CE40" s="59">
        <f t="shared" si="40"/>
        <v>388.05195847800502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3.181301749805689</v>
      </c>
      <c r="CL40" s="21">
        <f>EXP(-LN(2)/25)*CL39+(1-EXP(-LN(2)/25))/(LN(2)/25)*Calculateur!CG40*Calculateur!CI40*VLOOKUP('Données projet'!$B$12,Paramètres!$A$1:$I$89,3,0)*0.475*44/12</f>
        <v>17.377359355649968</v>
      </c>
      <c r="CM40" s="21">
        <f>EXP(-LN(2)/2)*CM39+(1-EXP(-LN(2)/2))/(LN(2)/2)*CG40*CJ40*VLOOKUP('Données projet'!$B$12,Paramètres!$A$1:$I$89,3,0)*0.475*44/12</f>
        <v>1.0662182930511828</v>
      </c>
      <c r="CN40" s="22">
        <f t="shared" si="12"/>
        <v>21.624879398506838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8.8333333333333339</v>
      </c>
      <c r="CT40" s="12">
        <f>IF('Données projet'!$A$140&gt;35,CT39+CS40-DB39,IF(A40&lt;'Données projet'!$A$140,$CQ$205^A40,IF(A40='Données projet'!$A$140,'Données projet'!$B$140,CT39+CS40-DB39)))</f>
        <v>103.83333333333326</v>
      </c>
      <c r="CU40" s="17">
        <f>CT40*VLOOKUP('Données projet'!$B$13,Paramètres!$A$1:$I$89,3,0)*VLOOKUP('Données projet'!$B$13,Paramètres!$A$1:$I$89,5,0)</f>
        <v>100.42759999999994</v>
      </c>
      <c r="CV40" s="13">
        <f t="shared" si="41"/>
        <v>27.063842040495476</v>
      </c>
      <c r="CW40" s="20">
        <f t="shared" si="13"/>
        <v>222.04759488719617</v>
      </c>
      <c r="CX40" s="59">
        <f t="shared" si="14"/>
        <v>515.38092822052954</v>
      </c>
      <c r="CY40" s="59">
        <f ca="1">AVERAGE(OFFSET($CX$3,0,0,'Données projet'!$E$13+1,1))-AVERAGE(OFFSET($H$3,0,0,'Données projet'!$E$13+1,1))</f>
        <v>399.24912109442175</v>
      </c>
      <c r="CZ40" s="59">
        <f t="shared" si="42"/>
        <v>269.83150082245305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8.8333333333333339</v>
      </c>
      <c r="DO40" s="12">
        <f>IF('Données projet'!$A$166&gt;35,DO39+DN40-DW39,IF(A40&lt;'Données projet'!$A$166,$DL$205^A40,IF(A40='Données projet'!$A$166,'Données projet'!$B$166,DO39+DN40-DW39)))</f>
        <v>103.83333333333326</v>
      </c>
      <c r="DP40" s="17">
        <f>DO40*VLOOKUP('Données projet'!$B$14,Paramètres!$A$1:$I$89,3,0)*VLOOKUP('Données projet'!$B$14,Paramètres!$A$1:$I$89,5,0)</f>
        <v>111.76619999999991</v>
      </c>
      <c r="DQ40" s="13">
        <f t="shared" si="43"/>
        <v>29.746728506604359</v>
      </c>
      <c r="DR40" s="20">
        <f t="shared" si="16"/>
        <v>246.46835048233575</v>
      </c>
      <c r="DS40" s="59">
        <f t="shared" si="17"/>
        <v>539.80168381566909</v>
      </c>
      <c r="DT40" s="59">
        <f ca="1">AVERAGE(OFFSET($DS$3,0,0,'Données projet'!$E$14+1,1))-AVERAGE(OFFSET($H$3,0,0,'Données projet'!$E$14+1,1))</f>
        <v>439.66981240211362</v>
      </c>
      <c r="DU40" s="59">
        <f t="shared" si="44"/>
        <v>295.47805371292458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8.8333333333333339</v>
      </c>
      <c r="EJ40" s="12">
        <f>IF('Données projet'!$A$192&gt;35,EJ39+EI40-ER39,IF(A40&lt;'Données projet'!$A$192,$EG$205^A40,IF(A40='Données projet'!$A$192,'Données projet'!$B$192,EJ39+EI40-ER39)))</f>
        <v>103.83333333333326</v>
      </c>
      <c r="EK40" s="17">
        <f>EJ40*VLOOKUP('Données projet'!$B$15,Paramètres!$A$1:$I$89,3,0)*VLOOKUP('Données projet'!$B$15,Paramètres!$A$1:$I$89,5,0)</f>
        <v>98.807799999999929</v>
      </c>
      <c r="EL40" s="13">
        <f t="shared" si="45"/>
        <v>26.677774384651979</v>
      </c>
      <c r="EM40" s="20">
        <f t="shared" si="19"/>
        <v>218.55404205326874</v>
      </c>
      <c r="EN40" s="59">
        <f t="shared" si="20"/>
        <v>511.88737538660206</v>
      </c>
      <c r="EO40" s="59">
        <f ca="1">AVERAGE(OFFSET($EN$3,0,0,'Données projet'!$E$15+1,1))-AVERAGE(OFFSET($H$3,0,0,'Données projet'!$E$15+1,1))</f>
        <v>393.46715670823653</v>
      </c>
      <c r="EP40" s="59">
        <f t="shared" si="46"/>
        <v>266.16261355327214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projet'!$B$9,Paramètres!$A$1:$I$89,3,0)*VLOOKUP('Données projet'!$B$9,Paramètres!$A$1:$I$89,5,0)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549.43232095729741</v>
      </c>
      <c r="T41" s="59">
        <f t="shared" si="34"/>
        <v>280.26155987300996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10.692948055627346</v>
      </c>
      <c r="AA41" s="21">
        <f>EXP(-LN(2)/25)*AA40+(1-EXP(-LN(2)/25))/(LN(2)/25)*Calculateur!V41*Calculateur!X41*VLOOKUP('Données projet'!$B$9,Paramètres!$A$1:$I$89,3,0)*0.475*44/12</f>
        <v>7.6564701489812466</v>
      </c>
      <c r="AB41" s="21">
        <f>EXP(-LN(2)/2)*AB40+(1-EXP(-LN(2)/2))/(LN(2)/2)*V41*Y41*VLOOKUP('Données projet'!$B$9,Paramètres!$A$1:$I$89,3,0)*0.475*44/12</f>
        <v>0.28157456259100005</v>
      </c>
      <c r="AC41" s="22">
        <f t="shared" si="3"/>
        <v>18.630992767199594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17.600000000000001</v>
      </c>
      <c r="AI41" s="13">
        <f>IF('Données projet'!$A$62&gt;35,AI40+AH41-AQ40,IF(A41&lt;'Données projet'!$A$62,$AF$205^A41,IF(A41='Données projet'!$A$62,'Données projet'!$B$62,AI40+AH41-AQ40)))</f>
        <v>296.80000000000013</v>
      </c>
      <c r="AJ41" s="13">
        <f>AI41*VLOOKUP('Données projet'!$B$10,Paramètres!$A$1:$I$89,3,0)*VLOOKUP('Données projet'!$B$10,Paramètres!$A$1:$I$89,5,0)</f>
        <v>177.48640000000012</v>
      </c>
      <c r="AK41" s="13">
        <f t="shared" si="35"/>
        <v>44.762499594286361</v>
      </c>
      <c r="AL41" s="20">
        <f t="shared" si="4"/>
        <v>387.08350012671559</v>
      </c>
      <c r="AM41" s="59">
        <f t="shared" si="5"/>
        <v>680.41683346004891</v>
      </c>
      <c r="AN41" s="59">
        <f ca="1">AVERAGE(OFFSET($AM$3,0,0,'Données projet'!$E$10+1,1))-AVERAGE(OFFSET($H$3,0,0,'Données projet'!$E$10+1,1))</f>
        <v>348.62416478262719</v>
      </c>
      <c r="AO41" s="59">
        <f t="shared" si="36"/>
        <v>371.70674704563288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11.304444357045872</v>
      </c>
      <c r="AV41" s="21">
        <f>EXP(-LN(2)/25)*AV40+(1-EXP(-LN(2)/25))/(LN(2)/25)*Calculateur!AQ41*Calculateur!AS41*VLOOKUP('Données projet'!$B$10,Paramètres!$A$1:$I$89,3,0)*0.475*44/12</f>
        <v>9.7794624744401695</v>
      </c>
      <c r="AW41" s="21">
        <f>EXP(-LN(2)/2)*AW40+(1-EXP(-LN(2)/2))/(LN(2)/2)*AQ41*AT41*VLOOKUP('Données projet'!$B$10,Paramètres!$A$1:$I$89,3,0)*0.475*44/12</f>
        <v>0.77847218040470778</v>
      </c>
      <c r="AX41" s="21">
        <f t="shared" si="6"/>
        <v>21.862379011890749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152.60000000000002</v>
      </c>
      <c r="BE41" s="13">
        <f>BD41*VLOOKUP('Données projet'!$B$11,Paramètres!$A$1:$I$89,3,0)*VLOOKUP('Données projet'!$B$11,Paramètres!$A$1:$I$89,5,0)</f>
        <v>138.07248000000001</v>
      </c>
      <c r="BF41" s="13">
        <f t="shared" si="37"/>
        <v>35.85508207677799</v>
      </c>
      <c r="BG41" s="20">
        <f t="shared" si="7"/>
        <v>302.9238372837217</v>
      </c>
      <c r="BH41" s="59">
        <f t="shared" si="8"/>
        <v>596.25717061705495</v>
      </c>
      <c r="BI41" s="59">
        <f ca="1">AVERAGE(OFFSET($BH$3,0,0,'Données projet'!$E$11+1,1))-AVERAGE(OFFSET($H$3,0,0,'Données projet'!$E$11+1,1))</f>
        <v>405.7176439604217</v>
      </c>
      <c r="BJ41" s="59">
        <f t="shared" si="38"/>
        <v>278.21741231699929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6.2376083131665645</v>
      </c>
      <c r="BQ41" s="21">
        <f>EXP(-LN(2)/25)*BQ40+(1-EXP(-LN(2)/25))/(LN(2)/25)*Calculateur!BL41*Calculateur!BN41*VLOOKUP('Données projet'!$B$11,Paramètres!$A$1:$I$89,3,0)*0.475*44/12</f>
        <v>7.5018320554186086</v>
      </c>
      <c r="BR41" s="21">
        <f>EXP(-LN(2)/2)*BR40+(1-EXP(-LN(2)/2))/(LN(2)/2)*BL41*BO41*VLOOKUP('Données projet'!$B$11,Paramètres!$A$1:$I$89,3,0)*0.475*44/12</f>
        <v>0.53342703683360659</v>
      </c>
      <c r="BS41" s="22">
        <f t="shared" si="9"/>
        <v>14.272867405418779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10.8</v>
      </c>
      <c r="BY41" s="12">
        <f>IF('Données projet'!$A$114&gt;35,BY40+BX41-CG40,IF(A41&lt;'Données projet'!$A$114,$BV$205^A41,IF(A41='Données projet'!$A$114,'Données projet'!$B$114,BY40+BX41-CG40)))</f>
        <v>191.4</v>
      </c>
      <c r="BZ41" s="13">
        <f>BY41*VLOOKUP('Données projet'!$B$12,Paramètres!$A$1:$I$89,3,0)*VLOOKUP('Données projet'!$B$12,Paramètres!$A$1:$I$89,5,0)</f>
        <v>167.20704000000003</v>
      </c>
      <c r="CA41" s="13">
        <f t="shared" si="39"/>
        <v>42.463891647822834</v>
      </c>
      <c r="CB41" s="20">
        <f t="shared" si="10"/>
        <v>365.17687261995815</v>
      </c>
      <c r="CC41" s="59">
        <f t="shared" si="11"/>
        <v>658.51020595329146</v>
      </c>
      <c r="CD41" s="59">
        <f ca="1">AVERAGE(OFFSET($CC$3,0,0,'Données projet'!$E$12+1,1))-AVERAGE(OFFSET($H$3,0,0,'Données projet'!$E$12+1,1))</f>
        <v>321.23599968992932</v>
      </c>
      <c r="CE41" s="59">
        <f t="shared" si="40"/>
        <v>388.05195847800502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3.1189183628944681</v>
      </c>
      <c r="CL41" s="21">
        <f>EXP(-LN(2)/25)*CL40+(1-EXP(-LN(2)/25))/(LN(2)/25)*Calculateur!CG41*Calculateur!CI41*VLOOKUP('Données projet'!$B$12,Paramètres!$A$1:$I$89,3,0)*0.475*44/12</f>
        <v>16.902174550234108</v>
      </c>
      <c r="CM41" s="21">
        <f>EXP(-LN(2)/2)*CM40+(1-EXP(-LN(2)/2))/(LN(2)/2)*CG41*CJ41*VLOOKUP('Données projet'!$B$12,Paramètres!$A$1:$I$89,3,0)*0.475*44/12</f>
        <v>0.75393018524163691</v>
      </c>
      <c r="CN41" s="22">
        <f t="shared" si="12"/>
        <v>20.775023098370212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8.8333333333333339</v>
      </c>
      <c r="CT41" s="12">
        <f>IF('Données projet'!$A$140&gt;35,CT40+CS41-DB40,IF(A41&lt;'Données projet'!$A$140,$CQ$205^A41,IF(A41='Données projet'!$A$140,'Données projet'!$B$140,CT40+CS41-DB40)))</f>
        <v>112.66666666666659</v>
      </c>
      <c r="CU41" s="17">
        <f>CT41*VLOOKUP('Données projet'!$B$13,Paramètres!$A$1:$I$89,3,0)*VLOOKUP('Données projet'!$B$13,Paramètres!$A$1:$I$89,5,0)</f>
        <v>108.97119999999993</v>
      </c>
      <c r="CV41" s="13">
        <f t="shared" si="41"/>
        <v>29.088458865072916</v>
      </c>
      <c r="CW41" s="20">
        <f t="shared" si="13"/>
        <v>240.45390585666851</v>
      </c>
      <c r="CX41" s="59">
        <f t="shared" si="14"/>
        <v>533.78723919000186</v>
      </c>
      <c r="CY41" s="59">
        <f ca="1">AVERAGE(OFFSET($CX$3,0,0,'Données projet'!$E$13+1,1))-AVERAGE(OFFSET($H$3,0,0,'Données projet'!$E$13+1,1))</f>
        <v>399.24912109442175</v>
      </c>
      <c r="CZ41" s="59">
        <f t="shared" si="42"/>
        <v>269.83150082245305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8.8333333333333339</v>
      </c>
      <c r="DO41" s="12">
        <f>IF('Données projet'!$A$166&gt;35,DO40+DN41-DW40,IF(A41&lt;'Données projet'!$A$166,$DL$205^A41,IF(A41='Données projet'!$A$166,'Données projet'!$B$166,DO40+DN41-DW40)))</f>
        <v>112.66666666666659</v>
      </c>
      <c r="DP41" s="17">
        <f>DO41*VLOOKUP('Données projet'!$B$14,Paramètres!$A$1:$I$89,3,0)*VLOOKUP('Données projet'!$B$14,Paramètres!$A$1:$I$89,5,0)</f>
        <v>121.2743999999999</v>
      </c>
      <c r="DQ41" s="13">
        <f t="shared" si="43"/>
        <v>31.972049173215357</v>
      </c>
      <c r="DR41" s="20">
        <f t="shared" si="16"/>
        <v>266.90423231001654</v>
      </c>
      <c r="DS41" s="59">
        <f t="shared" si="17"/>
        <v>560.23756564334985</v>
      </c>
      <c r="DT41" s="59">
        <f ca="1">AVERAGE(OFFSET($DS$3,0,0,'Données projet'!$E$14+1,1))-AVERAGE(OFFSET($H$3,0,0,'Données projet'!$E$14+1,1))</f>
        <v>439.66981240211362</v>
      </c>
      <c r="DU41" s="59">
        <f t="shared" si="44"/>
        <v>295.47805371292458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8.8333333333333339</v>
      </c>
      <c r="EJ41" s="12">
        <f>IF('Données projet'!$A$192&gt;35,EJ40+EI41-ER40,IF(A41&lt;'Données projet'!$A$192,$EG$205^A41,IF(A41='Données projet'!$A$192,'Données projet'!$B$192,EJ40+EI41-ER40)))</f>
        <v>112.66666666666659</v>
      </c>
      <c r="EK41" s="17">
        <f>EJ41*VLOOKUP('Données projet'!$B$15,Paramètres!$A$1:$I$89,3,0)*VLOOKUP('Données projet'!$B$15,Paramètres!$A$1:$I$89,5,0)</f>
        <v>107.21359999999993</v>
      </c>
      <c r="EL41" s="13">
        <f t="shared" si="45"/>
        <v>28.673509904414075</v>
      </c>
      <c r="EM41" s="20">
        <f t="shared" si="19"/>
        <v>236.67004975018767</v>
      </c>
      <c r="EN41" s="59">
        <f t="shared" si="20"/>
        <v>530.00338308352093</v>
      </c>
      <c r="EO41" s="59">
        <f ca="1">AVERAGE(OFFSET($EN$3,0,0,'Données projet'!$E$15+1,1))-AVERAGE(OFFSET($H$3,0,0,'Données projet'!$E$15+1,1))</f>
        <v>393.46715670823653</v>
      </c>
      <c r="EP41" s="59">
        <f t="shared" si="46"/>
        <v>266.16261355327214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projet'!$B$9,Paramètres!$A$1:$I$89,3,0)*VLOOKUP('Données projet'!$B$9,Paramètres!$A$1:$I$89,5,0)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549.43232095729741</v>
      </c>
      <c r="T42" s="59">
        <f t="shared" si="34"/>
        <v>280.26155987300996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10.483265866310807</v>
      </c>
      <c r="AA42" s="21">
        <f>EXP(-LN(2)/25)*AA41+(1-EXP(-LN(2)/25))/(LN(2)/25)*Calculateur!V42*Calculateur!X42*VLOOKUP('Données projet'!$B$9,Paramètres!$A$1:$I$89,3,0)*0.475*44/12</f>
        <v>7.4471035701210884</v>
      </c>
      <c r="AB42" s="21">
        <f>EXP(-LN(2)/2)*AB41+(1-EXP(-LN(2)/2))/(LN(2)/2)*V42*Y42*VLOOKUP('Données projet'!$B$9,Paramètres!$A$1:$I$89,3,0)*0.475*44/12</f>
        <v>0.19910328261773211</v>
      </c>
      <c r="AC42" s="22">
        <f t="shared" si="3"/>
        <v>18.129472719049627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17.600000000000001</v>
      </c>
      <c r="AI42" s="13">
        <f>IF('Données projet'!$A$62&gt;35,AI41+AH42-AQ41,IF(A42&lt;'Données projet'!$A$62,$AF$205^A42,IF(A42='Données projet'!$A$62,'Données projet'!$B$62,AI41+AH42-AQ41)))</f>
        <v>314.40000000000015</v>
      </c>
      <c r="AJ42" s="13">
        <f>AI42*VLOOKUP('Données projet'!$B$10,Paramètres!$A$1:$I$89,3,0)*VLOOKUP('Données projet'!$B$10,Paramètres!$A$1:$I$89,5,0)</f>
        <v>188.01120000000012</v>
      </c>
      <c r="AK42" s="13">
        <f t="shared" si="35"/>
        <v>47.099988496591031</v>
      </c>
      <c r="AL42" s="20">
        <f t="shared" si="4"/>
        <v>409.48531996489623</v>
      </c>
      <c r="AM42" s="59">
        <f t="shared" si="5"/>
        <v>702.81865329822949</v>
      </c>
      <c r="AN42" s="59">
        <f ca="1">AVERAGE(OFFSET($AM$3,0,0,'Données projet'!$E$10+1,1))-AVERAGE(OFFSET($H$3,0,0,'Données projet'!$E$10+1,1))</f>
        <v>348.62416478262719</v>
      </c>
      <c r="AO42" s="59">
        <f t="shared" si="36"/>
        <v>371.70674704563288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11.082771098234433</v>
      </c>
      <c r="AV42" s="21">
        <f>EXP(-LN(2)/25)*AV41+(1-EXP(-LN(2)/25))/(LN(2)/25)*Calculateur!AQ42*Calculateur!AS42*VLOOKUP('Données projet'!$B$10,Paramètres!$A$1:$I$89,3,0)*0.475*44/12</f>
        <v>9.5120425587970221</v>
      </c>
      <c r="AW42" s="21">
        <f>EXP(-LN(2)/2)*AW41+(1-EXP(-LN(2)/2))/(LN(2)/2)*AQ42*AT42*VLOOKUP('Données projet'!$B$10,Paramètres!$A$1:$I$89,3,0)*0.475*44/12</f>
        <v>0.55046295772924625</v>
      </c>
      <c r="AX42" s="21">
        <f t="shared" si="6"/>
        <v>21.1452766147607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163.80000000000001</v>
      </c>
      <c r="BE42" s="13">
        <f>BD42*VLOOKUP('Données projet'!$B$11,Paramètres!$A$1:$I$89,3,0)*VLOOKUP('Données projet'!$B$11,Paramètres!$A$1:$I$89,5,0)</f>
        <v>148.20624000000001</v>
      </c>
      <c r="BF42" s="13">
        <f t="shared" si="37"/>
        <v>38.170662245893794</v>
      </c>
      <c r="BG42" s="20">
        <f t="shared" si="7"/>
        <v>324.60643807826506</v>
      </c>
      <c r="BH42" s="59">
        <f t="shared" si="8"/>
        <v>617.93977141159837</v>
      </c>
      <c r="BI42" s="59">
        <f ca="1">AVERAGE(OFFSET($BH$3,0,0,'Données projet'!$E$11+1,1))-AVERAGE(OFFSET($H$3,0,0,'Données projet'!$E$11+1,1))</f>
        <v>405.7176439604217</v>
      </c>
      <c r="BJ42" s="59">
        <f t="shared" si="38"/>
        <v>278.21741231699929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6.1152926187107699</v>
      </c>
      <c r="BQ42" s="21">
        <f>EXP(-LN(2)/25)*BQ41+(1-EXP(-LN(2)/25))/(LN(2)/25)*Calculateur!BL42*Calculateur!BN42*VLOOKUP('Données projet'!$B$11,Paramètres!$A$1:$I$89,3,0)*0.475*44/12</f>
        <v>7.2966940633589843</v>
      </c>
      <c r="BR42" s="21">
        <f>EXP(-LN(2)/2)*BR41+(1-EXP(-LN(2)/2))/(LN(2)/2)*BL42*BO42*VLOOKUP('Données projet'!$B$11,Paramètres!$A$1:$I$89,3,0)*0.475*44/12</f>
        <v>0.37718987501328949</v>
      </c>
      <c r="BS42" s="22">
        <f t="shared" si="9"/>
        <v>13.789176557083044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10.8</v>
      </c>
      <c r="BY42" s="12">
        <f>IF('Données projet'!$A$114&gt;35,BY41+BX42-CG41,IF(A42&lt;'Données projet'!$A$114,$BV$205^A42,IF(A42='Données projet'!$A$114,'Données projet'!$B$114,BY41+BX42-CG41)))</f>
        <v>202.20000000000002</v>
      </c>
      <c r="BZ42" s="13">
        <f>BY42*VLOOKUP('Données projet'!$B$12,Paramètres!$A$1:$I$89,3,0)*VLOOKUP('Données projet'!$B$12,Paramètres!$A$1:$I$89,5,0)</f>
        <v>176.64192000000003</v>
      </c>
      <c r="CA42" s="13">
        <f t="shared" si="39"/>
        <v>44.574258350008236</v>
      </c>
      <c r="CB42" s="20">
        <f t="shared" si="10"/>
        <v>385.28484395959771</v>
      </c>
      <c r="CC42" s="59">
        <f t="shared" si="11"/>
        <v>678.61817729293102</v>
      </c>
      <c r="CD42" s="59">
        <f ca="1">AVERAGE(OFFSET($CC$3,0,0,'Données projet'!$E$12+1,1))-AVERAGE(OFFSET($H$3,0,0,'Données projet'!$E$12+1,1))</f>
        <v>321.23599968992932</v>
      </c>
      <c r="CE42" s="59">
        <f t="shared" si="40"/>
        <v>388.05195847800502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3.0577582761504671</v>
      </c>
      <c r="CL42" s="21">
        <f>EXP(-LN(2)/25)*CL41+(1-EXP(-LN(2)/25))/(LN(2)/25)*Calculateur!CG42*Calculateur!CI42*VLOOKUP('Données projet'!$B$12,Paramètres!$A$1:$I$89,3,0)*0.475*44/12</f>
        <v>16.439983698311227</v>
      </c>
      <c r="CM42" s="21">
        <f>EXP(-LN(2)/2)*CM41+(1-EXP(-LN(2)/2))/(LN(2)/2)*CG42*CJ42*VLOOKUP('Données projet'!$B$12,Paramètres!$A$1:$I$89,3,0)*0.475*44/12</f>
        <v>0.53310914652559138</v>
      </c>
      <c r="CN42" s="22">
        <f t="shared" si="12"/>
        <v>20.030851120987286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8.8333333333333339</v>
      </c>
      <c r="CT42" s="12">
        <f>IF('Données projet'!$A$140&gt;35,CT41+CS42-DB41,IF(A42&lt;'Données projet'!$A$140,$CQ$205^A42,IF(A42='Données projet'!$A$140,'Données projet'!$B$140,CT41+CS42-DB41)))</f>
        <v>121.49999999999991</v>
      </c>
      <c r="CU42" s="17">
        <f>CT42*VLOOKUP('Données projet'!$B$13,Paramètres!$A$1:$I$89,3,0)*VLOOKUP('Données projet'!$B$13,Paramètres!$A$1:$I$89,5,0)</f>
        <v>117.51479999999991</v>
      </c>
      <c r="CV42" s="13">
        <f t="shared" si="41"/>
        <v>31.094663118298449</v>
      </c>
      <c r="CW42" s="20">
        <f t="shared" si="13"/>
        <v>258.82814826436964</v>
      </c>
      <c r="CX42" s="59">
        <f t="shared" si="14"/>
        <v>552.16148159770296</v>
      </c>
      <c r="CY42" s="59">
        <f ca="1">AVERAGE(OFFSET($CX$3,0,0,'Données projet'!$E$13+1,1))-AVERAGE(OFFSET($H$3,0,0,'Données projet'!$E$13+1,1))</f>
        <v>399.24912109442175</v>
      </c>
      <c r="CZ42" s="59">
        <f t="shared" si="42"/>
        <v>269.83150082245305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8.8333333333333339</v>
      </c>
      <c r="DO42" s="12">
        <f>IF('Données projet'!$A$166&gt;35,DO41+DN42-DW41,IF(A42&lt;'Données projet'!$A$166,$DL$205^A42,IF(A42='Données projet'!$A$166,'Données projet'!$B$166,DO41+DN42-DW41)))</f>
        <v>121.49999999999991</v>
      </c>
      <c r="DP42" s="17">
        <f>DO42*VLOOKUP('Données projet'!$B$14,Paramètres!$A$1:$I$89,3,0)*VLOOKUP('Données projet'!$B$14,Paramètres!$A$1:$I$89,5,0)</f>
        <v>130.78259999999992</v>
      </c>
      <c r="DQ42" s="13">
        <f t="shared" si="43"/>
        <v>34.177131997752916</v>
      </c>
      <c r="DR42" s="20">
        <f t="shared" si="16"/>
        <v>287.30486656275286</v>
      </c>
      <c r="DS42" s="59">
        <f t="shared" si="17"/>
        <v>580.63819989608623</v>
      </c>
      <c r="DT42" s="59">
        <f ca="1">AVERAGE(OFFSET($DS$3,0,0,'Données projet'!$E$14+1,1))-AVERAGE(OFFSET($H$3,0,0,'Données projet'!$E$14+1,1))</f>
        <v>439.66981240211362</v>
      </c>
      <c r="DU42" s="59">
        <f t="shared" si="44"/>
        <v>295.47805371292458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8.8333333333333339</v>
      </c>
      <c r="EJ42" s="12">
        <f>IF('Données projet'!$A$192&gt;35,EJ41+EI42-ER41,IF(A42&lt;'Données projet'!$A$192,$EG$205^A42,IF(A42='Données projet'!$A$192,'Données projet'!$B$192,EJ41+EI42-ER41)))</f>
        <v>121.49999999999991</v>
      </c>
      <c r="EK42" s="17">
        <f>EJ42*VLOOKUP('Données projet'!$B$15,Paramètres!$A$1:$I$89,3,0)*VLOOKUP('Données projet'!$B$15,Paramètres!$A$1:$I$89,5,0)</f>
        <v>115.61939999999993</v>
      </c>
      <c r="EL42" s="13">
        <f t="shared" si="45"/>
        <v>30.651095509480665</v>
      </c>
      <c r="EM42" s="20">
        <f t="shared" si="19"/>
        <v>254.75444634567864</v>
      </c>
      <c r="EN42" s="59">
        <f t="shared" si="20"/>
        <v>548.08777967901199</v>
      </c>
      <c r="EO42" s="59">
        <f ca="1">AVERAGE(OFFSET($EN$3,0,0,'Données projet'!$E$15+1,1))-AVERAGE(OFFSET($H$3,0,0,'Données projet'!$E$15+1,1))</f>
        <v>393.46715670823653</v>
      </c>
      <c r="EP42" s="59">
        <f t="shared" si="46"/>
        <v>266.16261355327214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projet'!$B$9,Paramètres!$A$1:$I$89,3,0)*VLOOKUP('Données projet'!$B$9,Paramètres!$A$1:$I$89,5,0)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549.43232095729741</v>
      </c>
      <c r="T43" s="59">
        <f t="shared" si="34"/>
        <v>280.26155987300996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10.277695416833261</v>
      </c>
      <c r="AA43" s="21">
        <f>EXP(-LN(2)/25)*AA42+(1-EXP(-LN(2)/25))/(LN(2)/25)*Calculateur!V43*Calculateur!X43*VLOOKUP('Données projet'!$B$9,Paramètres!$A$1:$I$89,3,0)*0.475*44/12</f>
        <v>7.243462131369971</v>
      </c>
      <c r="AB43" s="21">
        <f>EXP(-LN(2)/2)*AB42+(1-EXP(-LN(2)/2))/(LN(2)/2)*V43*Y43*VLOOKUP('Données projet'!$B$9,Paramètres!$A$1:$I$89,3,0)*0.475*44/12</f>
        <v>0.14078728129550003</v>
      </c>
      <c r="AC43" s="22">
        <f t="shared" si="3"/>
        <v>17.661944829498729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332</v>
      </c>
      <c r="AG43" s="12">
        <f>VLOOKUP(A43,'Données projet'!$A$61:$I$81,9,0)</f>
        <v>17.600000000000001</v>
      </c>
      <c r="AH43" s="12">
        <f t="array" ref="AH43">INDEX(AG:AG,MIN(IF(ISNUMBER(AG43:AG239),ROW(AG43:AG239),"")))</f>
        <v>17.600000000000001</v>
      </c>
      <c r="AI43" s="13">
        <f>IF('Données projet'!$A$62&gt;35,AI42+AH43-AQ42,IF(A43&lt;'Données projet'!$A$62,$AF$205^A43,IF(A43='Données projet'!$A$62,'Données projet'!$B$62,AI42+AH43-AQ42)))</f>
        <v>332.00000000000017</v>
      </c>
      <c r="AJ43" s="13">
        <f>AI43*VLOOKUP('Données projet'!$B$10,Paramètres!$A$1:$I$89,3,0)*VLOOKUP('Données projet'!$B$10,Paramètres!$A$1:$I$89,5,0)</f>
        <v>198.53600000000012</v>
      </c>
      <c r="AK43" s="13">
        <f t="shared" si="35"/>
        <v>49.42228739122875</v>
      </c>
      <c r="AL43" s="20">
        <f t="shared" si="4"/>
        <v>431.86068387305687</v>
      </c>
      <c r="AM43" s="59">
        <f t="shared" si="5"/>
        <v>725.19401720639019</v>
      </c>
      <c r="AN43" s="59">
        <f ca="1">AVERAGE(OFFSET($AM$3,0,0,'Données projet'!$E$10+1,1))-AVERAGE(OFFSET($H$3,0,0,'Données projet'!$E$10+1,1))</f>
        <v>348.62416478262719</v>
      </c>
      <c r="AO43" s="59">
        <f t="shared" si="36"/>
        <v>371.70674704563288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10.865444716820949</v>
      </c>
      <c r="AV43" s="21">
        <f>EXP(-LN(2)/25)*AV42+(1-EXP(-LN(2)/25))/(LN(2)/25)*Calculateur!AQ43*Calculateur!AS43*VLOOKUP('Données projet'!$B$10,Paramètres!$A$1:$I$89,3,0)*0.475*44/12</f>
        <v>9.2519352548101388</v>
      </c>
      <c r="AW43" s="21">
        <f>EXP(-LN(2)/2)*AW42+(1-EXP(-LN(2)/2))/(LN(2)/2)*AQ43*AT43*VLOOKUP('Données projet'!$B$10,Paramètres!$A$1:$I$89,3,0)*0.475*44/12</f>
        <v>0.38923609020235389</v>
      </c>
      <c r="AX43" s="21">
        <f t="shared" si="6"/>
        <v>20.506616061833441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175</v>
      </c>
      <c r="BE43" s="13">
        <f>BD43*VLOOKUP('Données projet'!$B$11,Paramètres!$A$1:$I$89,3,0)*VLOOKUP('Données projet'!$B$11,Paramètres!$A$1:$I$89,5,0)</f>
        <v>158.34</v>
      </c>
      <c r="BF43" s="13">
        <f t="shared" si="37"/>
        <v>40.467870812652819</v>
      </c>
      <c r="BG43" s="20">
        <f t="shared" si="7"/>
        <v>346.25704166537031</v>
      </c>
      <c r="BH43" s="59">
        <f t="shared" si="8"/>
        <v>639.59037499870362</v>
      </c>
      <c r="BI43" s="59">
        <f ca="1">AVERAGE(OFFSET($BH$3,0,0,'Données projet'!$E$11+1,1))-AVERAGE(OFFSET($H$3,0,0,'Données projet'!$E$11+1,1))</f>
        <v>405.7176439604217</v>
      </c>
      <c r="BJ43" s="59">
        <f t="shared" si="38"/>
        <v>278.21741231699929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5.995375460418046</v>
      </c>
      <c r="BQ43" s="21">
        <f>EXP(-LN(2)/25)*BQ42+(1-EXP(-LN(2)/25))/(LN(2)/25)*Calculateur!BL43*Calculateur!BN43*VLOOKUP('Données projet'!$B$11,Paramètres!$A$1:$I$89,3,0)*0.475*44/12</f>
        <v>7.0971655804799685</v>
      </c>
      <c r="BR43" s="21">
        <f>EXP(-LN(2)/2)*BR42+(1-EXP(-LN(2)/2))/(LN(2)/2)*BL43*BO43*VLOOKUP('Données projet'!$B$11,Paramètres!$A$1:$I$89,3,0)*0.475*44/12</f>
        <v>0.2667135184168033</v>
      </c>
      <c r="BS43" s="22">
        <f t="shared" si="9"/>
        <v>13.359254559314818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213</v>
      </c>
      <c r="BW43" s="12">
        <f>VLOOKUP(A43,'Données projet'!$A$113:$I$133,9,0)</f>
        <v>10.8</v>
      </c>
      <c r="BX43" s="12">
        <f t="array" ref="BX43">INDEX(BW:BW,MIN(IF(ISNUMBER(BW43:BW239),ROW(BW43:BW239),"")))</f>
        <v>10.8</v>
      </c>
      <c r="BY43" s="12">
        <f>IF('Données projet'!$A$114&gt;35,BY42+BX43-CG42,IF(A43&lt;'Données projet'!$A$114,$BV$205^A43,IF(A43='Données projet'!$A$114,'Données projet'!$B$114,BY42+BX43-CG42)))</f>
        <v>213.00000000000003</v>
      </c>
      <c r="BZ43" s="13">
        <f>BY43*VLOOKUP('Données projet'!$B$12,Paramètres!$A$1:$I$89,3,0)*VLOOKUP('Données projet'!$B$12,Paramètres!$A$1:$I$89,5,0)</f>
        <v>186.07680000000005</v>
      </c>
      <c r="CA43" s="13">
        <f t="shared" si="39"/>
        <v>46.671538591528673</v>
      </c>
      <c r="CB43" s="20">
        <f t="shared" si="10"/>
        <v>405.37002304691242</v>
      </c>
      <c r="CC43" s="59">
        <f t="shared" si="11"/>
        <v>698.70335638024574</v>
      </c>
      <c r="CD43" s="59">
        <f ca="1">AVERAGE(OFFSET($CC$3,0,0,'Données projet'!$E$12+1,1))-AVERAGE(OFFSET($H$3,0,0,'Données projet'!$E$12+1,1))</f>
        <v>321.23599968992932</v>
      </c>
      <c r="CE43" s="59">
        <f t="shared" si="40"/>
        <v>388.05195847800502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2.9977975014035465</v>
      </c>
      <c r="CL43" s="21">
        <f>EXP(-LN(2)/25)*CL42+(1-EXP(-LN(2)/25))/(LN(2)/25)*Calculateur!CG43*Calculateur!CI43*VLOOKUP('Données projet'!$B$12,Paramètres!$A$1:$I$89,3,0)*0.475*44/12</f>
        <v>15.990431479539739</v>
      </c>
      <c r="CM43" s="21">
        <f>EXP(-LN(2)/2)*CM42+(1-EXP(-LN(2)/2))/(LN(2)/2)*CG43*CJ43*VLOOKUP('Données projet'!$B$12,Paramètres!$A$1:$I$89,3,0)*0.475*44/12</f>
        <v>0.37696509262081845</v>
      </c>
      <c r="CN43" s="22">
        <f t="shared" si="12"/>
        <v>19.365194073564101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8.8333333333333339</v>
      </c>
      <c r="CT43" s="12">
        <f>IF('Données projet'!$A$140&gt;35,CT42+CS43-DB42,IF(A43&lt;'Données projet'!$A$140,$CQ$205^A43,IF(A43='Données projet'!$A$140,'Données projet'!$B$140,CT42+CS43-DB42)))</f>
        <v>130.33333333333326</v>
      </c>
      <c r="CU43" s="17">
        <f>CT43*VLOOKUP('Données projet'!$B$13,Paramètres!$A$1:$I$89,3,0)*VLOOKUP('Données projet'!$B$13,Paramètres!$A$1:$I$89,5,0)</f>
        <v>126.05839999999992</v>
      </c>
      <c r="CV43" s="13">
        <f t="shared" si="41"/>
        <v>33.083945671473124</v>
      </c>
      <c r="CW43" s="20">
        <f t="shared" si="13"/>
        <v>277.17291871114884</v>
      </c>
      <c r="CX43" s="59">
        <f t="shared" si="14"/>
        <v>570.50625204448215</v>
      </c>
      <c r="CY43" s="59">
        <f ca="1">AVERAGE(OFFSET($CX$3,0,0,'Données projet'!$E$13+1,1))-AVERAGE(OFFSET($H$3,0,0,'Données projet'!$E$13+1,1))</f>
        <v>399.24912109442175</v>
      </c>
      <c r="CZ43" s="59">
        <f t="shared" si="42"/>
        <v>269.83150082245305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8.8333333333333339</v>
      </c>
      <c r="DO43" s="12">
        <f>IF('Données projet'!$A$166&gt;35,DO42+DN43-DW42,IF(A43&lt;'Données projet'!$A$166,$DL$205^A43,IF(A43='Données projet'!$A$166,'Données projet'!$B$166,DO42+DN43-DW42)))</f>
        <v>130.33333333333326</v>
      </c>
      <c r="DP43" s="17">
        <f>DO43*VLOOKUP('Données projet'!$B$14,Paramètres!$A$1:$I$89,3,0)*VLOOKUP('Données projet'!$B$14,Paramètres!$A$1:$I$89,5,0)</f>
        <v>140.2907999999999</v>
      </c>
      <c r="DQ43" s="13">
        <f t="shared" si="43"/>
        <v>36.3636156442237</v>
      </c>
      <c r="DR43" s="20">
        <f t="shared" si="16"/>
        <v>307.67310724702276</v>
      </c>
      <c r="DS43" s="59">
        <f t="shared" si="17"/>
        <v>601.00644058035607</v>
      </c>
      <c r="DT43" s="59">
        <f ca="1">AVERAGE(OFFSET($DS$3,0,0,'Données projet'!$E$14+1,1))-AVERAGE(OFFSET($H$3,0,0,'Données projet'!$E$14+1,1))</f>
        <v>439.66981240211362</v>
      </c>
      <c r="DU43" s="59">
        <f t="shared" si="44"/>
        <v>295.47805371292458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8.8333333333333339</v>
      </c>
      <c r="EJ43" s="12">
        <f>IF('Données projet'!$A$192&gt;35,EJ42+EI43-ER42,IF(A43&lt;'Données projet'!$A$192,$EG$205^A43,IF(A43='Données projet'!$A$192,'Données projet'!$B$192,EJ42+EI43-ER42)))</f>
        <v>130.33333333333326</v>
      </c>
      <c r="EK43" s="17">
        <f>EJ43*VLOOKUP('Données projet'!$B$15,Paramètres!$A$1:$I$89,3,0)*VLOOKUP('Données projet'!$B$15,Paramètres!$A$1:$I$89,5,0)</f>
        <v>124.02519999999993</v>
      </c>
      <c r="EL43" s="13">
        <f t="shared" si="45"/>
        <v>32.612000803766328</v>
      </c>
      <c r="EM43" s="20">
        <f t="shared" si="19"/>
        <v>272.80979139989284</v>
      </c>
      <c r="EN43" s="59">
        <f t="shared" si="20"/>
        <v>566.14312473322616</v>
      </c>
      <c r="EO43" s="59">
        <f ca="1">AVERAGE(OFFSET($EN$3,0,0,'Données projet'!$E$15+1,1))-AVERAGE(OFFSET($H$3,0,0,'Données projet'!$E$15+1,1))</f>
        <v>393.46715670823653</v>
      </c>
      <c r="EP43" s="59">
        <f t="shared" si="46"/>
        <v>266.16261355327214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359.83333333333331</v>
      </c>
      <c r="N44" s="13">
        <f>IF('Données projet'!$A$36&gt;35,N43+M44-V43,IF(A44&lt;'Données projet'!$A$36,$K$205^A44,IF(A44='Données projet'!$A$36,'Données projet'!$B$36,N43+M44-V43)))</f>
        <v>593.83333333333337</v>
      </c>
      <c r="O44" s="13">
        <f>N44*VLOOKUP('Données projet'!$B$9,Paramètres!$A$1:$I$89,3,0)*VLOOKUP('Données projet'!$B$9,Paramètres!$A$1:$I$89,5,0)</f>
        <v>355.11233333333337</v>
      </c>
      <c r="P44" s="13">
        <f t="shared" si="33"/>
        <v>82.614303698815419</v>
      </c>
      <c r="Q44" s="20">
        <f t="shared" si="53"/>
        <v>762.37389283099253</v>
      </c>
      <c r="R44" s="59">
        <f t="shared" si="0"/>
        <v>1055.7072261643259</v>
      </c>
      <c r="S44" s="59">
        <f ca="1">AVERAGE(OFFSET($R$3,0,0,'Données projet'!$E$9+1,1))-AVERAGE(OFFSET($H$3,0,0,'Données projet'!$E$9+1,1))</f>
        <v>549.43232095729741</v>
      </c>
      <c r="T44" s="59">
        <f t="shared" si="34"/>
        <v>280.26155987300996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10.076156078484376</v>
      </c>
      <c r="AA44" s="21">
        <f>EXP(-LN(2)/25)*AA43+(1-EXP(-LN(2)/25))/(LN(2)/25)*Calculateur!V44*Calculateur!X44*VLOOKUP('Données projet'!$B$9,Paramètres!$A$1:$I$89,3,0)*0.475*44/12</f>
        <v>7.045389278470541</v>
      </c>
      <c r="AB44" s="21">
        <f>EXP(-LN(2)/2)*AB43+(1-EXP(-LN(2)/2))/(LN(2)/2)*V44*Y44*VLOOKUP('Données projet'!$B$9,Paramètres!$A$1:$I$89,3,0)*0.475*44/12</f>
        <v>9.9551641308866054E-2</v>
      </c>
      <c r="AC44" s="22">
        <f t="shared" si="3"/>
        <v>17.221096998263786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20</v>
      </c>
      <c r="AI44" s="13">
        <f>IF('Données projet'!$A$62&gt;35,AI43+AH44-AQ43,IF(A44&lt;'Données projet'!$A$62,$AF$205^A44,IF(A44='Données projet'!$A$62,'Données projet'!$B$62,AI43+AH44-AQ43)))</f>
        <v>304.00000000000017</v>
      </c>
      <c r="AJ44" s="13">
        <f>AI44*VLOOKUP('Données projet'!$B$10,Paramètres!$A$1:$I$89,3,0)*VLOOKUP('Données projet'!$B$10,Paramètres!$A$1:$I$89,5,0)</f>
        <v>181.79200000000012</v>
      </c>
      <c r="AK44" s="13">
        <f t="shared" si="35"/>
        <v>45.720642997712574</v>
      </c>
      <c r="AL44" s="20">
        <f t="shared" si="4"/>
        <v>396.25118655434966</v>
      </c>
      <c r="AM44" s="59">
        <f t="shared" si="5"/>
        <v>689.58451988768297</v>
      </c>
      <c r="AN44" s="59">
        <f ca="1">AVERAGE(OFFSET($AM$3,0,0,'Données projet'!$E$10+1,1))-AVERAGE(OFFSET($H$3,0,0,'Données projet'!$E$10+1,1))</f>
        <v>348.62416478262719</v>
      </c>
      <c r="AO44" s="59">
        <f t="shared" si="36"/>
        <v>371.70674704563288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10.65237997319098</v>
      </c>
      <c r="AV44" s="21">
        <f>EXP(-LN(2)/25)*AV43+(1-EXP(-LN(2)/25))/(LN(2)/25)*Calculateur!AQ44*Calculateur!AS44*VLOOKUP('Données projet'!$B$10,Paramètres!$A$1:$I$89,3,0)*0.475*44/12</f>
        <v>8.9989405987292255</v>
      </c>
      <c r="AW44" s="21">
        <f>EXP(-LN(2)/2)*AW43+(1-EXP(-LN(2)/2))/(LN(2)/2)*AQ44*AT44*VLOOKUP('Données projet'!$B$10,Paramètres!$A$1:$I$89,3,0)*0.475*44/12</f>
        <v>0.27523147886462312</v>
      </c>
      <c r="AX44" s="21">
        <f t="shared" si="6"/>
        <v>19.926552050784828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158.4</v>
      </c>
      <c r="BE44" s="13">
        <f>BD44*VLOOKUP('Données projet'!$B$11,Paramètres!$A$1:$I$89,3,0)*VLOOKUP('Données projet'!$B$11,Paramètres!$A$1:$I$89,5,0)</f>
        <v>143.32032000000001</v>
      </c>
      <c r="BF44" s="13">
        <f t="shared" si="37"/>
        <v>37.056603420232349</v>
      </c>
      <c r="BG44" s="20">
        <f t="shared" si="7"/>
        <v>314.15647495690467</v>
      </c>
      <c r="BH44" s="59">
        <f t="shared" si="8"/>
        <v>607.48980829023799</v>
      </c>
      <c r="BI44" s="59">
        <f ca="1">AVERAGE(OFFSET($BH$3,0,0,'Données projet'!$E$11+1,1))-AVERAGE(OFFSET($H$3,0,0,'Données projet'!$E$11+1,1))</f>
        <v>405.7176439604217</v>
      </c>
      <c r="BJ44" s="59">
        <f t="shared" si="38"/>
        <v>278.21741231699929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5.8778098044571978</v>
      </c>
      <c r="BQ44" s="21">
        <f>EXP(-LN(2)/25)*BQ43+(1-EXP(-LN(2)/25))/(LN(2)/25)*Calculateur!BL44*Calculateur!BN44*VLOOKUP('Données projet'!$B$11,Paramètres!$A$1:$I$89,3,0)*0.475*44/12</f>
        <v>6.9030932144580266</v>
      </c>
      <c r="BR44" s="21">
        <f>EXP(-LN(2)/2)*BR43+(1-EXP(-LN(2)/2))/(LN(2)/2)*BL44*BO44*VLOOKUP('Données projet'!$B$11,Paramètres!$A$1:$I$89,3,0)*0.475*44/12</f>
        <v>0.18859493750664474</v>
      </c>
      <c r="BS44" s="22">
        <f t="shared" si="9"/>
        <v>12.96949795642187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183.80000000000004</v>
      </c>
      <c r="BZ44" s="13">
        <f>BY44*VLOOKUP('Données projet'!$B$12,Paramètres!$A$1:$I$89,3,0)*VLOOKUP('Données projet'!$B$12,Paramètres!$A$1:$I$89,5,0)</f>
        <v>160.56768000000005</v>
      </c>
      <c r="CA44" s="13">
        <f t="shared" si="39"/>
        <v>40.970530810309882</v>
      </c>
      <c r="CB44" s="20">
        <f t="shared" si="10"/>
        <v>351.0123838279564</v>
      </c>
      <c r="CC44" s="59">
        <f t="shared" si="11"/>
        <v>644.34571716128971</v>
      </c>
      <c r="CD44" s="59">
        <f ca="1">AVERAGE(OFFSET($CC$3,0,0,'Données projet'!$E$12+1,1))-AVERAGE(OFFSET($H$3,0,0,'Données projet'!$E$12+1,1))</f>
        <v>321.23599968992932</v>
      </c>
      <c r="CE44" s="59">
        <f t="shared" si="40"/>
        <v>388.05195847800502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2.9390125208769518</v>
      </c>
      <c r="CL44" s="21">
        <f>EXP(-LN(2)/25)*CL43+(1-EXP(-LN(2)/25))/(LN(2)/25)*Calculateur!CG44*Calculateur!CI44*VLOOKUP('Données projet'!$B$12,Paramètres!$A$1:$I$89,3,0)*0.475*44/12</f>
        <v>15.55317228983148</v>
      </c>
      <c r="CM44" s="21">
        <f>EXP(-LN(2)/2)*CM43+(1-EXP(-LN(2)/2))/(LN(2)/2)*CG44*CJ44*VLOOKUP('Données projet'!$B$12,Paramètres!$A$1:$I$89,3,0)*0.475*44/12</f>
        <v>0.26655457326279569</v>
      </c>
      <c r="CN44" s="22">
        <f t="shared" si="12"/>
        <v>18.758739383971225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8.8333333333333339</v>
      </c>
      <c r="CT44" s="12">
        <f>IF('Données projet'!$A$140&gt;35,CT43+CS44-DB43,IF(A44&lt;'Données projet'!$A$140,$CQ$205^A44,IF(A44='Données projet'!$A$140,'Données projet'!$B$140,CT43+CS44-DB43)))</f>
        <v>139.1666666666666</v>
      </c>
      <c r="CU44" s="17">
        <f>CT44*VLOOKUP('Données projet'!$B$13,Paramètres!$A$1:$I$89,3,0)*VLOOKUP('Données projet'!$B$13,Paramètres!$A$1:$I$89,5,0)</f>
        <v>134.60199999999995</v>
      </c>
      <c r="CV44" s="13">
        <f t="shared" si="41"/>
        <v>35.057583871769054</v>
      </c>
      <c r="CW44" s="20">
        <f t="shared" si="13"/>
        <v>295.49044190999768</v>
      </c>
      <c r="CX44" s="59">
        <f t="shared" si="14"/>
        <v>588.82377524333106</v>
      </c>
      <c r="CY44" s="59">
        <f ca="1">AVERAGE(OFFSET($CX$3,0,0,'Données projet'!$E$13+1,1))-AVERAGE(OFFSET($H$3,0,0,'Données projet'!$E$13+1,1))</f>
        <v>399.24912109442175</v>
      </c>
      <c r="CZ44" s="59">
        <f t="shared" si="42"/>
        <v>269.83150082245305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8.8333333333333339</v>
      </c>
      <c r="DO44" s="12">
        <f>IF('Données projet'!$A$166&gt;35,DO43+DN44-DW43,IF(A44&lt;'Données projet'!$A$166,$DL$205^A44,IF(A44='Données projet'!$A$166,'Données projet'!$B$166,DO43+DN44-DW43)))</f>
        <v>139.1666666666666</v>
      </c>
      <c r="DP44" s="17">
        <f>DO44*VLOOKUP('Données projet'!$B$14,Paramètres!$A$1:$I$89,3,0)*VLOOKUP('Données projet'!$B$14,Paramètres!$A$1:$I$89,5,0)</f>
        <v>149.79899999999992</v>
      </c>
      <c r="DQ44" s="13">
        <f t="shared" si="43"/>
        <v>38.532904085481263</v>
      </c>
      <c r="DR44" s="20">
        <f t="shared" si="16"/>
        <v>328.0113996155464</v>
      </c>
      <c r="DS44" s="59">
        <f t="shared" si="17"/>
        <v>621.34473294887971</v>
      </c>
      <c r="DT44" s="59">
        <f ca="1">AVERAGE(OFFSET($DS$3,0,0,'Données projet'!$E$14+1,1))-AVERAGE(OFFSET($H$3,0,0,'Données projet'!$E$14+1,1))</f>
        <v>439.66981240211362</v>
      </c>
      <c r="DU44" s="59">
        <f t="shared" si="44"/>
        <v>295.47805371292458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8.8333333333333339</v>
      </c>
      <c r="EJ44" s="12">
        <f>IF('Données projet'!$A$192&gt;35,EJ43+EI44-ER43,IF(A44&lt;'Données projet'!$A$192,$EG$205^A44,IF(A44='Données projet'!$A$192,'Données projet'!$B$192,EJ43+EI44-ER43)))</f>
        <v>139.1666666666666</v>
      </c>
      <c r="EK44" s="17">
        <f>EJ44*VLOOKUP('Données projet'!$B$15,Paramètres!$A$1:$I$89,3,0)*VLOOKUP('Données projet'!$B$15,Paramètres!$A$1:$I$89,5,0)</f>
        <v>132.43099999999993</v>
      </c>
      <c r="EL44" s="13">
        <f t="shared" si="45"/>
        <v>34.557484912993765</v>
      </c>
      <c r="EM44" s="20">
        <f t="shared" si="19"/>
        <v>290.83827789013066</v>
      </c>
      <c r="EN44" s="59">
        <f t="shared" si="20"/>
        <v>584.17161122346397</v>
      </c>
      <c r="EO44" s="59">
        <f ca="1">AVERAGE(OFFSET($EN$3,0,0,'Données projet'!$E$15+1,1))-AVERAGE(OFFSET($H$3,0,0,'Données projet'!$E$15+1,1))</f>
        <v>393.46715670823653</v>
      </c>
      <c r="EP44" s="59">
        <f t="shared" si="46"/>
        <v>266.16261355327214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359.83333333333331</v>
      </c>
      <c r="N45" s="13">
        <f>IF('Données projet'!$A$36&gt;35,N44+M45-V44,IF(A45&lt;'Données projet'!$A$36,$K$205^A45,IF(A45='Données projet'!$A$36,'Données projet'!$B$36,N44+M45-V44)))</f>
        <v>953.66666666666674</v>
      </c>
      <c r="O45" s="13">
        <f>N45*VLOOKUP('Données projet'!$B$9,Paramètres!$A$1:$I$89,3,0)*VLOOKUP('Données projet'!$B$9,Paramètres!$A$1:$I$89,5,0)</f>
        <v>570.29266666666672</v>
      </c>
      <c r="P45" s="13">
        <f t="shared" si="33"/>
        <v>125.55675113940812</v>
      </c>
      <c r="Q45" s="20">
        <f t="shared" si="53"/>
        <v>1211.9377360122469</v>
      </c>
      <c r="R45" s="59">
        <f t="shared" si="0"/>
        <v>1505.2710693455801</v>
      </c>
      <c r="S45" s="59">
        <f ca="1">AVERAGE(OFFSET($R$3,0,0,'Données projet'!$E$9+1,1))-AVERAGE(OFFSET($H$3,0,0,'Données projet'!$E$9+1,1))</f>
        <v>549.43232095729741</v>
      </c>
      <c r="T45" s="59">
        <f t="shared" si="34"/>
        <v>280.26155987300996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9.8785688036336534</v>
      </c>
      <c r="AA45" s="21">
        <f>EXP(-LN(2)/25)*AA44+(1-EXP(-LN(2)/25))/(LN(2)/25)*Calculateur!V45*Calculateur!X45*VLOOKUP('Données projet'!$B$9,Paramètres!$A$1:$I$89,3,0)*0.475*44/12</f>
        <v>6.852732738149844</v>
      </c>
      <c r="AB45" s="21">
        <f>EXP(-LN(2)/2)*AB44+(1-EXP(-LN(2)/2))/(LN(2)/2)*V45*Y45*VLOOKUP('Données projet'!$B$9,Paramètres!$A$1:$I$89,3,0)*0.475*44/12</f>
        <v>7.0393640647750014E-2</v>
      </c>
      <c r="AC45" s="22">
        <f t="shared" si="3"/>
        <v>16.801695182431249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20</v>
      </c>
      <c r="AI45" s="13">
        <f>IF('Données projet'!$A$62&gt;35,AI44+AH45-AQ44,IF(A45&lt;'Données projet'!$A$62,$AF$205^A45,IF(A45='Données projet'!$A$62,'Données projet'!$B$62,AI44+AH45-AQ44)))</f>
        <v>324.00000000000017</v>
      </c>
      <c r="AJ45" s="13">
        <f>AI45*VLOOKUP('Données projet'!$B$10,Paramètres!$A$1:$I$89,3,0)*VLOOKUP('Données projet'!$B$10,Paramètres!$A$1:$I$89,5,0)</f>
        <v>193.75200000000009</v>
      </c>
      <c r="AK45" s="13">
        <f t="shared" si="35"/>
        <v>48.368520355376113</v>
      </c>
      <c r="AL45" s="20">
        <f t="shared" si="4"/>
        <v>421.69323961894696</v>
      </c>
      <c r="AM45" s="59">
        <f t="shared" si="5"/>
        <v>715.02657295228028</v>
      </c>
      <c r="AN45" s="59">
        <f ca="1">AVERAGE(OFFSET($AM$3,0,0,'Données projet'!$E$10+1,1))-AVERAGE(OFFSET($H$3,0,0,'Données projet'!$E$10+1,1))</f>
        <v>348.62416478262719</v>
      </c>
      <c r="AO45" s="59">
        <f t="shared" si="36"/>
        <v>371.70674704563288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10.443493299226933</v>
      </c>
      <c r="AV45" s="21">
        <f>EXP(-LN(2)/25)*AV44+(1-EXP(-LN(2)/25))/(LN(2)/25)*Calculateur!AQ45*Calculateur!AS45*VLOOKUP('Données projet'!$B$10,Paramètres!$A$1:$I$89,3,0)*0.475*44/12</f>
        <v>8.7528640948232557</v>
      </c>
      <c r="AW45" s="21">
        <f>EXP(-LN(2)/2)*AW44+(1-EXP(-LN(2)/2))/(LN(2)/2)*AQ45*AT45*VLOOKUP('Données projet'!$B$10,Paramètres!$A$1:$I$89,3,0)*0.475*44/12</f>
        <v>0.19461804510117695</v>
      </c>
      <c r="AX45" s="21">
        <f t="shared" si="6"/>
        <v>19.390975439151365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169.8</v>
      </c>
      <c r="BE45" s="13">
        <f>BD45*VLOOKUP('Données projet'!$B$11,Paramètres!$A$1:$I$89,3,0)*VLOOKUP('Données projet'!$B$11,Paramètres!$A$1:$I$89,5,0)</f>
        <v>153.63504</v>
      </c>
      <c r="BF45" s="13">
        <f t="shared" si="37"/>
        <v>39.403506785222667</v>
      </c>
      <c r="BG45" s="20">
        <f t="shared" si="7"/>
        <v>336.20880231759617</v>
      </c>
      <c r="BH45" s="59">
        <f t="shared" si="8"/>
        <v>629.54213565092948</v>
      </c>
      <c r="BI45" s="59">
        <f ca="1">AVERAGE(OFFSET($BH$3,0,0,'Données projet'!$E$11+1,1))-AVERAGE(OFFSET($H$3,0,0,'Données projet'!$E$11+1,1))</f>
        <v>405.7176439604217</v>
      </c>
      <c r="BJ45" s="59">
        <f t="shared" si="38"/>
        <v>278.21741231699929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5.7625495393017729</v>
      </c>
      <c r="BQ45" s="21">
        <f>EXP(-LN(2)/25)*BQ44+(1-EXP(-LN(2)/25))/(LN(2)/25)*Calculateur!BL45*Calculateur!BN45*VLOOKUP('Données projet'!$B$11,Paramètres!$A$1:$I$89,3,0)*0.475*44/12</f>
        <v>6.7143277674907766</v>
      </c>
      <c r="BR45" s="21">
        <f>EXP(-LN(2)/2)*BR44+(1-EXP(-LN(2)/2))/(LN(2)/2)*BL45*BO45*VLOOKUP('Données projet'!$B$11,Paramètres!$A$1:$I$89,3,0)*0.475*44/12</f>
        <v>0.13335675920840165</v>
      </c>
      <c r="BS45" s="22">
        <f t="shared" si="9"/>
        <v>12.610234066000951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193.60000000000005</v>
      </c>
      <c r="BZ45" s="13">
        <f>BY45*VLOOKUP('Données projet'!$B$12,Paramètres!$A$1:$I$89,3,0)*VLOOKUP('Données projet'!$B$12,Paramètres!$A$1:$I$89,5,0)</f>
        <v>169.12896000000006</v>
      </c>
      <c r="CA45" s="13">
        <f t="shared" si="39"/>
        <v>42.894881315146776</v>
      </c>
      <c r="CB45" s="20">
        <f t="shared" si="10"/>
        <v>369.27485695721407</v>
      </c>
      <c r="CC45" s="59">
        <f t="shared" si="11"/>
        <v>662.60819029054733</v>
      </c>
      <c r="CD45" s="59">
        <f ca="1">AVERAGE(OFFSET($CC$3,0,0,'Données projet'!$E$12+1,1))-AVERAGE(OFFSET($H$3,0,0,'Données projet'!$E$12+1,1))</f>
        <v>321.23599968992932</v>
      </c>
      <c r="CE45" s="59">
        <f t="shared" si="40"/>
        <v>388.05195847800502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2.8813802779631859</v>
      </c>
      <c r="CL45" s="21">
        <f>EXP(-LN(2)/25)*CL44+(1-EXP(-LN(2)/25))/(LN(2)/25)*Calculateur!CG45*Calculateur!CI45*VLOOKUP('Données projet'!$B$12,Paramètres!$A$1:$I$89,3,0)*0.475*44/12</f>
        <v>15.127869975660255</v>
      </c>
      <c r="CM45" s="21">
        <f>EXP(-LN(2)/2)*CM44+(1-EXP(-LN(2)/2))/(LN(2)/2)*CG45*CJ45*VLOOKUP('Données projet'!$B$12,Paramètres!$A$1:$I$89,3,0)*0.475*44/12</f>
        <v>0.18848254631040923</v>
      </c>
      <c r="CN45" s="22">
        <f t="shared" si="12"/>
        <v>18.197732799933853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148</v>
      </c>
      <c r="CR45" s="12">
        <f>VLOOKUP(A45,'Données projet'!$A$139:$I$159,9,0)</f>
        <v>8.8333333333333339</v>
      </c>
      <c r="CS45" s="12">
        <f t="array" ref="CS45">INDEX(CR:CR,MIN(IF(ISNUMBER(CR45:CR241),ROW(CR45:CR241),"")))</f>
        <v>8.8333333333333339</v>
      </c>
      <c r="CT45" s="12">
        <f>IF('Données projet'!$A$140&gt;35,CT44+CS45-DB44,IF(A45&lt;'Données projet'!$A$140,$CQ$205^A45,IF(A45='Données projet'!$A$140,'Données projet'!$B$140,CT44+CS45-DB44)))</f>
        <v>147.99999999999994</v>
      </c>
      <c r="CU45" s="17">
        <f>CT45*VLOOKUP('Données projet'!$B$13,Paramètres!$A$1:$I$89,3,0)*VLOOKUP('Données projet'!$B$13,Paramètres!$A$1:$I$89,5,0)</f>
        <v>143.14559999999994</v>
      </c>
      <c r="CV45" s="13">
        <f t="shared" si="41"/>
        <v>37.01668374538415</v>
      </c>
      <c r="CW45" s="20">
        <f t="shared" si="13"/>
        <v>313.78264418987732</v>
      </c>
      <c r="CX45" s="59">
        <f t="shared" si="14"/>
        <v>607.11597752321063</v>
      </c>
      <c r="CY45" s="59">
        <f ca="1">AVERAGE(OFFSET($CX$3,0,0,'Données projet'!$E$13+1,1))-AVERAGE(OFFSET($H$3,0,0,'Données projet'!$E$13+1,1))</f>
        <v>399.24912109442175</v>
      </c>
      <c r="CZ45" s="59">
        <f t="shared" si="42"/>
        <v>269.83150082245305</v>
      </c>
      <c r="DA45" s="15">
        <f>IF(ISNA(VLOOKUP(A45,'Données projet'!$A$139:$I$159,3,0)),0,VLOOKUP(A45,'Données projet'!$A$139:$I$159,3,0))</f>
        <v>2</v>
      </c>
      <c r="DB45" s="15">
        <f>IF(ISNA(VLOOKUP(A45,'Données projet'!$A$139:$I$159,4,0)),0,VLOOKUP(A45,'Données projet'!$A$139:$I$159,4,0))</f>
        <v>41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148</v>
      </c>
      <c r="DM45" s="12">
        <f>VLOOKUP(A45,'Données projet'!$A$165:$I$185,9,0)</f>
        <v>8.8333333333333339</v>
      </c>
      <c r="DN45" s="12">
        <f t="array" ref="DN45">INDEX(DM:DM,MIN(IF(ISNUMBER(DM45:DM241),ROW(DM45:DM241),"")))</f>
        <v>8.8333333333333339</v>
      </c>
      <c r="DO45" s="12">
        <f>IF('Données projet'!$A$166&gt;35,DO44+DN45-DW44,IF(A45&lt;'Données projet'!$A$166,$DL$205^A45,IF(A45='Données projet'!$A$166,'Données projet'!$B$166,DO44+DN45-DW44)))</f>
        <v>147.99999999999994</v>
      </c>
      <c r="DP45" s="17">
        <f>DO45*VLOOKUP('Données projet'!$B$14,Paramètres!$A$1:$I$89,3,0)*VLOOKUP('Données projet'!$B$14,Paramètres!$A$1:$I$89,5,0)</f>
        <v>159.30719999999994</v>
      </c>
      <c r="DQ45" s="13">
        <f t="shared" si="43"/>
        <v>40.686212990054052</v>
      </c>
      <c r="DR45" s="20">
        <f t="shared" si="16"/>
        <v>348.3218609576773</v>
      </c>
      <c r="DS45" s="59">
        <f t="shared" si="17"/>
        <v>641.65519429101062</v>
      </c>
      <c r="DT45" s="59">
        <f ca="1">AVERAGE(OFFSET($DS$3,0,0,'Données projet'!$E$14+1,1))-AVERAGE(OFFSET($H$3,0,0,'Données projet'!$E$14+1,1))</f>
        <v>439.66981240211362</v>
      </c>
      <c r="DU45" s="59">
        <f t="shared" si="44"/>
        <v>295.47805371292458</v>
      </c>
      <c r="DV45" s="15">
        <f>IF(ISNA(VLOOKUP(A45,'Données projet'!$A$165:$I$185,3,0)),0,VLOOKUP(A45,'Données projet'!$A$165:$I$185,3,0))</f>
        <v>2</v>
      </c>
      <c r="DW45" s="15">
        <f>IF(ISNA(VLOOKUP(A45,'Données projet'!$A$165:$I$185,4,0)),0,VLOOKUP(A45,'Données projet'!$A$165:$I$185,4,0))</f>
        <v>41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148</v>
      </c>
      <c r="EH45" s="12">
        <f>VLOOKUP(A45,'Données projet'!$A$191:$I$211,9,0)</f>
        <v>8.8333333333333339</v>
      </c>
      <c r="EI45" s="12">
        <f t="array" ref="EI45">INDEX(EH:EH,MIN(IF(ISNUMBER(EH45:EH241),ROW(EH45:EH241),"")))</f>
        <v>8.8333333333333339</v>
      </c>
      <c r="EJ45" s="12">
        <f>IF('Données projet'!$A$192&gt;35,EJ44+EI45-ER44,IF(A45&lt;'Données projet'!$A$192,$EG$205^A45,IF(A45='Données projet'!$A$192,'Données projet'!$B$192,EJ44+EI45-ER44)))</f>
        <v>147.99999999999994</v>
      </c>
      <c r="EK45" s="17">
        <f>EJ45*VLOOKUP('Données projet'!$B$15,Paramètres!$A$1:$I$89,3,0)*VLOOKUP('Données projet'!$B$15,Paramètres!$A$1:$I$89,5,0)</f>
        <v>140.83679999999995</v>
      </c>
      <c r="EL45" s="13">
        <f t="shared" si="45"/>
        <v>36.48863808581752</v>
      </c>
      <c r="EM45" s="20">
        <f t="shared" si="19"/>
        <v>308.84180466613208</v>
      </c>
      <c r="EN45" s="59">
        <f t="shared" si="20"/>
        <v>602.17513799946539</v>
      </c>
      <c r="EO45" s="59">
        <f ca="1">AVERAGE(OFFSET($EN$3,0,0,'Données projet'!$E$15+1,1))-AVERAGE(OFFSET($H$3,0,0,'Données projet'!$E$15+1,1))</f>
        <v>393.46715670823653</v>
      </c>
      <c r="EP45" s="59">
        <f t="shared" si="46"/>
        <v>266.16261355327214</v>
      </c>
      <c r="EQ45" s="15">
        <f>IF(ISNA(VLOOKUP(A45,'Données projet'!$A$191:$I$211,3,0)),0,VLOOKUP(A45,'Données projet'!$A$191:$I$211,3,0))</f>
        <v>2</v>
      </c>
      <c r="ER45" s="15">
        <f>IF(ISNA(VLOOKUP(A45,'Données projet'!$A$191:$I$211,4,0)),0,VLOOKUP(A45,'Données projet'!$A$191:$I$211,4,0))</f>
        <v>41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359.83333333333331</v>
      </c>
      <c r="N46" s="13">
        <f>IF('Données projet'!$A$36&gt;35,N45+M46-V45,IF(A46&lt;'Données projet'!$A$36,$K$205^A46,IF(A46='Données projet'!$A$36,'Données projet'!$B$36,N45+M46-V45)))</f>
        <v>1313.5</v>
      </c>
      <c r="O46" s="13">
        <f>N46*VLOOKUP('Données projet'!$B$9,Paramètres!$A$1:$I$89,3,0)*VLOOKUP('Données projet'!$B$9,Paramètres!$A$1:$I$89,5,0)</f>
        <v>785.47300000000007</v>
      </c>
      <c r="P46" s="13">
        <f t="shared" si="33"/>
        <v>166.60577348522486</v>
      </c>
      <c r="Q46" s="20">
        <f t="shared" si="53"/>
        <v>1658.2038638201002</v>
      </c>
      <c r="R46" s="59">
        <f t="shared" si="0"/>
        <v>1951.5371971534335</v>
      </c>
      <c r="S46" s="59">
        <f ca="1">AVERAGE(OFFSET($R$3,0,0,'Données projet'!$E$9+1,1))-AVERAGE(OFFSET($H$3,0,0,'Données projet'!$E$9+1,1))</f>
        <v>549.43232095729741</v>
      </c>
      <c r="T46" s="59">
        <f t="shared" si="34"/>
        <v>280.26155987300996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9.6848560947264151</v>
      </c>
      <c r="AA46" s="21">
        <f>EXP(-LN(2)/25)*AA45+(1-EXP(-LN(2)/25))/(LN(2)/25)*Calculateur!V46*Calculateur!X46*VLOOKUP('Données projet'!$B$9,Paramètres!$A$1:$I$89,3,0)*0.475*44/12</f>
        <v>6.6653444010555836</v>
      </c>
      <c r="AB46" s="21">
        <f>EXP(-LN(2)/2)*AB45+(1-EXP(-LN(2)/2))/(LN(2)/2)*V46*Y46*VLOOKUP('Données projet'!$B$9,Paramètres!$A$1:$I$89,3,0)*0.475*44/12</f>
        <v>4.9775820654433027E-2</v>
      </c>
      <c r="AC46" s="22">
        <f t="shared" si="3"/>
        <v>16.39997631643643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20</v>
      </c>
      <c r="AI46" s="13">
        <f>IF('Données projet'!$A$62&gt;35,AI45+AH46-AQ45,IF(A46&lt;'Données projet'!$A$62,$AF$205^A46,IF(A46='Données projet'!$A$62,'Données projet'!$B$62,AI45+AH46-AQ45)))</f>
        <v>344.00000000000017</v>
      </c>
      <c r="AJ46" s="13">
        <f>AI46*VLOOKUP('Données projet'!$B$10,Paramètres!$A$1:$I$89,3,0)*VLOOKUP('Données projet'!$B$10,Paramètres!$A$1:$I$89,5,0)</f>
        <v>205.71200000000013</v>
      </c>
      <c r="AK46" s="13">
        <f t="shared" si="35"/>
        <v>50.997427696933762</v>
      </c>
      <c r="AL46" s="20">
        <f t="shared" si="4"/>
        <v>447.10225323882656</v>
      </c>
      <c r="AM46" s="59">
        <f t="shared" si="5"/>
        <v>740.43558657215988</v>
      </c>
      <c r="AN46" s="59">
        <f ca="1">AVERAGE(OFFSET($AM$3,0,0,'Données projet'!$E$10+1,1))-AVERAGE(OFFSET($H$3,0,0,'Données projet'!$E$10+1,1))</f>
        <v>348.62416478262719</v>
      </c>
      <c r="AO46" s="59">
        <f t="shared" si="36"/>
        <v>371.70674704563288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10.238702765531031</v>
      </c>
      <c r="AV46" s="21">
        <f>EXP(-LN(2)/25)*AV45+(1-EXP(-LN(2)/25))/(LN(2)/25)*Calculateur!AQ46*Calculateur!AS46*VLOOKUP('Données projet'!$B$10,Paramètres!$A$1:$I$89,3,0)*0.475*44/12</f>
        <v>8.5135165658571967</v>
      </c>
      <c r="AW46" s="21">
        <f>EXP(-LN(2)/2)*AW45+(1-EXP(-LN(2)/2))/(LN(2)/2)*AQ46*AT46*VLOOKUP('Données projet'!$B$10,Paramètres!$A$1:$I$89,3,0)*0.475*44/12</f>
        <v>0.13761573943231156</v>
      </c>
      <c r="AX46" s="21">
        <f t="shared" si="6"/>
        <v>18.889835070820538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181.20000000000002</v>
      </c>
      <c r="BE46" s="13">
        <f>BD46*VLOOKUP('Données projet'!$B$11,Paramètres!$A$1:$I$89,3,0)*VLOOKUP('Données projet'!$B$11,Paramètres!$A$1:$I$89,5,0)</f>
        <v>163.94976</v>
      </c>
      <c r="BF46" s="13">
        <f t="shared" si="37"/>
        <v>41.732126457893308</v>
      </c>
      <c r="BG46" s="20">
        <f t="shared" si="7"/>
        <v>358.22928558083089</v>
      </c>
      <c r="BH46" s="59">
        <f t="shared" si="8"/>
        <v>651.5626189141642</v>
      </c>
      <c r="BI46" s="59">
        <f ca="1">AVERAGE(OFFSET($BH$3,0,0,'Données projet'!$E$11+1,1))-AVERAGE(OFFSET($H$3,0,0,'Données projet'!$E$11+1,1))</f>
        <v>405.7176439604217</v>
      </c>
      <c r="BJ46" s="59">
        <f t="shared" si="38"/>
        <v>278.21741231699929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5.649549457644226</v>
      </c>
      <c r="BQ46" s="21">
        <f>EXP(-LN(2)/25)*BQ45+(1-EXP(-LN(2)/25))/(LN(2)/25)*Calculateur!BL46*Calculateur!BN46*VLOOKUP('Données projet'!$B$11,Paramètres!$A$1:$I$89,3,0)*0.475*44/12</f>
        <v>6.53072412159759</v>
      </c>
      <c r="BR46" s="21">
        <f>EXP(-LN(2)/2)*BR45+(1-EXP(-LN(2)/2))/(LN(2)/2)*BL46*BO46*VLOOKUP('Données projet'!$B$11,Paramètres!$A$1:$I$89,3,0)*0.475*44/12</f>
        <v>9.4297468753322372E-2</v>
      </c>
      <c r="BS46" s="22">
        <f t="shared" si="9"/>
        <v>12.274571047995138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203.40000000000006</v>
      </c>
      <c r="BZ46" s="13">
        <f>BY46*VLOOKUP('Données projet'!$B$12,Paramètres!$A$1:$I$89,3,0)*VLOOKUP('Données projet'!$B$12,Paramètres!$A$1:$I$89,5,0)</f>
        <v>177.69024000000007</v>
      </c>
      <c r="CA46" s="13">
        <f t="shared" si="39"/>
        <v>44.807921499827692</v>
      </c>
      <c r="CB46" s="20">
        <f t="shared" si="10"/>
        <v>387.5176312788667</v>
      </c>
      <c r="CC46" s="59">
        <f t="shared" si="11"/>
        <v>680.85096461219996</v>
      </c>
      <c r="CD46" s="59">
        <f ca="1">AVERAGE(OFFSET($CC$3,0,0,'Données projet'!$E$12+1,1))-AVERAGE(OFFSET($H$3,0,0,'Données projet'!$E$12+1,1))</f>
        <v>321.23599968992932</v>
      </c>
      <c r="CE46" s="59">
        <f t="shared" si="40"/>
        <v>388.05195847800502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2.8248781681807618</v>
      </c>
      <c r="CL46" s="21">
        <f>EXP(-LN(2)/25)*CL45+(1-EXP(-LN(2)/25))/(LN(2)/25)*Calculateur!CG46*Calculateur!CI46*VLOOKUP('Données projet'!$B$12,Paramètres!$A$1:$I$89,3,0)*0.475*44/12</f>
        <v>14.714197575635719</v>
      </c>
      <c r="CM46" s="21">
        <f>EXP(-LN(2)/2)*CM45+(1-EXP(-LN(2)/2))/(LN(2)/2)*CG46*CJ46*VLOOKUP('Données projet'!$B$12,Paramètres!$A$1:$I$89,3,0)*0.475*44/12</f>
        <v>0.13327728663139785</v>
      </c>
      <c r="CN46" s="22">
        <f t="shared" si="12"/>
        <v>17.67235303044788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8.3333333333333339</v>
      </c>
      <c r="CT46" s="12">
        <f>IF('Données projet'!$A$140&gt;35,CT45+CS46-DB45,IF(A46&lt;'Données projet'!$A$140,$CQ$205^A46,IF(A46='Données projet'!$A$140,'Données projet'!$B$140,CT45+CS46-DB45)))</f>
        <v>115.33333333333329</v>
      </c>
      <c r="CU46" s="17">
        <f>CT46*VLOOKUP('Données projet'!$B$13,Paramètres!$A$1:$I$89,3,0)*VLOOKUP('Données projet'!$B$13,Paramètres!$A$1:$I$89,5,0)</f>
        <v>111.55039999999995</v>
      </c>
      <c r="CV46" s="13">
        <f t="shared" si="41"/>
        <v>29.695972819960069</v>
      </c>
      <c r="CW46" s="20">
        <f t="shared" si="13"/>
        <v>246.00409932809703</v>
      </c>
      <c r="CX46" s="59">
        <f t="shared" si="14"/>
        <v>539.33743266143028</v>
      </c>
      <c r="CY46" s="59">
        <f ca="1">AVERAGE(OFFSET($CX$3,0,0,'Données projet'!$E$13+1,1))-AVERAGE(OFFSET($H$3,0,0,'Données projet'!$E$13+1,1))</f>
        <v>399.24912109442175</v>
      </c>
      <c r="CZ46" s="59">
        <f t="shared" si="42"/>
        <v>269.83150082245305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8.3333333333333339</v>
      </c>
      <c r="DO46" s="12">
        <f>IF('Données projet'!$A$166&gt;35,DO45+DN46-DW45,IF(A46&lt;'Données projet'!$A$166,$DL$205^A46,IF(A46='Données projet'!$A$166,'Données projet'!$B$166,DO45+DN46-DW45)))</f>
        <v>115.33333333333329</v>
      </c>
      <c r="DP46" s="17">
        <f>DO46*VLOOKUP('Données projet'!$B$14,Paramètres!$A$1:$I$89,3,0)*VLOOKUP('Données projet'!$B$14,Paramètres!$A$1:$I$89,5,0)</f>
        <v>124.14479999999993</v>
      </c>
      <c r="DQ46" s="13">
        <f t="shared" si="43"/>
        <v>32.63978705954208</v>
      </c>
      <c r="DR46" s="20">
        <f t="shared" si="16"/>
        <v>273.06648912870236</v>
      </c>
      <c r="DS46" s="59">
        <f t="shared" si="17"/>
        <v>566.39982246203567</v>
      </c>
      <c r="DT46" s="59">
        <f ca="1">AVERAGE(OFFSET($DS$3,0,0,'Données projet'!$E$14+1,1))-AVERAGE(OFFSET($H$3,0,0,'Données projet'!$E$14+1,1))</f>
        <v>439.66981240211362</v>
      </c>
      <c r="DU46" s="59">
        <f t="shared" si="44"/>
        <v>295.47805371292458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8.3333333333333339</v>
      </c>
      <c r="EJ46" s="12">
        <f>IF('Données projet'!$A$192&gt;35,EJ45+EI46-ER45,IF(A46&lt;'Données projet'!$A$192,$EG$205^A46,IF(A46='Données projet'!$A$192,'Données projet'!$B$192,EJ45+EI46-ER45)))</f>
        <v>115.33333333333329</v>
      </c>
      <c r="EK46" s="17">
        <f>EJ46*VLOOKUP('Données projet'!$B$15,Paramètres!$A$1:$I$89,3,0)*VLOOKUP('Données projet'!$B$15,Paramètres!$A$1:$I$89,5,0)</f>
        <v>109.75119999999994</v>
      </c>
      <c r="EL46" s="13">
        <f t="shared" si="45"/>
        <v>29.272357628981652</v>
      </c>
      <c r="EM46" s="20">
        <f t="shared" si="19"/>
        <v>242.13269620380959</v>
      </c>
      <c r="EN46" s="59">
        <f t="shared" si="20"/>
        <v>535.46602953714296</v>
      </c>
      <c r="EO46" s="59">
        <f ca="1">AVERAGE(OFFSET($EN$3,0,0,'Données projet'!$E$15+1,1))-AVERAGE(OFFSET($H$3,0,0,'Données projet'!$E$15+1,1))</f>
        <v>393.46715670823653</v>
      </c>
      <c r="EP46" s="59">
        <f t="shared" si="46"/>
        <v>266.16261355327214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359.83333333333331</v>
      </c>
      <c r="N47" s="13">
        <f>IF('Données projet'!$A$36&gt;35,N46+M47-V46,IF(A47&lt;'Données projet'!$A$36,$K$205^A47,IF(A47='Données projet'!$A$36,'Données projet'!$B$36,N46+M47-V46)))</f>
        <v>1673.3333333333333</v>
      </c>
      <c r="O47" s="13">
        <f>N47*VLOOKUP('Données projet'!$B$9,Paramètres!$A$1:$I$89,3,0)*VLOOKUP('Données projet'!$B$9,Paramètres!$A$1:$I$89,5,0)</f>
        <v>1000.6533333333334</v>
      </c>
      <c r="P47" s="13">
        <f t="shared" si="33"/>
        <v>206.34915502852061</v>
      </c>
      <c r="Q47" s="20">
        <f t="shared" si="53"/>
        <v>2102.1960005635624</v>
      </c>
      <c r="R47" s="59">
        <f t="shared" si="0"/>
        <v>2395.5293338968959</v>
      </c>
      <c r="S47" s="59">
        <f ca="1">AVERAGE(OFFSET($R$3,0,0,'Données projet'!$E$9+1,1))-AVERAGE(OFFSET($H$3,0,0,'Données projet'!$E$9+1,1))</f>
        <v>549.43232095729741</v>
      </c>
      <c r="T47" s="59">
        <f t="shared" si="34"/>
        <v>280.26155987300996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9.4949419738877623</v>
      </c>
      <c r="AA47" s="21">
        <f>EXP(-LN(2)/25)*AA46+(1-EXP(-LN(2)/25))/(LN(2)/25)*Calculateur!V47*Calculateur!X47*VLOOKUP('Données projet'!$B$9,Paramètres!$A$1:$I$89,3,0)*0.475*44/12</f>
        <v>6.4830802078934902</v>
      </c>
      <c r="AB47" s="21">
        <f>EXP(-LN(2)/2)*AB46+(1-EXP(-LN(2)/2))/(LN(2)/2)*V47*Y47*VLOOKUP('Données projet'!$B$9,Paramètres!$A$1:$I$89,3,0)*0.475*44/12</f>
        <v>3.5196820323875007E-2</v>
      </c>
      <c r="AC47" s="22">
        <f t="shared" si="3"/>
        <v>16.013219002105128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20</v>
      </c>
      <c r="AI47" s="13">
        <f>IF('Données projet'!$A$62&gt;35,AI46+AH47-AQ46,IF(A47&lt;'Données projet'!$A$62,$AF$205^A47,IF(A47='Données projet'!$A$62,'Données projet'!$B$62,AI46+AH47-AQ46)))</f>
        <v>364.00000000000017</v>
      </c>
      <c r="AJ47" s="13">
        <f>AI47*VLOOKUP('Données projet'!$B$10,Paramètres!$A$1:$I$89,3,0)*VLOOKUP('Données projet'!$B$10,Paramètres!$A$1:$I$89,5,0)</f>
        <v>217.67200000000011</v>
      </c>
      <c r="AK47" s="13">
        <f t="shared" si="35"/>
        <v>53.60859357546007</v>
      </c>
      <c r="AL47" s="20">
        <f t="shared" si="4"/>
        <v>472.48036714392646</v>
      </c>
      <c r="AM47" s="59">
        <f t="shared" si="5"/>
        <v>765.81370047725977</v>
      </c>
      <c r="AN47" s="59">
        <f ca="1">AVERAGE(OFFSET($AM$3,0,0,'Données projet'!$E$10+1,1))-AVERAGE(OFFSET($H$3,0,0,'Données projet'!$E$10+1,1))</f>
        <v>348.62416478262719</v>
      </c>
      <c r="AO47" s="59">
        <f t="shared" si="36"/>
        <v>371.70674704563288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10.037928049291013</v>
      </c>
      <c r="AV47" s="21">
        <f>EXP(-LN(2)/25)*AV46+(1-EXP(-LN(2)/25))/(LN(2)/25)*Calculateur!AQ47*Calculateur!AS47*VLOOKUP('Données projet'!$B$10,Paramètres!$A$1:$I$89,3,0)*0.475*44/12</f>
        <v>8.280714007657453</v>
      </c>
      <c r="AW47" s="21">
        <f>EXP(-LN(2)/2)*AW46+(1-EXP(-LN(2)/2))/(LN(2)/2)*AQ47*AT47*VLOOKUP('Données projet'!$B$10,Paramètres!$A$1:$I$89,3,0)*0.475*44/12</f>
        <v>9.7309022550588473E-2</v>
      </c>
      <c r="AX47" s="21">
        <f t="shared" si="6"/>
        <v>18.415951079499056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192.60000000000002</v>
      </c>
      <c r="BE47" s="13">
        <f>BD47*VLOOKUP('Données projet'!$B$11,Paramètres!$A$1:$I$89,3,0)*VLOOKUP('Données projet'!$B$11,Paramètres!$A$1:$I$89,5,0)</f>
        <v>174.26447999999999</v>
      </c>
      <c r="BF47" s="13">
        <f t="shared" si="37"/>
        <v>44.043743683739521</v>
      </c>
      <c r="BG47" s="20">
        <f t="shared" si="7"/>
        <v>380.22015624917964</v>
      </c>
      <c r="BH47" s="59">
        <f t="shared" si="8"/>
        <v>673.55348958251295</v>
      </c>
      <c r="BI47" s="59">
        <f ca="1">AVERAGE(OFFSET($BH$3,0,0,'Données projet'!$E$11+1,1))-AVERAGE(OFFSET($H$3,0,0,'Données projet'!$E$11+1,1))</f>
        <v>405.7176439604217</v>
      </c>
      <c r="BJ47" s="59">
        <f t="shared" si="38"/>
        <v>278.21741231699929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5.5387652386647392</v>
      </c>
      <c r="BQ47" s="21">
        <f>EXP(-LN(2)/25)*BQ46+(1-EXP(-LN(2)/25))/(LN(2)/25)*Calculateur!BL47*Calculateur!BN47*VLOOKUP('Données projet'!$B$11,Paramètres!$A$1:$I$89,3,0)*0.475*44/12</f>
        <v>6.3521411270566484</v>
      </c>
      <c r="BR47" s="21">
        <f>EXP(-LN(2)/2)*BR46+(1-EXP(-LN(2)/2))/(LN(2)/2)*BL47*BO47*VLOOKUP('Données projet'!$B$11,Paramètres!$A$1:$I$89,3,0)*0.475*44/12</f>
        <v>6.6678379604200824E-2</v>
      </c>
      <c r="BS47" s="22">
        <f t="shared" si="9"/>
        <v>11.957584745325589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213.20000000000007</v>
      </c>
      <c r="BZ47" s="13">
        <f>BY47*VLOOKUP('Données projet'!$B$12,Paramètres!$A$1:$I$89,3,0)*VLOOKUP('Données projet'!$B$12,Paramètres!$A$1:$I$89,5,0)</f>
        <v>186.25152000000008</v>
      </c>
      <c r="CA47" s="13">
        <f t="shared" si="39"/>
        <v>46.71025851515671</v>
      </c>
      <c r="CB47" s="20">
        <f t="shared" si="10"/>
        <v>405.7417642472314</v>
      </c>
      <c r="CC47" s="59">
        <f t="shared" si="11"/>
        <v>699.07509758056472</v>
      </c>
      <c r="CD47" s="59">
        <f ca="1">AVERAGE(OFFSET($CC$3,0,0,'Données projet'!$E$12+1,1))-AVERAGE(OFFSET($H$3,0,0,'Données projet'!$E$12+1,1))</f>
        <v>321.23599968992932</v>
      </c>
      <c r="CE47" s="59">
        <f t="shared" si="40"/>
        <v>388.05195847800502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2.7694840303082868</v>
      </c>
      <c r="CL47" s="21">
        <f>EXP(-LN(2)/25)*CL46+(1-EXP(-LN(2)/25))/(LN(2)/25)*Calculateur!CG47*Calculateur!CI47*VLOOKUP('Données projet'!$B$12,Paramètres!$A$1:$I$89,3,0)*0.475*44/12</f>
        <v>14.311837069143939</v>
      </c>
      <c r="CM47" s="21">
        <f>EXP(-LN(2)/2)*CM46+(1-EXP(-LN(2)/2))/(LN(2)/2)*CG47*CJ47*VLOOKUP('Données projet'!$B$12,Paramètres!$A$1:$I$89,3,0)*0.475*44/12</f>
        <v>9.4241273155204613E-2</v>
      </c>
      <c r="CN47" s="22">
        <f t="shared" si="12"/>
        <v>17.17556237260743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8.3333333333333339</v>
      </c>
      <c r="CT47" s="12">
        <f>IF('Données projet'!$A$140&gt;35,CT46+CS47-DB46,IF(A47&lt;'Données projet'!$A$140,$CQ$205^A47,IF(A47='Données projet'!$A$140,'Données projet'!$B$140,CT46+CS47-DB46)))</f>
        <v>123.66666666666661</v>
      </c>
      <c r="CU47" s="17">
        <f>CT47*VLOOKUP('Données projet'!$B$13,Paramètres!$A$1:$I$89,3,0)*VLOOKUP('Données projet'!$B$13,Paramètres!$A$1:$I$89,5,0)</f>
        <v>119.61039999999996</v>
      </c>
      <c r="CV47" s="13">
        <f t="shared" si="41"/>
        <v>31.584114301284568</v>
      </c>
      <c r="CW47" s="20">
        <f t="shared" si="13"/>
        <v>263.33044574140382</v>
      </c>
      <c r="CX47" s="59">
        <f t="shared" si="14"/>
        <v>556.66377907473714</v>
      </c>
      <c r="CY47" s="59">
        <f ca="1">AVERAGE(OFFSET($CX$3,0,0,'Données projet'!$E$13+1,1))-AVERAGE(OFFSET($H$3,0,0,'Données projet'!$E$13+1,1))</f>
        <v>399.24912109442175</v>
      </c>
      <c r="CZ47" s="59">
        <f t="shared" si="42"/>
        <v>269.83150082245305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8.3333333333333339</v>
      </c>
      <c r="DO47" s="12">
        <f>IF('Données projet'!$A$166&gt;35,DO46+DN47-DW46,IF(A47&lt;'Données projet'!$A$166,$DL$205^A47,IF(A47='Données projet'!$A$166,'Données projet'!$B$166,DO46+DN47-DW46)))</f>
        <v>123.66666666666661</v>
      </c>
      <c r="DP47" s="17">
        <f>DO47*VLOOKUP('Données projet'!$B$14,Paramètres!$A$1:$I$89,3,0)*VLOOKUP('Données projet'!$B$14,Paramètres!$A$1:$I$89,5,0)</f>
        <v>133.11479999999995</v>
      </c>
      <c r="DQ47" s="13">
        <f t="shared" si="43"/>
        <v>34.715103341058089</v>
      </c>
      <c r="DR47" s="20">
        <f t="shared" si="16"/>
        <v>292.3037483190094</v>
      </c>
      <c r="DS47" s="59">
        <f t="shared" si="17"/>
        <v>585.63708165234266</v>
      </c>
      <c r="DT47" s="59">
        <f ca="1">AVERAGE(OFFSET($DS$3,0,0,'Données projet'!$E$14+1,1))-AVERAGE(OFFSET($H$3,0,0,'Données projet'!$E$14+1,1))</f>
        <v>439.66981240211362</v>
      </c>
      <c r="DU47" s="59">
        <f t="shared" si="44"/>
        <v>295.47805371292458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8.3333333333333339</v>
      </c>
      <c r="EJ47" s="12">
        <f>IF('Données projet'!$A$192&gt;35,EJ46+EI47-ER46,IF(A47&lt;'Données projet'!$A$192,$EG$205^A47,IF(A47='Données projet'!$A$192,'Données projet'!$B$192,EJ46+EI47-ER46)))</f>
        <v>123.66666666666661</v>
      </c>
      <c r="EK47" s="17">
        <f>EJ47*VLOOKUP('Données projet'!$B$15,Paramètres!$A$1:$I$89,3,0)*VLOOKUP('Données projet'!$B$15,Paramètres!$A$1:$I$89,5,0)</f>
        <v>117.68119999999996</v>
      </c>
      <c r="EL47" s="13">
        <f t="shared" si="45"/>
        <v>31.133564636091254</v>
      </c>
      <c r="EM47" s="20">
        <f t="shared" si="19"/>
        <v>259.18571507452549</v>
      </c>
      <c r="EN47" s="59">
        <f t="shared" si="20"/>
        <v>552.5190484078588</v>
      </c>
      <c r="EO47" s="59">
        <f ca="1">AVERAGE(OFFSET($EN$3,0,0,'Données projet'!$E$15+1,1))-AVERAGE(OFFSET($H$3,0,0,'Données projet'!$E$15+1,1))</f>
        <v>393.46715670823653</v>
      </c>
      <c r="EP47" s="59">
        <f t="shared" si="46"/>
        <v>266.16261355327214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359.83333333333331</v>
      </c>
      <c r="N48" s="13">
        <f>IF('Données projet'!$A$36&gt;35,N47+M48-V47,IF(A48&lt;'Données projet'!$A$36,$K$205^A48,IF(A48='Données projet'!$A$36,'Données projet'!$B$36,N47+M48-V47)))</f>
        <v>2033.1666666666665</v>
      </c>
      <c r="O48" s="13">
        <f>N48*VLOOKUP('Données projet'!$B$9,Paramètres!$A$1:$I$89,3,0)*VLOOKUP('Données projet'!$B$9,Paramètres!$A$1:$I$89,5,0)</f>
        <v>1215.8336666666667</v>
      </c>
      <c r="P48" s="13">
        <f t="shared" si="33"/>
        <v>245.10201237867619</v>
      </c>
      <c r="Q48" s="20">
        <f t="shared" si="53"/>
        <v>2544.4629743373057</v>
      </c>
      <c r="R48" s="59">
        <f t="shared" si="0"/>
        <v>2837.7963076706392</v>
      </c>
      <c r="S48" s="59">
        <f ca="1">AVERAGE(OFFSET($R$3,0,0,'Données projet'!$E$9+1,1))-AVERAGE(OFFSET($H$3,0,0,'Données projet'!$E$9+1,1))</f>
        <v>549.43232095729741</v>
      </c>
      <c r="T48" s="59">
        <f t="shared" si="34"/>
        <v>280.26155987300996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9.3087519531225791</v>
      </c>
      <c r="AA48" s="21">
        <f>EXP(-LN(2)/25)*AA47+(1-EXP(-LN(2)/25))/(LN(2)/25)*Calculateur!V48*Calculateur!X48*VLOOKUP('Données projet'!$B$9,Paramètres!$A$1:$I$89,3,0)*0.475*44/12</f>
        <v>6.3058000386782718</v>
      </c>
      <c r="AB48" s="21">
        <f>EXP(-LN(2)/2)*AB47+(1-EXP(-LN(2)/2))/(LN(2)/2)*V48*Y48*VLOOKUP('Données projet'!$B$9,Paramètres!$A$1:$I$89,3,0)*0.475*44/12</f>
        <v>2.4887910327216514E-2</v>
      </c>
      <c r="AC48" s="22">
        <f t="shared" si="3"/>
        <v>15.639439902128068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384</v>
      </c>
      <c r="AG48" s="12">
        <f>VLOOKUP(A48,'Données projet'!$A$61:$I$81,9,0)</f>
        <v>20</v>
      </c>
      <c r="AH48" s="12">
        <f t="array" ref="AH48">INDEX(AG:AG,MIN(IF(ISNUMBER(AG48:AG244),ROW(AG48:AG244),"")))</f>
        <v>20</v>
      </c>
      <c r="AI48" s="13">
        <f>IF('Données projet'!$A$62&gt;35,AI47+AH48-AQ47,IF(A48&lt;'Données projet'!$A$62,$AF$205^A48,IF(A48='Données projet'!$A$62,'Données projet'!$B$62,AI47+AH48-AQ47)))</f>
        <v>384.00000000000017</v>
      </c>
      <c r="AJ48" s="13">
        <f>AI48*VLOOKUP('Données projet'!$B$10,Paramètres!$A$1:$I$89,3,0)*VLOOKUP('Données projet'!$B$10,Paramètres!$A$1:$I$89,5,0)</f>
        <v>229.63200000000015</v>
      </c>
      <c r="AK48" s="13">
        <f t="shared" si="35"/>
        <v>56.20310391330672</v>
      </c>
      <c r="AL48" s="20">
        <f t="shared" si="4"/>
        <v>497.8294726490094</v>
      </c>
      <c r="AM48" s="59">
        <f t="shared" si="5"/>
        <v>791.16280598234266</v>
      </c>
      <c r="AN48" s="59">
        <f ca="1">AVERAGE(OFFSET($AM$3,0,0,'Données projet'!$E$10+1,1))-AVERAGE(OFFSET($H$3,0,0,'Données projet'!$E$10+1,1))</f>
        <v>348.62416478262719</v>
      </c>
      <c r="AO48" s="59">
        <f t="shared" si="36"/>
        <v>371.70674704563288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57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9.8410904027759774</v>
      </c>
      <c r="AV48" s="21">
        <f>EXP(-LN(2)/25)*AV47+(1-EXP(-LN(2)/25))/(LN(2)/25)*Calculateur!AQ48*Calculateur!AS48*VLOOKUP('Données projet'!$B$10,Paramètres!$A$1:$I$89,3,0)*0.475*44/12</f>
        <v>8.0542774476542363</v>
      </c>
      <c r="AW48" s="21">
        <f>EXP(-LN(2)/2)*AW47+(1-EXP(-LN(2)/2))/(LN(2)/2)*AQ48*AT48*VLOOKUP('Données projet'!$B$10,Paramètres!$A$1:$I$89,3,0)*0.475*44/12</f>
        <v>6.8807869716155781E-2</v>
      </c>
      <c r="AX48" s="21">
        <f t="shared" si="6"/>
        <v>17.964175720146368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204.00000000000003</v>
      </c>
      <c r="BE48" s="13">
        <f>BD48*VLOOKUP('Données projet'!$B$11,Paramètres!$A$1:$I$89,3,0)*VLOOKUP('Données projet'!$B$11,Paramètres!$A$1:$I$89,5,0)</f>
        <v>184.57920000000001</v>
      </c>
      <c r="BF48" s="13">
        <f t="shared" si="37"/>
        <v>46.339479465836661</v>
      </c>
      <c r="BG48" s="20">
        <f t="shared" si="7"/>
        <v>402.18336673633218</v>
      </c>
      <c r="BH48" s="59">
        <f t="shared" si="8"/>
        <v>695.51670006966549</v>
      </c>
      <c r="BI48" s="59">
        <f ca="1">AVERAGE(OFFSET($BH$3,0,0,'Données projet'!$E$11+1,1))-AVERAGE(OFFSET($H$3,0,0,'Données projet'!$E$11+1,1))</f>
        <v>405.7176439604217</v>
      </c>
      <c r="BJ48" s="59">
        <f t="shared" si="38"/>
        <v>278.21741231699929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5.4301534306477386</v>
      </c>
      <c r="BQ48" s="21">
        <f>EXP(-LN(2)/25)*BQ47+(1-EXP(-LN(2)/25))/(LN(2)/25)*Calculateur!BL48*Calculateur!BN48*VLOOKUP('Données projet'!$B$11,Paramètres!$A$1:$I$89,3,0)*0.475*44/12</f>
        <v>6.1784414938927004</v>
      </c>
      <c r="BR48" s="21">
        <f>EXP(-LN(2)/2)*BR47+(1-EXP(-LN(2)/2))/(LN(2)/2)*BL48*BO48*VLOOKUP('Données projet'!$B$11,Paramètres!$A$1:$I$89,3,0)*0.475*44/12</f>
        <v>4.7148734376661186E-2</v>
      </c>
      <c r="BS48" s="22">
        <f t="shared" si="9"/>
        <v>11.6557436589171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223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223.00000000000009</v>
      </c>
      <c r="BZ48" s="13">
        <f>BY48*VLOOKUP('Données projet'!$B$12,Paramètres!$A$1:$I$89,3,0)*VLOOKUP('Données projet'!$B$12,Paramètres!$A$1:$I$89,5,0)</f>
        <v>194.81280000000012</v>
      </c>
      <c r="CA48" s="13">
        <f t="shared" si="39"/>
        <v>48.602440540253902</v>
      </c>
      <c r="CB48" s="20">
        <f t="shared" si="10"/>
        <v>423.9482106076091</v>
      </c>
      <c r="CC48" s="59">
        <f t="shared" si="11"/>
        <v>717.28154394094236</v>
      </c>
      <c r="CD48" s="59">
        <f ca="1">AVERAGE(OFFSET($CC$3,0,0,'Données projet'!$E$12+1,1))-AVERAGE(OFFSET($H$3,0,0,'Données projet'!$E$12+1,1))</f>
        <v>321.23599968992932</v>
      </c>
      <c r="CE48" s="59">
        <f t="shared" si="40"/>
        <v>388.05195847800502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36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2.7151761376924033</v>
      </c>
      <c r="CL48" s="21">
        <f>EXP(-LN(2)/25)*CL47+(1-EXP(-LN(2)/25))/(LN(2)/25)*Calculateur!CG48*Calculateur!CI48*VLOOKUP('Données projet'!$B$12,Paramètres!$A$1:$I$89,3,0)*0.475*44/12</f>
        <v>13.920479131861397</v>
      </c>
      <c r="CM48" s="21">
        <f>EXP(-LN(2)/2)*CM47+(1-EXP(-LN(2)/2))/(LN(2)/2)*CG48*CJ48*VLOOKUP('Données projet'!$B$12,Paramètres!$A$1:$I$89,3,0)*0.475*44/12</f>
        <v>6.6638643315698923E-2</v>
      </c>
      <c r="CN48" s="22">
        <f t="shared" si="12"/>
        <v>16.7022939128695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8.3333333333333339</v>
      </c>
      <c r="CT48" s="12">
        <f>IF('Données projet'!$A$140&gt;35,CT47+CS48-DB47,IF(A48&lt;'Données projet'!$A$140,$CQ$205^A48,IF(A48='Données projet'!$A$140,'Données projet'!$B$140,CT47+CS48-DB47)))</f>
        <v>131.99999999999994</v>
      </c>
      <c r="CU48" s="17">
        <f>CT48*VLOOKUP('Données projet'!$B$13,Paramètres!$A$1:$I$89,3,0)*VLOOKUP('Données projet'!$B$13,Paramètres!$A$1:$I$89,5,0)</f>
        <v>127.67039999999994</v>
      </c>
      <c r="CV48" s="13">
        <f t="shared" si="41"/>
        <v>33.457491972285482</v>
      </c>
      <c r="CW48" s="20">
        <f t="shared" si="13"/>
        <v>280.63107851839709</v>
      </c>
      <c r="CX48" s="59">
        <f t="shared" si="14"/>
        <v>573.96441185173035</v>
      </c>
      <c r="CY48" s="59">
        <f ca="1">AVERAGE(OFFSET($CX$3,0,0,'Données projet'!$E$13+1,1))-AVERAGE(OFFSET($H$3,0,0,'Données projet'!$E$13+1,1))</f>
        <v>399.24912109442175</v>
      </c>
      <c r="CZ48" s="59">
        <f t="shared" si="42"/>
        <v>269.83150082245305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8.3333333333333339</v>
      </c>
      <c r="DO48" s="12">
        <f>IF('Données projet'!$A$166&gt;35,DO47+DN48-DW47,IF(A48&lt;'Données projet'!$A$166,$DL$205^A48,IF(A48='Données projet'!$A$166,'Données projet'!$B$166,DO47+DN48-DW47)))</f>
        <v>131.99999999999994</v>
      </c>
      <c r="DP48" s="17">
        <f>DO48*VLOOKUP('Données projet'!$B$14,Paramètres!$A$1:$I$89,3,0)*VLOOKUP('Données projet'!$B$14,Paramètres!$A$1:$I$89,5,0)</f>
        <v>142.08479999999994</v>
      </c>
      <c r="DQ48" s="13">
        <f t="shared" si="43"/>
        <v>36.77419224965486</v>
      </c>
      <c r="DR48" s="20">
        <f t="shared" si="16"/>
        <v>311.51274483481546</v>
      </c>
      <c r="DS48" s="59">
        <f t="shared" si="17"/>
        <v>604.84607816814878</v>
      </c>
      <c r="DT48" s="59">
        <f ca="1">AVERAGE(OFFSET($DS$3,0,0,'Données projet'!$E$14+1,1))-AVERAGE(OFFSET($H$3,0,0,'Données projet'!$E$14+1,1))</f>
        <v>439.66981240211362</v>
      </c>
      <c r="DU48" s="59">
        <f t="shared" si="44"/>
        <v>295.47805371292458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8.3333333333333339</v>
      </c>
      <c r="EJ48" s="12">
        <f>IF('Données projet'!$A$192&gt;35,EJ47+EI48-ER47,IF(A48&lt;'Données projet'!$A$192,$EG$205^A48,IF(A48='Données projet'!$A$192,'Données projet'!$B$192,EJ47+EI48-ER47)))</f>
        <v>131.99999999999994</v>
      </c>
      <c r="EK48" s="17">
        <f>EJ48*VLOOKUP('Données projet'!$B$15,Paramètres!$A$1:$I$89,3,0)*VLOOKUP('Données projet'!$B$15,Paramètres!$A$1:$I$89,5,0)</f>
        <v>125.61119999999995</v>
      </c>
      <c r="EL48" s="13">
        <f t="shared" si="45"/>
        <v>32.980218439694823</v>
      </c>
      <c r="EM48" s="20">
        <f t="shared" si="19"/>
        <v>276.21338711580171</v>
      </c>
      <c r="EN48" s="59">
        <f t="shared" si="20"/>
        <v>569.54672044913502</v>
      </c>
      <c r="EO48" s="59">
        <f ca="1">AVERAGE(OFFSET($EN$3,0,0,'Données projet'!$E$15+1,1))-AVERAGE(OFFSET($H$3,0,0,'Données projet'!$E$15+1,1))</f>
        <v>393.46715670823653</v>
      </c>
      <c r="EP48" s="59">
        <f t="shared" si="46"/>
        <v>266.16261355327214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2393</v>
      </c>
      <c r="L49" s="12">
        <f>VLOOKUP(A49,'Données projet'!$A$35:$I$55,9,0)</f>
        <v>359.83333333333331</v>
      </c>
      <c r="M49" s="12">
        <f t="array" ref="M49">INDEX(L:L,MIN(IF(ISNUMBER(L49:L245),ROW(L49:L245),"")))</f>
        <v>359.83333333333331</v>
      </c>
      <c r="N49" s="13">
        <f>IF('Données projet'!$A$36&gt;35,N48+M49-V48,IF(A49&lt;'Données projet'!$A$36,$K$205^A49,IF(A49='Données projet'!$A$36,'Données projet'!$B$36,N48+M49-V48)))</f>
        <v>2393</v>
      </c>
      <c r="O49" s="13">
        <f>N49*VLOOKUP('Données projet'!$B$9,Paramètres!$A$1:$I$89,3,0)*VLOOKUP('Données projet'!$B$9,Paramètres!$A$1:$I$89,5,0)</f>
        <v>1431.0140000000001</v>
      </c>
      <c r="P49" s="13">
        <f t="shared" si="33"/>
        <v>283.06032406207993</v>
      </c>
      <c r="Q49" s="20">
        <f t="shared" si="53"/>
        <v>2985.3461144081225</v>
      </c>
      <c r="R49" s="59">
        <f t="shared" si="0"/>
        <v>3278.679447741456</v>
      </c>
      <c r="S49" s="59">
        <f ca="1">AVERAGE(OFFSET($R$3,0,0,'Données projet'!$E$9+1,1))-AVERAGE(OFFSET($H$3,0,0,'Données projet'!$E$9+1,1))</f>
        <v>549.43232095729741</v>
      </c>
      <c r="T49" s="59">
        <f t="shared" si="34"/>
        <v>280.26155987300996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9.1262130050999026</v>
      </c>
      <c r="AA49" s="21">
        <f>EXP(-LN(2)/25)*AA48+(1-EXP(-LN(2)/25))/(LN(2)/25)*Calculateur!V49*Calculateur!X49*VLOOKUP('Données projet'!$B$9,Paramètres!$A$1:$I$89,3,0)*0.475*44/12</f>
        <v>6.1333676050130022</v>
      </c>
      <c r="AB49" s="21">
        <f>EXP(-LN(2)/2)*AB48+(1-EXP(-LN(2)/2))/(LN(2)/2)*V49*Y49*VLOOKUP('Données projet'!$B$9,Paramètres!$A$1:$I$89,3,0)*0.475*44/12</f>
        <v>1.7598410161937503E-2</v>
      </c>
      <c r="AC49" s="22">
        <f t="shared" si="3"/>
        <v>15.277179020274843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344.40000000000015</v>
      </c>
      <c r="AJ49" s="13">
        <f>AI49*VLOOKUP('Données projet'!$B$10,Paramètres!$A$1:$I$89,3,0)*VLOOKUP('Données projet'!$B$10,Paramètres!$A$1:$I$89,5,0)</f>
        <v>205.95120000000009</v>
      </c>
      <c r="AK49" s="13">
        <f t="shared" si="35"/>
        <v>51.049821044529857</v>
      </c>
      <c r="AL49" s="20">
        <f t="shared" si="4"/>
        <v>447.61011165255627</v>
      </c>
      <c r="AM49" s="59">
        <f t="shared" si="5"/>
        <v>740.94344498588953</v>
      </c>
      <c r="AN49" s="59">
        <f ca="1">AVERAGE(OFFSET($AM$3,0,0,'Données projet'!$E$10+1,1))-AVERAGE(OFFSET($H$3,0,0,'Données projet'!$E$10+1,1))</f>
        <v>348.62416478262719</v>
      </c>
      <c r="AO49" s="59">
        <f t="shared" si="36"/>
        <v>371.70674704563288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9.6481126224499913</v>
      </c>
      <c r="AV49" s="21">
        <f>EXP(-LN(2)/25)*AV48+(1-EXP(-LN(2)/25))/(LN(2)/25)*Calculateur!AQ49*Calculateur!AS49*VLOOKUP('Données projet'!$B$10,Paramètres!$A$1:$I$89,3,0)*0.475*44/12</f>
        <v>7.8340328072920888</v>
      </c>
      <c r="AW49" s="21">
        <f>EXP(-LN(2)/2)*AW48+(1-EXP(-LN(2)/2))/(LN(2)/2)*AQ49*AT49*VLOOKUP('Données projet'!$B$10,Paramètres!$A$1:$I$89,3,0)*0.475*44/12</f>
        <v>4.8654511275294236E-2</v>
      </c>
      <c r="AX49" s="21">
        <f t="shared" si="6"/>
        <v>17.530799941017374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187.00000000000003</v>
      </c>
      <c r="BE49" s="13">
        <f>BD49*VLOOKUP('Données projet'!$B$11,Paramètres!$A$1:$I$89,3,0)*VLOOKUP('Données projet'!$B$11,Paramètres!$A$1:$I$89,5,0)</f>
        <v>169.19760000000002</v>
      </c>
      <c r="BF49" s="13">
        <f t="shared" si="37"/>
        <v>42.910263223432885</v>
      </c>
      <c r="BG49" s="20">
        <f t="shared" si="7"/>
        <v>369.42119511414558</v>
      </c>
      <c r="BH49" s="59">
        <f t="shared" si="8"/>
        <v>662.75452844747883</v>
      </c>
      <c r="BI49" s="59">
        <f ca="1">AVERAGE(OFFSET($BH$3,0,0,'Données projet'!$E$11+1,1))-AVERAGE(OFFSET($H$3,0,0,'Données projet'!$E$11+1,1))</f>
        <v>405.7176439604217</v>
      </c>
      <c r="BJ49" s="59">
        <f t="shared" si="38"/>
        <v>278.21741231699929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5.3236714339392899</v>
      </c>
      <c r="BQ49" s="21">
        <f>EXP(-LN(2)/25)*BQ48+(1-EXP(-LN(2)/25))/(LN(2)/25)*Calculateur!BL49*Calculateur!BN49*VLOOKUP('Données projet'!$B$11,Paramètres!$A$1:$I$89,3,0)*0.475*44/12</f>
        <v>6.0094916863320877</v>
      </c>
      <c r="BR49" s="21">
        <f>EXP(-LN(2)/2)*BR48+(1-EXP(-LN(2)/2))/(LN(2)/2)*BL49*BO49*VLOOKUP('Données projet'!$B$11,Paramètres!$A$1:$I$89,3,0)*0.475*44/12</f>
        <v>3.3339189802100412E-2</v>
      </c>
      <c r="BS49" s="22">
        <f t="shared" si="9"/>
        <v>11.366502310073479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8.8000000000000007</v>
      </c>
      <c r="BY49" s="12">
        <f>IF('Données projet'!$A$114&gt;35,BY48+BX49-CG48,IF(A49&lt;'Données projet'!$A$114,$BV$205^A49,IF(A49='Données projet'!$A$114,'Données projet'!$B$114,BY48+BX49-CG48)))</f>
        <v>195.8000000000001</v>
      </c>
      <c r="BZ49" s="13">
        <f>BY49*VLOOKUP('Données projet'!$B$12,Paramètres!$A$1:$I$89,3,0)*VLOOKUP('Données projet'!$B$12,Paramètres!$A$1:$I$89,5,0)</f>
        <v>171.05088000000012</v>
      </c>
      <c r="CA49" s="13">
        <f t="shared" si="39"/>
        <v>43.325301264581704</v>
      </c>
      <c r="CB49" s="20">
        <f t="shared" si="10"/>
        <v>373.37184903581334</v>
      </c>
      <c r="CC49" s="59">
        <f t="shared" si="11"/>
        <v>666.70518236914666</v>
      </c>
      <c r="CD49" s="59">
        <f ca="1">AVERAGE(OFFSET($CC$3,0,0,'Données projet'!$E$12+1,1))-AVERAGE(OFFSET($H$3,0,0,'Données projet'!$E$12+1,1))</f>
        <v>321.23599968992932</v>
      </c>
      <c r="CE49" s="59">
        <f t="shared" si="40"/>
        <v>388.05195847800502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2.6619331897261738</v>
      </c>
      <c r="CL49" s="21">
        <f>EXP(-LN(2)/25)*CL48+(1-EXP(-LN(2)/25))/(LN(2)/25)*Calculateur!CG49*Calculateur!CI49*VLOOKUP('Données projet'!$B$12,Paramètres!$A$1:$I$89,3,0)*0.475*44/12</f>
        <v>13.539822897954465</v>
      </c>
      <c r="CM49" s="21">
        <f>EXP(-LN(2)/2)*CM48+(1-EXP(-LN(2)/2))/(LN(2)/2)*CG49*CJ49*VLOOKUP('Données projet'!$B$12,Paramètres!$A$1:$I$89,3,0)*0.475*44/12</f>
        <v>4.7120636577602307E-2</v>
      </c>
      <c r="CN49" s="22">
        <f t="shared" si="12"/>
        <v>16.248876724258242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8.3333333333333339</v>
      </c>
      <c r="CT49" s="12">
        <f>IF('Données projet'!$A$140&gt;35,CT48+CS49-DB48,IF(A49&lt;'Données projet'!$A$140,$CQ$205^A49,IF(A49='Données projet'!$A$140,'Données projet'!$B$140,CT48+CS49-DB48)))</f>
        <v>140.33333333333329</v>
      </c>
      <c r="CU49" s="17">
        <f>CT49*VLOOKUP('Données projet'!$B$13,Paramètres!$A$1:$I$89,3,0)*VLOOKUP('Données projet'!$B$13,Paramètres!$A$1:$I$89,5,0)</f>
        <v>135.73039999999995</v>
      </c>
      <c r="CV49" s="13">
        <f t="shared" si="41"/>
        <v>35.317143991657531</v>
      </c>
      <c r="CW49" s="20">
        <f t="shared" si="13"/>
        <v>297.90780578547009</v>
      </c>
      <c r="CX49" s="59">
        <f t="shared" si="14"/>
        <v>591.2411391188034</v>
      </c>
      <c r="CY49" s="59">
        <f ca="1">AVERAGE(OFFSET($CX$3,0,0,'Données projet'!$E$13+1,1))-AVERAGE(OFFSET($H$3,0,0,'Données projet'!$E$13+1,1))</f>
        <v>399.24912109442175</v>
      </c>
      <c r="CZ49" s="59">
        <f t="shared" si="42"/>
        <v>269.83150082245305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8.3333333333333339</v>
      </c>
      <c r="DO49" s="12">
        <f>IF('Données projet'!$A$166&gt;35,DO48+DN49-DW48,IF(A49&lt;'Données projet'!$A$166,$DL$205^A49,IF(A49='Données projet'!$A$166,'Données projet'!$B$166,DO48+DN49-DW48)))</f>
        <v>140.33333333333329</v>
      </c>
      <c r="DP49" s="17">
        <f>DO49*VLOOKUP('Données projet'!$B$14,Paramètres!$A$1:$I$89,3,0)*VLOOKUP('Données projet'!$B$14,Paramètres!$A$1:$I$89,5,0)</f>
        <v>151.05479999999994</v>
      </c>
      <c r="DQ49" s="13">
        <f t="shared" si="43"/>
        <v>38.818194858532301</v>
      </c>
      <c r="DR49" s="20">
        <f t="shared" si="16"/>
        <v>330.69546604527699</v>
      </c>
      <c r="DS49" s="59">
        <f t="shared" si="17"/>
        <v>624.0287993786103</v>
      </c>
      <c r="DT49" s="59">
        <f ca="1">AVERAGE(OFFSET($DS$3,0,0,'Données projet'!$E$14+1,1))-AVERAGE(OFFSET($H$3,0,0,'Données projet'!$E$14+1,1))</f>
        <v>439.66981240211362</v>
      </c>
      <c r="DU49" s="59">
        <f t="shared" si="44"/>
        <v>295.47805371292458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8.3333333333333339</v>
      </c>
      <c r="EJ49" s="12">
        <f>IF('Données projet'!$A$192&gt;35,EJ48+EI49-ER48,IF(A49&lt;'Données projet'!$A$192,$EG$205^A49,IF(A49='Données projet'!$A$192,'Données projet'!$B$192,EJ48+EI49-ER48)))</f>
        <v>140.33333333333329</v>
      </c>
      <c r="EK49" s="17">
        <f>EJ49*VLOOKUP('Données projet'!$B$15,Paramètres!$A$1:$I$89,3,0)*VLOOKUP('Données projet'!$B$15,Paramètres!$A$1:$I$89,5,0)</f>
        <v>133.54119999999995</v>
      </c>
      <c r="EL49" s="13">
        <f t="shared" si="45"/>
        <v>34.813342389078535</v>
      </c>
      <c r="EM49" s="20">
        <f t="shared" si="19"/>
        <v>293.21749466097839</v>
      </c>
      <c r="EN49" s="59">
        <f t="shared" si="20"/>
        <v>586.5508279943117</v>
      </c>
      <c r="EO49" s="59">
        <f ca="1">AVERAGE(OFFSET($EN$3,0,0,'Données projet'!$E$15+1,1))-AVERAGE(OFFSET($H$3,0,0,'Données projet'!$E$15+1,1))</f>
        <v>393.46715670823653</v>
      </c>
      <c r="EP49" s="59">
        <f t="shared" si="46"/>
        <v>266.16261355327214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-256.625</v>
      </c>
      <c r="N50" s="13">
        <f>IF('Données projet'!$A$36&gt;35,N49+M50-V49,IF(A50&lt;'Données projet'!$A$36,$K$205^A50,IF(A50='Données projet'!$A$36,'Données projet'!$B$36,N49+M50-V49)))</f>
        <v>2107.375</v>
      </c>
      <c r="O50" s="13">
        <f>N50*VLOOKUP('Données projet'!$B$9,Paramètres!$A$1:$I$89,3,0)*VLOOKUP('Données projet'!$B$9,Paramètres!$A$1:$I$89,5,0)</f>
        <v>1260.2102500000001</v>
      </c>
      <c r="P50" s="13">
        <f t="shared" si="33"/>
        <v>252.99008818758367</v>
      </c>
      <c r="Q50" s="20">
        <f t="shared" si="53"/>
        <v>2635.4905890100417</v>
      </c>
      <c r="R50" s="59">
        <f t="shared" si="0"/>
        <v>2928.8239223433752</v>
      </c>
      <c r="S50" s="59">
        <f ca="1">AVERAGE(OFFSET($R$3,0,0,'Données projet'!$E$9+1,1))-AVERAGE(OFFSET($H$3,0,0,'Données projet'!$E$9+1,1))</f>
        <v>549.43232095729741</v>
      </c>
      <c r="T50" s="59">
        <f t="shared" si="34"/>
        <v>280.26155987300996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8.9472535345101871</v>
      </c>
      <c r="AA50" s="21">
        <f>EXP(-LN(2)/25)*AA49+(1-EXP(-LN(2)/25))/(LN(2)/25)*Calculateur!V50*Calculateur!X50*VLOOKUP('Données projet'!$B$9,Paramètres!$A$1:$I$89,3,0)*0.475*44/12</f>
        <v>5.9656503453141374</v>
      </c>
      <c r="AB50" s="21">
        <f>EXP(-LN(2)/2)*AB49+(1-EXP(-LN(2)/2))/(LN(2)/2)*V50*Y50*VLOOKUP('Données projet'!$B$9,Paramètres!$A$1:$I$89,3,0)*0.475*44/12</f>
        <v>1.2443955163608257E-2</v>
      </c>
      <c r="AC50" s="22">
        <f t="shared" si="3"/>
        <v>14.925347834987932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361.80000000000013</v>
      </c>
      <c r="AJ50" s="13">
        <f>AI50*VLOOKUP('Données projet'!$B$10,Paramètres!$A$1:$I$89,3,0)*VLOOKUP('Données projet'!$B$10,Paramètres!$A$1:$I$89,5,0)</f>
        <v>216.35640000000006</v>
      </c>
      <c r="AK50" s="13">
        <f t="shared" si="35"/>
        <v>53.322199188237285</v>
      </c>
      <c r="AL50" s="20">
        <f t="shared" si="4"/>
        <v>469.69022691951341</v>
      </c>
      <c r="AM50" s="59">
        <f t="shared" si="5"/>
        <v>763.02356025284666</v>
      </c>
      <c r="AN50" s="59">
        <f ca="1">AVERAGE(OFFSET($AM$3,0,0,'Données projet'!$E$10+1,1))-AVERAGE(OFFSET($H$3,0,0,'Données projet'!$E$10+1,1))</f>
        <v>348.62416478262719</v>
      </c>
      <c r="AO50" s="59">
        <f t="shared" si="36"/>
        <v>371.70674704563288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9.4589190186913736</v>
      </c>
      <c r="AV50" s="21">
        <f>EXP(-LN(2)/25)*AV49+(1-EXP(-LN(2)/25))/(LN(2)/25)*Calculateur!AQ50*Calculateur!AS50*VLOOKUP('Données projet'!$B$10,Paramètres!$A$1:$I$89,3,0)*0.475*44/12</f>
        <v>7.6198107682028065</v>
      </c>
      <c r="AW50" s="21">
        <f>EXP(-LN(2)/2)*AW49+(1-EXP(-LN(2)/2))/(LN(2)/2)*AQ50*AT50*VLOOKUP('Données projet'!$B$10,Paramètres!$A$1:$I$89,3,0)*0.475*44/12</f>
        <v>3.4403934858077891E-2</v>
      </c>
      <c r="AX50" s="21">
        <f t="shared" si="6"/>
        <v>17.113133721752256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198.00000000000003</v>
      </c>
      <c r="BE50" s="13">
        <f>BD50*VLOOKUP('Données projet'!$B$11,Paramètres!$A$1:$I$89,3,0)*VLOOKUP('Données projet'!$B$11,Paramètres!$A$1:$I$89,5,0)</f>
        <v>179.15040000000002</v>
      </c>
      <c r="BF50" s="13">
        <f t="shared" si="37"/>
        <v>45.133113803437304</v>
      </c>
      <c r="BG50" s="20">
        <f t="shared" si="7"/>
        <v>390.62711987431999</v>
      </c>
      <c r="BH50" s="59">
        <f t="shared" si="8"/>
        <v>683.96045320765325</v>
      </c>
      <c r="BI50" s="59">
        <f ca="1">AVERAGE(OFFSET($BH$3,0,0,'Données projet'!$E$11+1,1))-AVERAGE(OFFSET($H$3,0,0,'Données projet'!$E$11+1,1))</f>
        <v>405.7176439604217</v>
      </c>
      <c r="BJ50" s="59">
        <f t="shared" si="38"/>
        <v>278.21741231699929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5.2192774842386891</v>
      </c>
      <c r="BQ50" s="21">
        <f>EXP(-LN(2)/25)*BQ49+(1-EXP(-LN(2)/25))/(LN(2)/25)*Calculateur!BL50*Calculateur!BN50*VLOOKUP('Données projet'!$B$11,Paramètres!$A$1:$I$89,3,0)*0.475*44/12</f>
        <v>5.845161820143904</v>
      </c>
      <c r="BR50" s="21">
        <f>EXP(-LN(2)/2)*BR49+(1-EXP(-LN(2)/2))/(LN(2)/2)*BL50*BO50*VLOOKUP('Données projet'!$B$11,Paramètres!$A$1:$I$89,3,0)*0.475*44/12</f>
        <v>2.3574367188330593E-2</v>
      </c>
      <c r="BS50" s="22">
        <f t="shared" si="9"/>
        <v>11.088013671570923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8.8000000000000007</v>
      </c>
      <c r="BY50" s="12">
        <f>IF('Données projet'!$A$114&gt;35,BY49+BX50-CG49,IF(A50&lt;'Données projet'!$A$114,$BV$205^A50,IF(A50='Données projet'!$A$114,'Données projet'!$B$114,BY49+BX50-CG49)))</f>
        <v>204.60000000000011</v>
      </c>
      <c r="BZ50" s="13">
        <f>BY50*VLOOKUP('Données projet'!$B$12,Paramètres!$A$1:$I$89,3,0)*VLOOKUP('Données projet'!$B$12,Paramètres!$A$1:$I$89,5,0)</f>
        <v>178.73856000000012</v>
      </c>
      <c r="CA50" s="13">
        <f t="shared" si="39"/>
        <v>45.041424241265368</v>
      </c>
      <c r="CB50" s="20">
        <f t="shared" si="10"/>
        <v>389.75013922020406</v>
      </c>
      <c r="CC50" s="59">
        <f t="shared" si="11"/>
        <v>683.08347255353738</v>
      </c>
      <c r="CD50" s="59">
        <f ca="1">AVERAGE(OFFSET($CC$3,0,0,'Données projet'!$E$12+1,1))-AVERAGE(OFFSET($H$3,0,0,'Données projet'!$E$12+1,1))</f>
        <v>321.23599968992932</v>
      </c>
      <c r="CE50" s="59">
        <f t="shared" si="40"/>
        <v>388.05195847800502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2.6097343034945704</v>
      </c>
      <c r="CL50" s="21">
        <f>EXP(-LN(2)/25)*CL49+(1-EXP(-LN(2)/25))/(LN(2)/25)*Calculateur!CG50*Calculateur!CI50*VLOOKUP('Données projet'!$B$12,Paramètres!$A$1:$I$89,3,0)*0.475*44/12</f>
        <v>13.16957572878156</v>
      </c>
      <c r="CM50" s="21">
        <f>EXP(-LN(2)/2)*CM49+(1-EXP(-LN(2)/2))/(LN(2)/2)*CG50*CJ50*VLOOKUP('Données projet'!$B$12,Paramètres!$A$1:$I$89,3,0)*0.475*44/12</f>
        <v>3.3319321657849461E-2</v>
      </c>
      <c r="CN50" s="22">
        <f t="shared" si="12"/>
        <v>15.812629353933978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8.3333333333333339</v>
      </c>
      <c r="CT50" s="12">
        <f>IF('Données projet'!$A$140&gt;35,CT49+CS50-DB49,IF(A50&lt;'Données projet'!$A$140,$CQ$205^A50,IF(A50='Données projet'!$A$140,'Données projet'!$B$140,CT49+CS50-DB49)))</f>
        <v>148.66666666666663</v>
      </c>
      <c r="CU50" s="17">
        <f>CT50*VLOOKUP('Données projet'!$B$13,Paramètres!$A$1:$I$89,3,0)*VLOOKUP('Données projet'!$B$13,Paramètres!$A$1:$I$89,5,0)</f>
        <v>143.79039999999995</v>
      </c>
      <c r="CV50" s="13">
        <f t="shared" si="41"/>
        <v>37.163978255799634</v>
      </c>
      <c r="CW50" s="20">
        <f t="shared" si="13"/>
        <v>315.16220879551764</v>
      </c>
      <c r="CX50" s="59">
        <f t="shared" si="14"/>
        <v>608.49554212885096</v>
      </c>
      <c r="CY50" s="59">
        <f ca="1">AVERAGE(OFFSET($CX$3,0,0,'Données projet'!$E$13+1,1))-AVERAGE(OFFSET($H$3,0,0,'Données projet'!$E$13+1,1))</f>
        <v>399.24912109442175</v>
      </c>
      <c r="CZ50" s="59">
        <f t="shared" si="42"/>
        <v>269.83150082245305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8.3333333333333339</v>
      </c>
      <c r="DO50" s="12">
        <f>IF('Données projet'!$A$166&gt;35,DO49+DN50-DW49,IF(A50&lt;'Données projet'!$A$166,$DL$205^A50,IF(A50='Données projet'!$A$166,'Données projet'!$B$166,DO49+DN50-DW49)))</f>
        <v>148.66666666666663</v>
      </c>
      <c r="DP50" s="17">
        <f>DO50*VLOOKUP('Données projet'!$B$14,Paramètres!$A$1:$I$89,3,0)*VLOOKUP('Données projet'!$B$14,Paramètres!$A$1:$I$89,5,0)</f>
        <v>160.02479999999997</v>
      </c>
      <c r="DQ50" s="13">
        <f t="shared" si="43"/>
        <v>40.84810906546295</v>
      </c>
      <c r="DR50" s="20">
        <f t="shared" si="16"/>
        <v>349.85364995568125</v>
      </c>
      <c r="DS50" s="59">
        <f t="shared" si="17"/>
        <v>643.18698328901451</v>
      </c>
      <c r="DT50" s="59">
        <f ca="1">AVERAGE(OFFSET($DS$3,0,0,'Données projet'!$E$14+1,1))-AVERAGE(OFFSET($H$3,0,0,'Données projet'!$E$14+1,1))</f>
        <v>439.66981240211362</v>
      </c>
      <c r="DU50" s="59">
        <f t="shared" si="44"/>
        <v>295.47805371292458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8.3333333333333339</v>
      </c>
      <c r="EJ50" s="12">
        <f>IF('Données projet'!$A$192&gt;35,EJ49+EI50-ER49,IF(A50&lt;'Données projet'!$A$192,$EG$205^A50,IF(A50='Données projet'!$A$192,'Données projet'!$B$192,EJ49+EI50-ER49)))</f>
        <v>148.66666666666663</v>
      </c>
      <c r="EK50" s="17">
        <f>EJ50*VLOOKUP('Données projet'!$B$15,Paramètres!$A$1:$I$89,3,0)*VLOOKUP('Données projet'!$B$15,Paramètres!$A$1:$I$89,5,0)</f>
        <v>141.47119999999995</v>
      </c>
      <c r="EL50" s="13">
        <f t="shared" si="45"/>
        <v>36.633831429433791</v>
      </c>
      <c r="EM50" s="20">
        <f t="shared" si="19"/>
        <v>310.19959640626377</v>
      </c>
      <c r="EN50" s="59">
        <f t="shared" si="20"/>
        <v>603.53292973959708</v>
      </c>
      <c r="EO50" s="59">
        <f ca="1">AVERAGE(OFFSET($EN$3,0,0,'Données projet'!$E$15+1,1))-AVERAGE(OFFSET($H$3,0,0,'Données projet'!$E$15+1,1))</f>
        <v>393.46715670823653</v>
      </c>
      <c r="EP50" s="59">
        <f t="shared" si="46"/>
        <v>266.16261355327214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-256.625</v>
      </c>
      <c r="N51" s="13">
        <f>IF('Données projet'!$A$36&gt;35,N50+M51-V50,IF(A51&lt;'Données projet'!$A$36,$K$205^A51,IF(A51='Données projet'!$A$36,'Données projet'!$B$36,N50+M51-V50)))</f>
        <v>1850.75</v>
      </c>
      <c r="O51" s="13">
        <f>N51*VLOOKUP('Données projet'!$B$9,Paramètres!$A$1:$I$89,3,0)*VLOOKUP('Données projet'!$B$9,Paramètres!$A$1:$I$89,5,0)</f>
        <v>1106.7485000000001</v>
      </c>
      <c r="P51" s="13">
        <f t="shared" si="33"/>
        <v>225.56603732420112</v>
      </c>
      <c r="Q51" s="20">
        <f t="shared" si="53"/>
        <v>2320.4478191729836</v>
      </c>
      <c r="R51" s="59">
        <f t="shared" si="0"/>
        <v>2613.7811525063171</v>
      </c>
      <c r="S51" s="59">
        <f ca="1">AVERAGE(OFFSET($R$3,0,0,'Données projet'!$E$9+1,1))-AVERAGE(OFFSET($H$3,0,0,'Données projet'!$E$9+1,1))</f>
        <v>549.43232095729741</v>
      </c>
      <c r="T51" s="59">
        <f t="shared" si="34"/>
        <v>280.26155987300996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8.7718033499842356</v>
      </c>
      <c r="AA51" s="21">
        <f>EXP(-LN(2)/25)*AA50+(1-EXP(-LN(2)/25))/(LN(2)/25)*Calculateur!V51*Calculateur!X51*VLOOKUP('Données projet'!$B$9,Paramètres!$A$1:$I$89,3,0)*0.475*44/12</f>
        <v>5.8025193229016052</v>
      </c>
      <c r="AB51" s="21">
        <f>EXP(-LN(2)/2)*AB50+(1-EXP(-LN(2)/2))/(LN(2)/2)*V51*Y51*VLOOKUP('Données projet'!$B$9,Paramètres!$A$1:$I$89,3,0)*0.475*44/12</f>
        <v>8.7992050809687517E-3</v>
      </c>
      <c r="AC51" s="22">
        <f t="shared" si="3"/>
        <v>14.583121877966811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379.2000000000001</v>
      </c>
      <c r="AJ51" s="13">
        <f>AI51*VLOOKUP('Données projet'!$B$10,Paramètres!$A$1:$I$89,3,0)*VLOOKUP('Données projet'!$B$10,Paramètres!$A$1:$I$89,5,0)</f>
        <v>226.76160000000007</v>
      </c>
      <c r="AK51" s="13">
        <f t="shared" si="35"/>
        <v>55.581886910575967</v>
      </c>
      <c r="AL51" s="20">
        <f t="shared" si="4"/>
        <v>491.74823970258649</v>
      </c>
      <c r="AM51" s="59">
        <f t="shared" si="5"/>
        <v>785.08157303591975</v>
      </c>
      <c r="AN51" s="59">
        <f ca="1">AVERAGE(OFFSET($AM$3,0,0,'Données projet'!$E$10+1,1))-AVERAGE(OFFSET($H$3,0,0,'Données projet'!$E$10+1,1))</f>
        <v>348.62416478262719</v>
      </c>
      <c r="AO51" s="59">
        <f t="shared" si="36"/>
        <v>371.70674704563288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9.2734353861057599</v>
      </c>
      <c r="AV51" s="21">
        <f>EXP(-LN(2)/25)*AV50+(1-EXP(-LN(2)/25))/(LN(2)/25)*Calculateur!AQ51*Calculateur!AS51*VLOOKUP('Données projet'!$B$10,Paramètres!$A$1:$I$89,3,0)*0.475*44/12</f>
        <v>7.411446642037868</v>
      </c>
      <c r="AW51" s="21">
        <f>EXP(-LN(2)/2)*AW50+(1-EXP(-LN(2)/2))/(LN(2)/2)*AQ51*AT51*VLOOKUP('Données projet'!$B$10,Paramètres!$A$1:$I$89,3,0)*0.475*44/12</f>
        <v>2.4327255637647118E-2</v>
      </c>
      <c r="AX51" s="21">
        <f t="shared" si="6"/>
        <v>16.709209283781274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209.00000000000003</v>
      </c>
      <c r="BE51" s="13">
        <f>BD51*VLOOKUP('Données projet'!$B$11,Paramètres!$A$1:$I$89,3,0)*VLOOKUP('Données projet'!$B$11,Paramètres!$A$1:$I$89,5,0)</f>
        <v>189.10320000000002</v>
      </c>
      <c r="BF51" s="13">
        <f t="shared" si="37"/>
        <v>47.34162854278712</v>
      </c>
      <c r="BG51" s="20">
        <f t="shared" si="7"/>
        <v>411.80807637868764</v>
      </c>
      <c r="BH51" s="59">
        <f t="shared" si="8"/>
        <v>705.14140971202096</v>
      </c>
      <c r="BI51" s="59">
        <f ca="1">AVERAGE(OFFSET($BH$3,0,0,'Données projet'!$E$11+1,1))-AVERAGE(OFFSET($H$3,0,0,'Données projet'!$E$11+1,1))</f>
        <v>405.7176439604217</v>
      </c>
      <c r="BJ51" s="59">
        <f t="shared" si="38"/>
        <v>278.21741231699929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5.1169306362176945</v>
      </c>
      <c r="BQ51" s="21">
        <f>EXP(-LN(2)/25)*BQ50+(1-EXP(-LN(2)/25))/(LN(2)/25)*Calculateur!BL51*Calculateur!BN51*VLOOKUP('Données projet'!$B$11,Paramètres!$A$1:$I$89,3,0)*0.475*44/12</f>
        <v>5.6853255627883676</v>
      </c>
      <c r="BR51" s="21">
        <f>EXP(-LN(2)/2)*BR50+(1-EXP(-LN(2)/2))/(LN(2)/2)*BL51*BO51*VLOOKUP('Données projet'!$B$11,Paramètres!$A$1:$I$89,3,0)*0.475*44/12</f>
        <v>1.6669594901050206E-2</v>
      </c>
      <c r="BS51" s="22">
        <f t="shared" si="9"/>
        <v>10.818925793907113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8.8000000000000007</v>
      </c>
      <c r="BY51" s="12">
        <f>IF('Données projet'!$A$114&gt;35,BY50+BX51-CG50,IF(A51&lt;'Données projet'!$A$114,$BV$205^A51,IF(A51='Données projet'!$A$114,'Données projet'!$B$114,BY50+BX51-CG50)))</f>
        <v>213.40000000000012</v>
      </c>
      <c r="BZ51" s="13">
        <f>BY51*VLOOKUP('Données projet'!$B$12,Paramètres!$A$1:$I$89,3,0)*VLOOKUP('Données projet'!$B$12,Paramètres!$A$1:$I$89,5,0)</f>
        <v>186.42624000000012</v>
      </c>
      <c r="CA51" s="13">
        <f t="shared" si="39"/>
        <v>46.748974211060826</v>
      </c>
      <c r="CB51" s="20">
        <f t="shared" si="10"/>
        <v>406.11349808426445</v>
      </c>
      <c r="CC51" s="59">
        <f t="shared" si="11"/>
        <v>699.44683141759776</v>
      </c>
      <c r="CD51" s="59">
        <f ca="1">AVERAGE(OFFSET($CC$3,0,0,'Données projet'!$E$12+1,1))-AVERAGE(OFFSET($H$3,0,0,'Données projet'!$E$12+1,1))</f>
        <v>321.23599968992932</v>
      </c>
      <c r="CE51" s="59">
        <f t="shared" si="40"/>
        <v>388.05195847800502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2.5585590055837915</v>
      </c>
      <c r="CL51" s="21">
        <f>EXP(-LN(2)/25)*CL50+(1-EXP(-LN(2)/25))/(LN(2)/25)*Calculateur!CG51*Calculateur!CI51*VLOOKUP('Données projet'!$B$12,Paramètres!$A$1:$I$89,3,0)*0.475*44/12</f>
        <v>12.809452987920139</v>
      </c>
      <c r="CM51" s="21">
        <f>EXP(-LN(2)/2)*CM50+(1-EXP(-LN(2)/2))/(LN(2)/2)*CG51*CJ51*VLOOKUP('Données projet'!$B$12,Paramètres!$A$1:$I$89,3,0)*0.475*44/12</f>
        <v>2.3560318288801153E-2</v>
      </c>
      <c r="CN51" s="22">
        <f t="shared" si="12"/>
        <v>15.391572311792732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157</v>
      </c>
      <c r="CR51" s="12">
        <f>VLOOKUP(A51,'Données projet'!$A$139:$I$159,9,0)</f>
        <v>8.3333333333333339</v>
      </c>
      <c r="CS51" s="12">
        <f t="array" ref="CS51">INDEX(CR:CR,MIN(IF(ISNUMBER(CR51:CR247),ROW(CR51:CR247),"")))</f>
        <v>8.3333333333333339</v>
      </c>
      <c r="CT51" s="12">
        <f>IF('Données projet'!$A$140&gt;35,CT50+CS51-DB50,IF(A51&lt;'Données projet'!$A$140,$CQ$205^A51,IF(A51='Données projet'!$A$140,'Données projet'!$B$140,CT50+CS51-DB50)))</f>
        <v>156.99999999999997</v>
      </c>
      <c r="CU51" s="17">
        <f>CT51*VLOOKUP('Données projet'!$B$13,Paramètres!$A$1:$I$89,3,0)*VLOOKUP('Données projet'!$B$13,Paramètres!$A$1:$I$89,5,0)</f>
        <v>151.85039999999998</v>
      </c>
      <c r="CV51" s="13">
        <f t="shared" si="41"/>
        <v>38.998795130362446</v>
      </c>
      <c r="CW51" s="20">
        <f t="shared" si="13"/>
        <v>332.39568151871453</v>
      </c>
      <c r="CX51" s="59">
        <f t="shared" si="14"/>
        <v>625.72901485204784</v>
      </c>
      <c r="CY51" s="59">
        <f ca="1">AVERAGE(OFFSET($CX$3,0,0,'Données projet'!$E$13+1,1))-AVERAGE(OFFSET($H$3,0,0,'Données projet'!$E$13+1,1))</f>
        <v>399.24912109442175</v>
      </c>
      <c r="CZ51" s="59">
        <f t="shared" si="42"/>
        <v>269.83150082245305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41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157</v>
      </c>
      <c r="DM51" s="12">
        <f>VLOOKUP(A51,'Données projet'!$A$165:$I$185,9,0)</f>
        <v>8.3333333333333339</v>
      </c>
      <c r="DN51" s="12">
        <f t="array" ref="DN51">INDEX(DM:DM,MIN(IF(ISNUMBER(DM51:DM247),ROW(DM51:DM247),"")))</f>
        <v>8.3333333333333339</v>
      </c>
      <c r="DO51" s="12">
        <f>IF('Données projet'!$A$166&gt;35,DO50+DN51-DW50,IF(A51&lt;'Données projet'!$A$166,$DL$205^A51,IF(A51='Données projet'!$A$166,'Données projet'!$B$166,DO50+DN51-DW50)))</f>
        <v>156.99999999999997</v>
      </c>
      <c r="DP51" s="17">
        <f>DO51*VLOOKUP('Données projet'!$B$14,Paramètres!$A$1:$I$89,3,0)*VLOOKUP('Données projet'!$B$14,Paramètres!$A$1:$I$89,5,0)</f>
        <v>168.99479999999997</v>
      </c>
      <c r="DQ51" s="13">
        <f t="shared" si="43"/>
        <v>42.864814577758281</v>
      </c>
      <c r="DR51" s="20">
        <f t="shared" si="16"/>
        <v>368.98882872292893</v>
      </c>
      <c r="DS51" s="59">
        <f t="shared" si="17"/>
        <v>662.32216205626219</v>
      </c>
      <c r="DT51" s="59">
        <f ca="1">AVERAGE(OFFSET($DS$3,0,0,'Données projet'!$E$14+1,1))-AVERAGE(OFFSET($H$3,0,0,'Données projet'!$E$14+1,1))</f>
        <v>439.66981240211362</v>
      </c>
      <c r="DU51" s="59">
        <f t="shared" si="44"/>
        <v>295.47805371292458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41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157</v>
      </c>
      <c r="EH51" s="12">
        <f>VLOOKUP(A51,'Données projet'!$A$191:$I$211,9,0)</f>
        <v>8.3333333333333339</v>
      </c>
      <c r="EI51" s="12">
        <f t="array" ref="EI51">INDEX(EH:EH,MIN(IF(ISNUMBER(EH51:EH247),ROW(EH51:EH247),"")))</f>
        <v>8.3333333333333339</v>
      </c>
      <c r="EJ51" s="12">
        <f>IF('Données projet'!$A$192&gt;35,EJ50+EI51-ER50,IF(A51&lt;'Données projet'!$A$192,$EG$205^A51,IF(A51='Données projet'!$A$192,'Données projet'!$B$192,EJ50+EI51-ER50)))</f>
        <v>156.99999999999997</v>
      </c>
      <c r="EK51" s="17">
        <f>EJ51*VLOOKUP('Données projet'!$B$15,Paramètres!$A$1:$I$89,3,0)*VLOOKUP('Données projet'!$B$15,Paramètres!$A$1:$I$89,5,0)</f>
        <v>149.40119999999999</v>
      </c>
      <c r="EL51" s="13">
        <f t="shared" si="45"/>
        <v>38.44247450913759</v>
      </c>
      <c r="EM51" s="20">
        <f t="shared" si="19"/>
        <v>327.16106643674794</v>
      </c>
      <c r="EN51" s="59">
        <f t="shared" si="20"/>
        <v>620.49439977008126</v>
      </c>
      <c r="EO51" s="59">
        <f ca="1">AVERAGE(OFFSET($EN$3,0,0,'Données projet'!$E$15+1,1))-AVERAGE(OFFSET($H$3,0,0,'Données projet'!$E$15+1,1))</f>
        <v>393.46715670823653</v>
      </c>
      <c r="EP51" s="59">
        <f t="shared" si="46"/>
        <v>266.16261355327214</v>
      </c>
      <c r="EQ51" s="15">
        <f>IF(ISNA(VLOOKUP(A51,'Données projet'!$A$191:$I$211,3,0)),0,VLOOKUP(A51,'Données projet'!$A$191:$I$211,3,0))</f>
        <v>3</v>
      </c>
      <c r="ER51" s="15">
        <f>IF(ISNA(VLOOKUP(A51,'Données projet'!$A$191:$I$211,4,0)),0,VLOOKUP(A51,'Données projet'!$A$191:$I$211,4,0))</f>
        <v>41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-256.625</v>
      </c>
      <c r="N52" s="13">
        <f>IF('Données projet'!$A$36&gt;35,N51+M52-V51,IF(A52&lt;'Données projet'!$A$36,$K$205^A52,IF(A52='Données projet'!$A$36,'Données projet'!$B$36,N51+M52-V51)))</f>
        <v>1594.125</v>
      </c>
      <c r="O52" s="13">
        <f>N52*VLOOKUP('Données projet'!$B$9,Paramètres!$A$1:$I$89,3,0)*VLOOKUP('Données projet'!$B$9,Paramètres!$A$1:$I$89,5,0)</f>
        <v>953.2867500000001</v>
      </c>
      <c r="P52" s="13">
        <f t="shared" si="33"/>
        <v>197.69423254293423</v>
      </c>
      <c r="Q52" s="20">
        <f t="shared" si="53"/>
        <v>2004.6252112622769</v>
      </c>
      <c r="R52" s="59">
        <f t="shared" si="0"/>
        <v>2297.9585445956104</v>
      </c>
      <c r="S52" s="59">
        <f ca="1">AVERAGE(OFFSET($R$3,0,0,'Données projet'!$E$9+1,1))-AVERAGE(OFFSET($H$3,0,0,'Données projet'!$E$9+1,1))</f>
        <v>549.43232095729741</v>
      </c>
      <c r="T52" s="59">
        <f t="shared" si="34"/>
        <v>280.26155987300996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8.5997936365627936</v>
      </c>
      <c r="AA52" s="21">
        <f>EXP(-LN(2)/25)*AA51+(1-EXP(-LN(2)/25))/(LN(2)/25)*Calculateur!V52*Calculateur!X52*VLOOKUP('Données projet'!$B$9,Paramètres!$A$1:$I$89,3,0)*0.475*44/12</f>
        <v>5.6438491268756312</v>
      </c>
      <c r="AB52" s="21">
        <f>EXP(-LN(2)/2)*AB51+(1-EXP(-LN(2)/2))/(LN(2)/2)*V52*Y52*VLOOKUP('Données projet'!$B$9,Paramètres!$A$1:$I$89,3,0)*0.475*44/12</f>
        <v>6.2219775818041284E-3</v>
      </c>
      <c r="AC52" s="22">
        <f t="shared" si="3"/>
        <v>14.249864741020229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396.60000000000008</v>
      </c>
      <c r="AJ52" s="13">
        <f>AI52*VLOOKUP('Données projet'!$B$10,Paramètres!$A$1:$I$89,3,0)*VLOOKUP('Données projet'!$B$10,Paramètres!$A$1:$I$89,5,0)</f>
        <v>237.16680000000005</v>
      </c>
      <c r="AK52" s="13">
        <f t="shared" si="35"/>
        <v>57.829533038824259</v>
      </c>
      <c r="AL52" s="20">
        <f t="shared" si="4"/>
        <v>513.78528004261909</v>
      </c>
      <c r="AM52" s="59">
        <f t="shared" si="5"/>
        <v>807.11861337595246</v>
      </c>
      <c r="AN52" s="59">
        <f ca="1">AVERAGE(OFFSET($AM$3,0,0,'Données projet'!$E$10+1,1))-AVERAGE(OFFSET($H$3,0,0,'Données projet'!$E$10+1,1))</f>
        <v>348.62416478262719</v>
      </c>
      <c r="AO52" s="59">
        <f t="shared" si="36"/>
        <v>371.70674704563288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9.0915889744213043</v>
      </c>
      <c r="AV52" s="21">
        <f>EXP(-LN(2)/25)*AV51+(1-EXP(-LN(2)/25))/(LN(2)/25)*Calculateur!AQ52*Calculateur!AS52*VLOOKUP('Données projet'!$B$10,Paramètres!$A$1:$I$89,3,0)*0.475*44/12</f>
        <v>7.2087802438603026</v>
      </c>
      <c r="AW52" s="21">
        <f>EXP(-LN(2)/2)*AW51+(1-EXP(-LN(2)/2))/(LN(2)/2)*AQ52*AT52*VLOOKUP('Données projet'!$B$10,Paramètres!$A$1:$I$89,3,0)*0.475*44/12</f>
        <v>1.7201967429038945E-2</v>
      </c>
      <c r="AX52" s="21">
        <f t="shared" si="6"/>
        <v>16.317571185710644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220.00000000000003</v>
      </c>
      <c r="BE52" s="13">
        <f>BD52*VLOOKUP('Données projet'!$B$11,Paramètres!$A$1:$I$89,3,0)*VLOOKUP('Données projet'!$B$11,Paramètres!$A$1:$I$89,5,0)</f>
        <v>199.05600000000001</v>
      </c>
      <c r="BF52" s="13">
        <f t="shared" si="37"/>
        <v>49.536648006253934</v>
      </c>
      <c r="BG52" s="20">
        <f t="shared" si="7"/>
        <v>432.96552861089231</v>
      </c>
      <c r="BH52" s="59">
        <f t="shared" si="8"/>
        <v>726.29886194422556</v>
      </c>
      <c r="BI52" s="59">
        <f ca="1">AVERAGE(OFFSET($BH$3,0,0,'Données projet'!$E$11+1,1))-AVERAGE(OFFSET($H$3,0,0,'Données projet'!$E$11+1,1))</f>
        <v>405.7176439604217</v>
      </c>
      <c r="BJ52" s="59">
        <f t="shared" si="38"/>
        <v>278.21741231699929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5.0165907474609783</v>
      </c>
      <c r="BQ52" s="21">
        <f>EXP(-LN(2)/25)*BQ51+(1-EXP(-LN(2)/25))/(LN(2)/25)*Calculateur!BL52*Calculateur!BN52*VLOOKUP('Données projet'!$B$11,Paramètres!$A$1:$I$89,3,0)*0.475*44/12</f>
        <v>5.5298600362956423</v>
      </c>
      <c r="BR52" s="21">
        <f>EXP(-LN(2)/2)*BR51+(1-EXP(-LN(2)/2))/(LN(2)/2)*BL52*BO52*VLOOKUP('Données projet'!$B$11,Paramètres!$A$1:$I$89,3,0)*0.475*44/12</f>
        <v>1.1787183594165297E-2</v>
      </c>
      <c r="BS52" s="22">
        <f t="shared" si="9"/>
        <v>10.558237967350786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8.8000000000000007</v>
      </c>
      <c r="BY52" s="12">
        <f>IF('Données projet'!$A$114&gt;35,BY51+BX52-CG51,IF(A52&lt;'Données projet'!$A$114,$BV$205^A52,IF(A52='Données projet'!$A$114,'Données projet'!$B$114,BY51+BX52-CG51)))</f>
        <v>222.20000000000013</v>
      </c>
      <c r="BZ52" s="13">
        <f>BY52*VLOOKUP('Données projet'!$B$12,Paramètres!$A$1:$I$89,3,0)*VLOOKUP('Données projet'!$B$12,Paramètres!$A$1:$I$89,5,0)</f>
        <v>194.11392000000015</v>
      </c>
      <c r="CA52" s="13">
        <f t="shared" si="39"/>
        <v>48.448345132424009</v>
      </c>
      <c r="CB52" s="20">
        <f t="shared" si="10"/>
        <v>422.46261177230537</v>
      </c>
      <c r="CC52" s="59">
        <f t="shared" si="11"/>
        <v>715.79594510563868</v>
      </c>
      <c r="CD52" s="59">
        <f ca="1">AVERAGE(OFFSET($CC$3,0,0,'Données projet'!$E$12+1,1))-AVERAGE(OFFSET($H$3,0,0,'Données projet'!$E$12+1,1))</f>
        <v>321.23599968992932</v>
      </c>
      <c r="CE52" s="59">
        <f t="shared" si="40"/>
        <v>388.05195847800502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2.5083872240511935</v>
      </c>
      <c r="CL52" s="21">
        <f>EXP(-LN(2)/25)*CL51+(1-EXP(-LN(2)/25))/(LN(2)/25)*Calculateur!CG52*Calculateur!CI52*VLOOKUP('Données projet'!$B$12,Paramètres!$A$1:$I$89,3,0)*0.475*44/12</f>
        <v>12.459177822345607</v>
      </c>
      <c r="CM52" s="21">
        <f>EXP(-LN(2)/2)*CM51+(1-EXP(-LN(2)/2))/(LN(2)/2)*CG52*CJ52*VLOOKUP('Données projet'!$B$12,Paramètres!$A$1:$I$89,3,0)*0.475*44/12</f>
        <v>1.6659660828924731E-2</v>
      </c>
      <c r="CN52" s="22">
        <f t="shared" si="12"/>
        <v>14.984224707225724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7.833333333333333</v>
      </c>
      <c r="CT52" s="12">
        <f>IF('Données projet'!$A$140&gt;35,CT51+CS52-DB51,IF(A52&lt;'Données projet'!$A$140,$CQ$205^A52,IF(A52='Données projet'!$A$140,'Données projet'!$B$140,CT51+CS52-DB51)))</f>
        <v>123.83333333333331</v>
      </c>
      <c r="CU52" s="17">
        <f>CT52*VLOOKUP('Données projet'!$B$13,Paramètres!$A$1:$I$89,3,0)*VLOOKUP('Données projet'!$B$13,Paramètres!$A$1:$I$89,5,0)</f>
        <v>119.77159999999999</v>
      </c>
      <c r="CV52" s="13">
        <f t="shared" si="41"/>
        <v>31.621722839701164</v>
      </c>
      <c r="CW52" s="20">
        <f t="shared" si="13"/>
        <v>263.67670394581285</v>
      </c>
      <c r="CX52" s="59">
        <f t="shared" si="14"/>
        <v>557.01003727914622</v>
      </c>
      <c r="CY52" s="59">
        <f ca="1">AVERAGE(OFFSET($CX$3,0,0,'Données projet'!$E$13+1,1))-AVERAGE(OFFSET($H$3,0,0,'Données projet'!$E$13+1,1))</f>
        <v>399.24912109442175</v>
      </c>
      <c r="CZ52" s="59">
        <f t="shared" si="42"/>
        <v>269.83150082245305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7.833333333333333</v>
      </c>
      <c r="DO52" s="12">
        <f>IF('Données projet'!$A$166&gt;35,DO51+DN52-DW51,IF(A52&lt;'Données projet'!$A$166,$DL$205^A52,IF(A52='Données projet'!$A$166,'Données projet'!$B$166,DO51+DN52-DW51)))</f>
        <v>123.83333333333331</v>
      </c>
      <c r="DP52" s="17">
        <f>DO52*VLOOKUP('Données projet'!$B$14,Paramètres!$A$1:$I$89,3,0)*VLOOKUP('Données projet'!$B$14,Paramètres!$A$1:$I$89,5,0)</f>
        <v>133.29419999999996</v>
      </c>
      <c r="DQ52" s="13">
        <f t="shared" si="43"/>
        <v>34.756440080318377</v>
      </c>
      <c r="DR52" s="20">
        <f t="shared" si="16"/>
        <v>292.68819813988773</v>
      </c>
      <c r="DS52" s="59">
        <f t="shared" si="17"/>
        <v>586.0215314732211</v>
      </c>
      <c r="DT52" s="59">
        <f ca="1">AVERAGE(OFFSET($DS$3,0,0,'Données projet'!$E$14+1,1))-AVERAGE(OFFSET($H$3,0,0,'Données projet'!$E$14+1,1))</f>
        <v>439.66981240211362</v>
      </c>
      <c r="DU52" s="59">
        <f t="shared" si="44"/>
        <v>295.47805371292458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7.833333333333333</v>
      </c>
      <c r="EJ52" s="12">
        <f>IF('Données projet'!$A$192&gt;35,EJ51+EI52-ER51,IF(A52&lt;'Données projet'!$A$192,$EG$205^A52,IF(A52='Données projet'!$A$192,'Données projet'!$B$192,EJ51+EI52-ER51)))</f>
        <v>123.83333333333331</v>
      </c>
      <c r="EK52" s="17">
        <f>EJ52*VLOOKUP('Données projet'!$B$15,Paramètres!$A$1:$I$89,3,0)*VLOOKUP('Données projet'!$B$15,Paramètres!$A$1:$I$89,5,0)</f>
        <v>117.8398</v>
      </c>
      <c r="EL52" s="13">
        <f t="shared" si="45"/>
        <v>31.170636685998772</v>
      </c>
      <c r="EM52" s="20">
        <f t="shared" si="19"/>
        <v>259.52651056144788</v>
      </c>
      <c r="EN52" s="59">
        <f t="shared" si="20"/>
        <v>552.85984389478119</v>
      </c>
      <c r="EO52" s="59">
        <f ca="1">AVERAGE(OFFSET($EN$3,0,0,'Données projet'!$E$15+1,1))-AVERAGE(OFFSET($H$3,0,0,'Données projet'!$E$15+1,1))</f>
        <v>393.46715670823653</v>
      </c>
      <c r="EP52" s="59">
        <f t="shared" si="46"/>
        <v>266.16261355327214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-256.625</v>
      </c>
      <c r="N53" s="13">
        <f>IF('Données projet'!$A$36&gt;35,N52+M53-V52,IF(A53&lt;'Données projet'!$A$36,$K$205^A53,IF(A53='Données projet'!$A$36,'Données projet'!$B$36,N52+M53-V52)))</f>
        <v>1337.5</v>
      </c>
      <c r="O53" s="13">
        <f>N53*VLOOKUP('Données projet'!$B$9,Paramètres!$A$1:$I$89,3,0)*VLOOKUP('Données projet'!$B$9,Paramètres!$A$1:$I$89,5,0)</f>
        <v>799.82500000000005</v>
      </c>
      <c r="P53" s="13">
        <f t="shared" si="33"/>
        <v>169.29277524015691</v>
      </c>
      <c r="Q53" s="20">
        <f t="shared" si="53"/>
        <v>1687.8801252099399</v>
      </c>
      <c r="R53" s="59">
        <f t="shared" si="0"/>
        <v>1981.2134585432732</v>
      </c>
      <c r="S53" s="59">
        <f ca="1">AVERAGE(OFFSET($R$3,0,0,'Données projet'!$E$9+1,1))-AVERAGE(OFFSET($H$3,0,0,'Données projet'!$E$9+1,1))</f>
        <v>549.43232095729741</v>
      </c>
      <c r="T53" s="59">
        <f t="shared" si="34"/>
        <v>280.26155987300996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8.4311569287059793</v>
      </c>
      <c r="AA53" s="21">
        <f>EXP(-LN(2)/25)*AA52+(1-EXP(-LN(2)/25))/(LN(2)/25)*Calculateur!V53*Calculateur!X53*VLOOKUP('Données projet'!$B$9,Paramètres!$A$1:$I$89,3,0)*0.475*44/12</f>
        <v>5.4895177757040905</v>
      </c>
      <c r="AB53" s="21">
        <f>EXP(-LN(2)/2)*AB52+(1-EXP(-LN(2)/2))/(LN(2)/2)*V53*Y53*VLOOKUP('Données projet'!$B$9,Paramètres!$A$1:$I$89,3,0)*0.475*44/12</f>
        <v>4.3996025404843759E-3</v>
      </c>
      <c r="AC53" s="22">
        <f t="shared" si="3"/>
        <v>13.925074306950554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414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414.00000000000006</v>
      </c>
      <c r="AJ53" s="13">
        <f>AI53*VLOOKUP('Données projet'!$B$10,Paramètres!$A$1:$I$89,3,0)*VLOOKUP('Données projet'!$B$10,Paramètres!$A$1:$I$89,5,0)</f>
        <v>247.57200000000003</v>
      </c>
      <c r="AK53" s="13">
        <f t="shared" si="35"/>
        <v>60.065726249156576</v>
      </c>
      <c r="AL53" s="20">
        <f t="shared" si="4"/>
        <v>535.80237321728112</v>
      </c>
      <c r="AM53" s="59">
        <f t="shared" si="5"/>
        <v>829.13570655061449</v>
      </c>
      <c r="AN53" s="59">
        <f ca="1">AVERAGE(OFFSET($AM$3,0,0,'Données projet'!$E$10+1,1))-AVERAGE(OFFSET($H$3,0,0,'Données projet'!$E$10+1,1))</f>
        <v>348.62416478262719</v>
      </c>
      <c r="AO53" s="59">
        <f t="shared" si="36"/>
        <v>371.70674704563288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47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8.9133084599546226</v>
      </c>
      <c r="AV53" s="21">
        <f>EXP(-LN(2)/25)*AV52+(1-EXP(-LN(2)/25))/(LN(2)/25)*Calculateur!AQ53*Calculateur!AS53*VLOOKUP('Données projet'!$B$10,Paramètres!$A$1:$I$89,3,0)*0.475*44/12</f>
        <v>7.0116557689986658</v>
      </c>
      <c r="AW53" s="21">
        <f>EXP(-LN(2)/2)*AW52+(1-EXP(-LN(2)/2))/(LN(2)/2)*AQ53*AT53*VLOOKUP('Données projet'!$B$10,Paramètres!$A$1:$I$89,3,0)*0.475*44/12</f>
        <v>1.2163627818823559E-2</v>
      </c>
      <c r="AX53" s="21">
        <f t="shared" si="6"/>
        <v>15.937127856772113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231.00000000000003</v>
      </c>
      <c r="BE53" s="13">
        <f>BD53*VLOOKUP('Données projet'!$B$11,Paramètres!$A$1:$I$89,3,0)*VLOOKUP('Données projet'!$B$11,Paramètres!$A$1:$I$89,5,0)</f>
        <v>209.00880000000004</v>
      </c>
      <c r="BF53" s="13">
        <f t="shared" si="37"/>
        <v>51.718923953824252</v>
      </c>
      <c r="BG53" s="20">
        <f t="shared" si="7"/>
        <v>454.10078588624395</v>
      </c>
      <c r="BH53" s="59">
        <f t="shared" si="8"/>
        <v>747.43411921957727</v>
      </c>
      <c r="BI53" s="59">
        <f ca="1">AVERAGE(OFFSET($BH$3,0,0,'Données projet'!$E$11+1,1))-AVERAGE(OFFSET($H$3,0,0,'Données projet'!$E$11+1,1))</f>
        <v>405.7176439604217</v>
      </c>
      <c r="BJ53" s="59">
        <f t="shared" si="38"/>
        <v>278.21741231699929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4.9182184627214927</v>
      </c>
      <c r="BQ53" s="21">
        <f>EXP(-LN(2)/25)*BQ52+(1-EXP(-LN(2)/25))/(LN(2)/25)*Calculateur!BL53*Calculateur!BN53*VLOOKUP('Données projet'!$B$11,Paramètres!$A$1:$I$89,3,0)*0.475*44/12</f>
        <v>5.378645722800437</v>
      </c>
      <c r="BR53" s="21">
        <f>EXP(-LN(2)/2)*BR52+(1-EXP(-LN(2)/2))/(LN(2)/2)*BL53*BO53*VLOOKUP('Données projet'!$B$11,Paramètres!$A$1:$I$89,3,0)*0.475*44/12</f>
        <v>8.334797450525103E-3</v>
      </c>
      <c r="BS53" s="22">
        <f t="shared" si="9"/>
        <v>10.305198982972454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231</v>
      </c>
      <c r="BW53" s="12">
        <f>VLOOKUP(A53,'Données projet'!$A$113:$I$133,9,0)</f>
        <v>8.8000000000000007</v>
      </c>
      <c r="BX53" s="12">
        <f t="array" ref="BX53">INDEX(BW:BW,MIN(IF(ISNUMBER(BW53:BW249),ROW(BW53:BW249),"")))</f>
        <v>8.8000000000000007</v>
      </c>
      <c r="BY53" s="12">
        <f>IF('Données projet'!$A$114&gt;35,BY52+BX53-CG52,IF(A53&lt;'Données projet'!$A$114,$BV$205^A53,IF(A53='Données projet'!$A$114,'Données projet'!$B$114,BY52+BX53-CG52)))</f>
        <v>231.00000000000014</v>
      </c>
      <c r="BZ53" s="13">
        <f>BY53*VLOOKUP('Données projet'!$B$12,Paramètres!$A$1:$I$89,3,0)*VLOOKUP('Données projet'!$B$12,Paramètres!$A$1:$I$89,5,0)</f>
        <v>201.80160000000015</v>
      </c>
      <c r="CA53" s="13">
        <f t="shared" si="39"/>
        <v>50.139897992681711</v>
      </c>
      <c r="CB53" s="20">
        <f t="shared" si="10"/>
        <v>438.7981090039209</v>
      </c>
      <c r="CC53" s="59">
        <f t="shared" si="11"/>
        <v>732.13144233725416</v>
      </c>
      <c r="CD53" s="59">
        <f ca="1">AVERAGE(OFFSET($CC$3,0,0,'Données projet'!$E$12+1,1))-AVERAGE(OFFSET($H$3,0,0,'Données projet'!$E$12+1,1))</f>
        <v>321.23599968992932</v>
      </c>
      <c r="CE53" s="59">
        <f t="shared" si="40"/>
        <v>388.05195847800502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33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2.459199280552685</v>
      </c>
      <c r="CL53" s="21">
        <f>EXP(-LN(2)/25)*CL52+(1-EXP(-LN(2)/25))/(LN(2)/25)*Calculateur!CG53*Calculateur!CI53*VLOOKUP('Données projet'!$B$12,Paramètres!$A$1:$I$89,3,0)*0.475*44/12</f>
        <v>12.118480949593881</v>
      </c>
      <c r="CM53" s="21">
        <f>EXP(-LN(2)/2)*CM52+(1-EXP(-LN(2)/2))/(LN(2)/2)*CG53*CJ53*VLOOKUP('Données projet'!$B$12,Paramètres!$A$1:$I$89,3,0)*0.475*44/12</f>
        <v>1.1780159144400577E-2</v>
      </c>
      <c r="CN53" s="22">
        <f t="shared" si="12"/>
        <v>14.589460389290966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7.833333333333333</v>
      </c>
      <c r="CT53" s="12">
        <f>IF('Données projet'!$A$140&gt;35,CT52+CS53-DB52,IF(A53&lt;'Données projet'!$A$140,$CQ$205^A53,IF(A53='Données projet'!$A$140,'Données projet'!$B$140,CT52+CS53-DB52)))</f>
        <v>131.66666666666666</v>
      </c>
      <c r="CU53" s="17">
        <f>CT53*VLOOKUP('Données projet'!$B$13,Paramètres!$A$1:$I$89,3,0)*VLOOKUP('Données projet'!$B$13,Paramètres!$A$1:$I$89,5,0)</f>
        <v>127.348</v>
      </c>
      <c r="CV53" s="13">
        <f t="shared" si="41"/>
        <v>33.382826848885991</v>
      </c>
      <c r="CW53" s="20">
        <f t="shared" si="13"/>
        <v>279.93952342847643</v>
      </c>
      <c r="CX53" s="59">
        <f t="shared" si="14"/>
        <v>573.27285676180975</v>
      </c>
      <c r="CY53" s="59">
        <f ca="1">AVERAGE(OFFSET($CX$3,0,0,'Données projet'!$E$13+1,1))-AVERAGE(OFFSET($H$3,0,0,'Données projet'!$E$13+1,1))</f>
        <v>399.24912109442175</v>
      </c>
      <c r="CZ53" s="59">
        <f t="shared" si="42"/>
        <v>269.83150082245305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7.833333333333333</v>
      </c>
      <c r="DO53" s="12">
        <f>IF('Données projet'!$A$166&gt;35,DO52+DN53-DW52,IF(A53&lt;'Données projet'!$A$166,$DL$205^A53,IF(A53='Données projet'!$A$166,'Données projet'!$B$166,DO52+DN53-DW52)))</f>
        <v>131.66666666666666</v>
      </c>
      <c r="DP53" s="17">
        <f>DO53*VLOOKUP('Données projet'!$B$14,Paramètres!$A$1:$I$89,3,0)*VLOOKUP('Données projet'!$B$14,Paramètres!$A$1:$I$89,5,0)</f>
        <v>141.72599999999997</v>
      </c>
      <c r="DQ53" s="13">
        <f t="shared" si="43"/>
        <v>36.692125440686915</v>
      </c>
      <c r="DR53" s="20">
        <f t="shared" si="16"/>
        <v>310.74490180919628</v>
      </c>
      <c r="DS53" s="59">
        <f t="shared" si="17"/>
        <v>604.07823514252959</v>
      </c>
      <c r="DT53" s="59">
        <f ca="1">AVERAGE(OFFSET($DS$3,0,0,'Données projet'!$E$14+1,1))-AVERAGE(OFFSET($H$3,0,0,'Données projet'!$E$14+1,1))</f>
        <v>439.66981240211362</v>
      </c>
      <c r="DU53" s="59">
        <f t="shared" si="44"/>
        <v>295.47805371292458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7.833333333333333</v>
      </c>
      <c r="EJ53" s="12">
        <f>IF('Données projet'!$A$192&gt;35,EJ52+EI53-ER52,IF(A53&lt;'Données projet'!$A$192,$EG$205^A53,IF(A53='Données projet'!$A$192,'Données projet'!$B$192,EJ52+EI53-ER52)))</f>
        <v>131.66666666666666</v>
      </c>
      <c r="EK53" s="17">
        <f>EJ53*VLOOKUP('Données projet'!$B$15,Paramètres!$A$1:$I$89,3,0)*VLOOKUP('Données projet'!$B$15,Paramètres!$A$1:$I$89,5,0)</f>
        <v>125.294</v>
      </c>
      <c r="EL53" s="13">
        <f t="shared" si="45"/>
        <v>32.906618419658002</v>
      </c>
      <c r="EM53" s="20">
        <f t="shared" si="19"/>
        <v>275.53274374757098</v>
      </c>
      <c r="EN53" s="59">
        <f t="shared" si="20"/>
        <v>568.86607708090423</v>
      </c>
      <c r="EO53" s="59">
        <f ca="1">AVERAGE(OFFSET($EN$3,0,0,'Données projet'!$E$15+1,1))-AVERAGE(OFFSET($H$3,0,0,'Données projet'!$E$15+1,1))</f>
        <v>393.46715670823653</v>
      </c>
      <c r="EP53" s="59">
        <f t="shared" si="46"/>
        <v>266.16261355327214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-256.625</v>
      </c>
      <c r="N54" s="13">
        <f>IF('Données projet'!$A$36&gt;35,N53+M54-V53,IF(A54&lt;'Données projet'!$A$36,$K$205^A54,IF(A54='Données projet'!$A$36,'Données projet'!$B$36,N53+M54-V53)))</f>
        <v>1080.875</v>
      </c>
      <c r="O54" s="13">
        <f>N54*VLOOKUP('Données projet'!$B$9,Paramètres!$A$1:$I$89,3,0)*VLOOKUP('Données projet'!$B$9,Paramètres!$A$1:$I$89,5,0)</f>
        <v>646.36325000000011</v>
      </c>
      <c r="P54" s="13">
        <f t="shared" si="33"/>
        <v>140.24559783539871</v>
      </c>
      <c r="Q54" s="20">
        <f t="shared" si="53"/>
        <v>1370.0104099799862</v>
      </c>
      <c r="R54" s="59">
        <f t="shared" si="0"/>
        <v>1663.3437433133195</v>
      </c>
      <c r="S54" s="59">
        <f ca="1">AVERAGE(OFFSET($R$3,0,0,'Données projet'!$E$9+1,1))-AVERAGE(OFFSET($H$3,0,0,'Données projet'!$E$9+1,1))</f>
        <v>549.43232095729741</v>
      </c>
      <c r="T54" s="59">
        <f t="shared" si="34"/>
        <v>280.26155987300996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8.2658270838320025</v>
      </c>
      <c r="AA54" s="21">
        <f>EXP(-LN(2)/25)*AA53+(1-EXP(-LN(2)/25))/(LN(2)/25)*Calculateur!V54*Calculateur!X54*VLOOKUP('Données projet'!$B$9,Paramètres!$A$1:$I$89,3,0)*0.475*44/12</f>
        <v>5.3394066234462692</v>
      </c>
      <c r="AB54" s="21">
        <f>EXP(-LN(2)/2)*AB53+(1-EXP(-LN(2)/2))/(LN(2)/2)*V54*Y54*VLOOKUP('Données projet'!$B$9,Paramètres!$A$1:$I$89,3,0)*0.475*44/12</f>
        <v>3.1109887909020642E-3</v>
      </c>
      <c r="AC54" s="22">
        <f t="shared" si="3"/>
        <v>13.608344696069175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19.2</v>
      </c>
      <c r="AI54" s="13">
        <f>IF('Données projet'!$A$62&gt;35,AI53+AH54-AQ53,IF(A54&lt;'Données projet'!$A$62,$AF$205^A54,IF(A54='Données projet'!$A$62,'Données projet'!$B$62,AI53+AH54-AQ53)))</f>
        <v>386.20000000000005</v>
      </c>
      <c r="AJ54" s="13">
        <f>AI54*VLOOKUP('Données projet'!$B$10,Paramètres!$A$1:$I$89,3,0)*VLOOKUP('Données projet'!$B$10,Paramètres!$A$1:$I$89,5,0)</f>
        <v>230.94760000000002</v>
      </c>
      <c r="AK54" s="13">
        <f t="shared" si="35"/>
        <v>56.487525751065782</v>
      </c>
      <c r="AL54" s="20">
        <f t="shared" si="4"/>
        <v>500.61617734977295</v>
      </c>
      <c r="AM54" s="59">
        <f t="shared" si="5"/>
        <v>793.94951068310627</v>
      </c>
      <c r="AN54" s="59">
        <f ca="1">AVERAGE(OFFSET($AM$3,0,0,'Données projet'!$E$10+1,1))-AVERAGE(OFFSET($H$3,0,0,'Données projet'!$E$10+1,1))</f>
        <v>348.62416478262719</v>
      </c>
      <c r="AO54" s="59">
        <f t="shared" si="36"/>
        <v>371.70674704563288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8.7385239176362557</v>
      </c>
      <c r="AV54" s="21">
        <f>EXP(-LN(2)/25)*AV53+(1-EXP(-LN(2)/25))/(LN(2)/25)*Calculateur!AQ54*Calculateur!AS54*VLOOKUP('Données projet'!$B$10,Paramètres!$A$1:$I$89,3,0)*0.475*44/12</f>
        <v>6.8199216732684453</v>
      </c>
      <c r="AW54" s="21">
        <f>EXP(-LN(2)/2)*AW53+(1-EXP(-LN(2)/2))/(LN(2)/2)*AQ54*AT54*VLOOKUP('Données projet'!$B$10,Paramètres!$A$1:$I$89,3,0)*0.475*44/12</f>
        <v>8.6009837145194726E-3</v>
      </c>
      <c r="AX54" s="21">
        <f t="shared" si="6"/>
        <v>15.567046574619219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213.20000000000002</v>
      </c>
      <c r="BE54" s="13">
        <f>BD54*VLOOKUP('Données projet'!$B$11,Paramètres!$A$1:$I$89,3,0)*VLOOKUP('Données projet'!$B$11,Paramètres!$A$1:$I$89,5,0)</f>
        <v>192.90336000000002</v>
      </c>
      <c r="BF54" s="13">
        <f t="shared" si="37"/>
        <v>48.181276881765257</v>
      </c>
      <c r="BG54" s="20">
        <f t="shared" si="7"/>
        <v>419.88907590240791</v>
      </c>
      <c r="BH54" s="59">
        <f t="shared" si="8"/>
        <v>713.22240923574122</v>
      </c>
      <c r="BI54" s="59">
        <f ca="1">AVERAGE(OFFSET($BH$3,0,0,'Données projet'!$E$11+1,1))-AVERAGE(OFFSET($H$3,0,0,'Données projet'!$E$11+1,1))</f>
        <v>405.7176439604217</v>
      </c>
      <c r="BJ54" s="59">
        <f t="shared" si="38"/>
        <v>278.21741231699929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4.8217751984845787</v>
      </c>
      <c r="BQ54" s="21">
        <f>EXP(-LN(2)/25)*BQ53+(1-EXP(-LN(2)/25))/(LN(2)/25)*Calculateur!BL54*Calculateur!BN54*VLOOKUP('Données projet'!$B$11,Paramètres!$A$1:$I$89,3,0)*0.475*44/12</f>
        <v>5.2315663726597732</v>
      </c>
      <c r="BR54" s="21">
        <f>EXP(-LN(2)/2)*BR53+(1-EXP(-LN(2)/2))/(LN(2)/2)*BL54*BO54*VLOOKUP('Données projet'!$B$11,Paramètres!$A$1:$I$89,3,0)*0.475*44/12</f>
        <v>5.8935917970826483E-3</v>
      </c>
      <c r="BS54" s="22">
        <f t="shared" si="9"/>
        <v>10.059235162941434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205.80000000000015</v>
      </c>
      <c r="BZ54" s="13">
        <f>BY54*VLOOKUP('Données projet'!$B$12,Paramètres!$A$1:$I$89,3,0)*VLOOKUP('Données projet'!$B$12,Paramètres!$A$1:$I$89,5,0)</f>
        <v>179.78688000000014</v>
      </c>
      <c r="CA54" s="13">
        <f t="shared" si="39"/>
        <v>45.274767624296977</v>
      </c>
      <c r="CB54" s="20">
        <f t="shared" si="10"/>
        <v>391.98236961231743</v>
      </c>
      <c r="CC54" s="59">
        <f t="shared" si="11"/>
        <v>685.31570294565074</v>
      </c>
      <c r="CD54" s="59">
        <f ca="1">AVERAGE(OFFSET($CC$3,0,0,'Données projet'!$E$12+1,1))-AVERAGE(OFFSET($H$3,0,0,'Données projet'!$E$12+1,1))</f>
        <v>321.23599968992932</v>
      </c>
      <c r="CE54" s="59">
        <f t="shared" si="40"/>
        <v>388.05195847800502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2.4109758826244989</v>
      </c>
      <c r="CL54" s="21">
        <f>EXP(-LN(2)/25)*CL53+(1-EXP(-LN(2)/25))/(LN(2)/25)*Calculateur!CG54*Calculateur!CI54*VLOOKUP('Données projet'!$B$12,Paramètres!$A$1:$I$89,3,0)*0.475*44/12</f>
        <v>11.78710045074402</v>
      </c>
      <c r="CM54" s="21">
        <f>EXP(-LN(2)/2)*CM53+(1-EXP(-LN(2)/2))/(LN(2)/2)*CG54*CJ54*VLOOKUP('Données projet'!$B$12,Paramètres!$A$1:$I$89,3,0)*0.475*44/12</f>
        <v>8.3298304144623653E-3</v>
      </c>
      <c r="CN54" s="22">
        <f t="shared" si="12"/>
        <v>14.206406163782981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7.833333333333333</v>
      </c>
      <c r="CT54" s="12">
        <f>IF('Données projet'!$A$140&gt;35,CT53+CS54-DB53,IF(A54&lt;'Données projet'!$A$140,$CQ$205^A54,IF(A54='Données projet'!$A$140,'Données projet'!$B$140,CT53+CS54-DB53)))</f>
        <v>139.5</v>
      </c>
      <c r="CU54" s="17">
        <f>CT54*VLOOKUP('Données projet'!$B$13,Paramètres!$A$1:$I$89,3,0)*VLOOKUP('Données projet'!$B$13,Paramètres!$A$1:$I$89,5,0)</f>
        <v>134.92439999999999</v>
      </c>
      <c r="CV54" s="13">
        <f t="shared" si="41"/>
        <v>35.131769660365201</v>
      </c>
      <c r="CW54" s="20">
        <f t="shared" si="13"/>
        <v>296.18116215846936</v>
      </c>
      <c r="CX54" s="59">
        <f t="shared" si="14"/>
        <v>589.51449549180268</v>
      </c>
      <c r="CY54" s="59">
        <f ca="1">AVERAGE(OFFSET($CX$3,0,0,'Données projet'!$E$13+1,1))-AVERAGE(OFFSET($H$3,0,0,'Données projet'!$E$13+1,1))</f>
        <v>399.24912109442175</v>
      </c>
      <c r="CZ54" s="59">
        <f t="shared" si="42"/>
        <v>269.83150082245305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7.833333333333333</v>
      </c>
      <c r="DO54" s="12">
        <f>IF('Données projet'!$A$166&gt;35,DO53+DN54-DW53,IF(A54&lt;'Données projet'!$A$166,$DL$205^A54,IF(A54='Données projet'!$A$166,'Données projet'!$B$166,DO53+DN54-DW53)))</f>
        <v>139.5</v>
      </c>
      <c r="DP54" s="17">
        <f>DO54*VLOOKUP('Données projet'!$B$14,Paramètres!$A$1:$I$89,3,0)*VLOOKUP('Données projet'!$B$14,Paramètres!$A$1:$I$89,5,0)</f>
        <v>150.15780000000001</v>
      </c>
      <c r="DQ54" s="13">
        <f t="shared" si="43"/>
        <v>38.614444042340153</v>
      </c>
      <c r="DR54" s="20">
        <f t="shared" si="16"/>
        <v>328.77832504040913</v>
      </c>
      <c r="DS54" s="59">
        <f t="shared" si="17"/>
        <v>622.11165837374244</v>
      </c>
      <c r="DT54" s="59">
        <f ca="1">AVERAGE(OFFSET($DS$3,0,0,'Données projet'!$E$14+1,1))-AVERAGE(OFFSET($H$3,0,0,'Données projet'!$E$14+1,1))</f>
        <v>439.66981240211362</v>
      </c>
      <c r="DU54" s="59">
        <f t="shared" si="44"/>
        <v>295.47805371292458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7.833333333333333</v>
      </c>
      <c r="EJ54" s="12">
        <f>IF('Données projet'!$A$192&gt;35,EJ53+EI54-ER53,IF(A54&lt;'Données projet'!$A$192,$EG$205^A54,IF(A54='Données projet'!$A$192,'Données projet'!$B$192,EJ53+EI54-ER53)))</f>
        <v>139.5</v>
      </c>
      <c r="EK54" s="17">
        <f>EJ54*VLOOKUP('Données projet'!$B$15,Paramètres!$A$1:$I$89,3,0)*VLOOKUP('Données projet'!$B$15,Paramètres!$A$1:$I$89,5,0)</f>
        <v>132.7482</v>
      </c>
      <c r="EL54" s="13">
        <f t="shared" si="45"/>
        <v>34.630612435972736</v>
      </c>
      <c r="EM54" s="20">
        <f t="shared" si="19"/>
        <v>291.51809832598582</v>
      </c>
      <c r="EN54" s="59">
        <f t="shared" si="20"/>
        <v>584.85143165931913</v>
      </c>
      <c r="EO54" s="59">
        <f ca="1">AVERAGE(OFFSET($EN$3,0,0,'Données projet'!$E$15+1,1))-AVERAGE(OFFSET($H$3,0,0,'Données projet'!$E$15+1,1))</f>
        <v>393.46715670823653</v>
      </c>
      <c r="EP54" s="59">
        <f t="shared" si="46"/>
        <v>266.16261355327214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-256.625</v>
      </c>
      <c r="N55" s="13">
        <f>IF('Données projet'!$A$36&gt;35,N54+M55-V54,IF(A55&lt;'Données projet'!$A$36,$K$205^A55,IF(A55='Données projet'!$A$36,'Données projet'!$B$36,N54+M55-V54)))</f>
        <v>824.25</v>
      </c>
      <c r="O55" s="13">
        <f>N55*VLOOKUP('Données projet'!$B$9,Paramètres!$A$1:$I$89,3,0)*VLOOKUP('Données projet'!$B$9,Paramètres!$A$1:$I$89,5,0)</f>
        <v>492.90150000000006</v>
      </c>
      <c r="P55" s="13">
        <f t="shared" si="33"/>
        <v>110.37606941207491</v>
      </c>
      <c r="Q55" s="20">
        <f t="shared" si="53"/>
        <v>1050.7084333926971</v>
      </c>
      <c r="R55" s="59">
        <f t="shared" si="0"/>
        <v>1344.0417667260303</v>
      </c>
      <c r="S55" s="59">
        <f ca="1">AVERAGE(OFFSET($R$3,0,0,'Données projet'!$E$9+1,1))-AVERAGE(OFFSET($H$3,0,0,'Données projet'!$E$9+1,1))</f>
        <v>549.43232095729741</v>
      </c>
      <c r="T55" s="59">
        <f t="shared" si="34"/>
        <v>280.26155987300996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8.1037392563747552</v>
      </c>
      <c r="AA55" s="21">
        <f>EXP(-LN(2)/25)*AA54+(1-EXP(-LN(2)/25))/(LN(2)/25)*Calculateur!V55*Calculateur!X55*VLOOKUP('Données projet'!$B$9,Paramètres!$A$1:$I$89,3,0)*0.475*44/12</f>
        <v>5.1934002685409402</v>
      </c>
      <c r="AB55" s="21">
        <f>EXP(-LN(2)/2)*AB54+(1-EXP(-LN(2)/2))/(LN(2)/2)*V55*Y55*VLOOKUP('Données projet'!$B$9,Paramètres!$A$1:$I$89,3,0)*0.475*44/12</f>
        <v>2.1998012702421879E-3</v>
      </c>
      <c r="AC55" s="22">
        <f t="shared" si="3"/>
        <v>13.299339326185939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19.2</v>
      </c>
      <c r="AI55" s="13">
        <f>IF('Données projet'!$A$62&gt;35,AI54+AH55-AQ54,IF(A55&lt;'Données projet'!$A$62,$AF$205^A55,IF(A55='Données projet'!$A$62,'Données projet'!$B$62,AI54+AH55-AQ54)))</f>
        <v>405.40000000000003</v>
      </c>
      <c r="AJ55" s="13">
        <f>AI55*VLOOKUP('Données projet'!$B$10,Paramètres!$A$1:$I$89,3,0)*VLOOKUP('Données projet'!$B$10,Paramètres!$A$1:$I$89,5,0)</f>
        <v>242.42920000000007</v>
      </c>
      <c r="AK55" s="13">
        <f t="shared" si="35"/>
        <v>58.961877963646693</v>
      </c>
      <c r="AL55" s="20">
        <f t="shared" si="4"/>
        <v>524.92279412001812</v>
      </c>
      <c r="AM55" s="59">
        <f t="shared" si="5"/>
        <v>818.25612745335138</v>
      </c>
      <c r="AN55" s="59">
        <f ca="1">AVERAGE(OFFSET($AM$3,0,0,'Données projet'!$E$10+1,1))-AVERAGE(OFFSET($H$3,0,0,'Données projet'!$E$10+1,1))</f>
        <v>348.62416478262719</v>
      </c>
      <c r="AO55" s="59">
        <f t="shared" si="36"/>
        <v>371.70674704563288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8.5671667935847076</v>
      </c>
      <c r="AV55" s="21">
        <f>EXP(-LN(2)/25)*AV54+(1-EXP(-LN(2)/25))/(LN(2)/25)*Calculateur!AQ55*Calculateur!AS55*VLOOKUP('Données projet'!$B$10,Paramètres!$A$1:$I$89,3,0)*0.475*44/12</f>
        <v>6.6334305564688263</v>
      </c>
      <c r="AW55" s="21">
        <f>EXP(-LN(2)/2)*AW54+(1-EXP(-LN(2)/2))/(LN(2)/2)*AQ55*AT55*VLOOKUP('Données projet'!$B$10,Paramètres!$A$1:$I$89,3,0)*0.475*44/12</f>
        <v>6.0818139094117795E-3</v>
      </c>
      <c r="AX55" s="21">
        <f t="shared" si="6"/>
        <v>15.206679163962946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223.4</v>
      </c>
      <c r="BE55" s="13">
        <f>BD55*VLOOKUP('Données projet'!$B$11,Paramètres!$A$1:$I$89,3,0)*VLOOKUP('Données projet'!$B$11,Paramètres!$A$1:$I$89,5,0)</f>
        <v>202.13232000000002</v>
      </c>
      <c r="BF55" s="13">
        <f t="shared" si="37"/>
        <v>50.212497488959627</v>
      </c>
      <c r="BG55" s="20">
        <f t="shared" si="7"/>
        <v>439.50055712660469</v>
      </c>
      <c r="BH55" s="59">
        <f t="shared" si="8"/>
        <v>732.83389045993795</v>
      </c>
      <c r="BI55" s="59">
        <f ca="1">AVERAGE(OFFSET($BH$3,0,0,'Données projet'!$E$11+1,1))-AVERAGE(OFFSET($H$3,0,0,'Données projet'!$E$11+1,1))</f>
        <v>405.7176439604217</v>
      </c>
      <c r="BJ55" s="59">
        <f t="shared" si="38"/>
        <v>278.21741231699929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4.7272231278347681</v>
      </c>
      <c r="BQ55" s="21">
        <f>EXP(-LN(2)/25)*BQ54+(1-EXP(-LN(2)/25))/(LN(2)/25)*Calculateur!BL55*Calculateur!BN55*VLOOKUP('Données projet'!$B$11,Paramètres!$A$1:$I$89,3,0)*0.475*44/12</f>
        <v>5.0885089150832732</v>
      </c>
      <c r="BR55" s="21">
        <f>EXP(-LN(2)/2)*BR54+(1-EXP(-LN(2)/2))/(LN(2)/2)*BL55*BO55*VLOOKUP('Données projet'!$B$11,Paramètres!$A$1:$I$89,3,0)*0.475*44/12</f>
        <v>4.1673987252625515E-3</v>
      </c>
      <c r="BS55" s="22">
        <f t="shared" si="9"/>
        <v>9.8198994416433045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213.60000000000016</v>
      </c>
      <c r="BZ55" s="13">
        <f>BY55*VLOOKUP('Données projet'!$B$12,Paramètres!$A$1:$I$89,3,0)*VLOOKUP('Données projet'!$B$12,Paramètres!$A$1:$I$89,5,0)</f>
        <v>186.60096000000016</v>
      </c>
      <c r="CA55" s="13">
        <f t="shared" si="39"/>
        <v>46.787685683664144</v>
      </c>
      <c r="CB55" s="20">
        <f t="shared" si="10"/>
        <v>406.48522456571527</v>
      </c>
      <c r="CC55" s="59">
        <f t="shared" si="11"/>
        <v>699.81855789904853</v>
      </c>
      <c r="CD55" s="59">
        <f ca="1">AVERAGE(OFFSET($CC$3,0,0,'Données projet'!$E$12+1,1))-AVERAGE(OFFSET($H$3,0,0,'Données projet'!$E$12+1,1))</f>
        <v>321.23599968992932</v>
      </c>
      <c r="CE55" s="59">
        <f t="shared" si="40"/>
        <v>388.05195847800502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2.363698116116316</v>
      </c>
      <c r="CL55" s="21">
        <f>EXP(-LN(2)/25)*CL54+(1-EXP(-LN(2)/25))/(LN(2)/25)*Calculateur!CG55*Calculateur!CI55*VLOOKUP('Données projet'!$B$12,Paramètres!$A$1:$I$89,3,0)*0.475*44/12</f>
        <v>11.464781569061753</v>
      </c>
      <c r="CM55" s="21">
        <f>EXP(-LN(2)/2)*CM54+(1-EXP(-LN(2)/2))/(LN(2)/2)*CG55*CJ55*VLOOKUP('Données projet'!$B$12,Paramètres!$A$1:$I$89,3,0)*0.475*44/12</f>
        <v>5.8900795722002883E-3</v>
      </c>
      <c r="CN55" s="22">
        <f t="shared" si="12"/>
        <v>13.834369764750269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7.833333333333333</v>
      </c>
      <c r="CT55" s="12">
        <f>IF('Données projet'!$A$140&gt;35,CT54+CS55-DB54,IF(A55&lt;'Données projet'!$A$140,$CQ$205^A55,IF(A55='Données projet'!$A$140,'Données projet'!$B$140,CT54+CS55-DB54)))</f>
        <v>147.33333333333334</v>
      </c>
      <c r="CU55" s="17">
        <f>CT55*VLOOKUP('Données projet'!$B$13,Paramètres!$A$1:$I$89,3,0)*VLOOKUP('Données projet'!$B$13,Paramètres!$A$1:$I$89,5,0)</f>
        <v>142.50080000000003</v>
      </c>
      <c r="CV55" s="13">
        <f t="shared" si="41"/>
        <v>36.869311984347171</v>
      </c>
      <c r="CW55" s="20">
        <f t="shared" si="13"/>
        <v>312.4029450394047</v>
      </c>
      <c r="CX55" s="59">
        <f t="shared" si="14"/>
        <v>605.73627837273807</v>
      </c>
      <c r="CY55" s="59">
        <f ca="1">AVERAGE(OFFSET($CX$3,0,0,'Données projet'!$E$13+1,1))-AVERAGE(OFFSET($H$3,0,0,'Données projet'!$E$13+1,1))</f>
        <v>399.24912109442175</v>
      </c>
      <c r="CZ55" s="59">
        <f t="shared" si="42"/>
        <v>269.83150082245305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7.833333333333333</v>
      </c>
      <c r="DO55" s="12">
        <f>IF('Données projet'!$A$166&gt;35,DO54+DN55-DW54,IF(A55&lt;'Données projet'!$A$166,$DL$205^A55,IF(A55='Données projet'!$A$166,'Données projet'!$B$166,DO54+DN55-DW54)))</f>
        <v>147.33333333333334</v>
      </c>
      <c r="DP55" s="17">
        <f>DO55*VLOOKUP('Données projet'!$B$14,Paramètres!$A$1:$I$89,3,0)*VLOOKUP('Données projet'!$B$14,Paramètres!$A$1:$I$89,5,0)</f>
        <v>158.58959999999999</v>
      </c>
      <c r="DQ55" s="13">
        <f t="shared" si="43"/>
        <v>40.524232006033088</v>
      </c>
      <c r="DR55" s="20">
        <f t="shared" si="16"/>
        <v>346.78992407717425</v>
      </c>
      <c r="DS55" s="59">
        <f t="shared" si="17"/>
        <v>640.12325741050756</v>
      </c>
      <c r="DT55" s="59">
        <f ca="1">AVERAGE(OFFSET($DS$3,0,0,'Données projet'!$E$14+1,1))-AVERAGE(OFFSET($H$3,0,0,'Données projet'!$E$14+1,1))</f>
        <v>439.66981240211362</v>
      </c>
      <c r="DU55" s="59">
        <f t="shared" si="44"/>
        <v>295.47805371292458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7.833333333333333</v>
      </c>
      <c r="EJ55" s="12">
        <f>IF('Données projet'!$A$192&gt;35,EJ54+EI55-ER54,IF(A55&lt;'Données projet'!$A$192,$EG$205^A55,IF(A55='Données projet'!$A$192,'Données projet'!$B$192,EJ54+EI55-ER54)))</f>
        <v>147.33333333333334</v>
      </c>
      <c r="EK55" s="17">
        <f>EJ55*VLOOKUP('Données projet'!$B$15,Paramètres!$A$1:$I$89,3,0)*VLOOKUP('Données projet'!$B$15,Paramètres!$A$1:$I$89,5,0)</f>
        <v>140.20240000000001</v>
      </c>
      <c r="EL55" s="13">
        <f t="shared" si="45"/>
        <v>36.34336859356543</v>
      </c>
      <c r="EM55" s="20">
        <f t="shared" si="19"/>
        <v>307.48388030045982</v>
      </c>
      <c r="EN55" s="59">
        <f t="shared" si="20"/>
        <v>600.81721363379313</v>
      </c>
      <c r="EO55" s="59">
        <f ca="1">AVERAGE(OFFSET($EN$3,0,0,'Données projet'!$E$15+1,1))-AVERAGE(OFFSET($H$3,0,0,'Données projet'!$E$15+1,1))</f>
        <v>393.46715670823653</v>
      </c>
      <c r="EP55" s="59">
        <f t="shared" si="46"/>
        <v>266.16261355327214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-256.625</v>
      </c>
      <c r="N56" s="13">
        <f>IF('Données projet'!$A$36&gt;35,N55+M56-V55,IF(A56&lt;'Données projet'!$A$36,$K$205^A56,IF(A56='Données projet'!$A$36,'Données projet'!$B$36,N55+M56-V55)))</f>
        <v>567.625</v>
      </c>
      <c r="O56" s="13">
        <f>N56*VLOOKUP('Données projet'!$B$9,Paramètres!$A$1:$I$89,3,0)*VLOOKUP('Données projet'!$B$9,Paramètres!$A$1:$I$89,5,0)</f>
        <v>339.43975000000006</v>
      </c>
      <c r="P56" s="13">
        <f t="shared" si="33"/>
        <v>79.384184117117783</v>
      </c>
      <c r="Q56" s="20">
        <f t="shared" si="53"/>
        <v>729.45168525398014</v>
      </c>
      <c r="R56" s="59">
        <f t="shared" si="0"/>
        <v>1022.7850185873135</v>
      </c>
      <c r="S56" s="59">
        <f ca="1">AVERAGE(OFFSET($R$3,0,0,'Données projet'!$E$9+1,1))-AVERAGE(OFFSET($H$3,0,0,'Données projet'!$E$9+1,1))</f>
        <v>549.43232095729741</v>
      </c>
      <c r="T56" s="59">
        <f t="shared" si="34"/>
        <v>280.26155987300996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7.944829872350132</v>
      </c>
      <c r="AA56" s="21">
        <f>EXP(-LN(2)/25)*AA55+(1-EXP(-LN(2)/25))/(LN(2)/25)*Calculateur!V56*Calculateur!X56*VLOOKUP('Données projet'!$B$9,Paramètres!$A$1:$I$89,3,0)*0.475*44/12</f>
        <v>5.0513864650886378</v>
      </c>
      <c r="AB56" s="21">
        <f>EXP(-LN(2)/2)*AB55+(1-EXP(-LN(2)/2))/(LN(2)/2)*V56*Y56*VLOOKUP('Données projet'!$B$9,Paramètres!$A$1:$I$89,3,0)*0.475*44/12</f>
        <v>1.5554943954510321E-3</v>
      </c>
      <c r="AC56" s="22">
        <f t="shared" si="3"/>
        <v>12.997771831834221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19.2</v>
      </c>
      <c r="AI56" s="13">
        <f>IF('Données projet'!$A$62&gt;35,AI55+AH56-AQ55,IF(A56&lt;'Données projet'!$A$62,$AF$205^A56,IF(A56='Données projet'!$A$62,'Données projet'!$B$62,AI55+AH56-AQ55)))</f>
        <v>424.6</v>
      </c>
      <c r="AJ56" s="13">
        <f>AI56*VLOOKUP('Données projet'!$B$10,Paramètres!$A$1:$I$89,3,0)*VLOOKUP('Données projet'!$B$10,Paramètres!$A$1:$I$89,5,0)</f>
        <v>253.91080000000005</v>
      </c>
      <c r="AK56" s="13">
        <f t="shared" si="35"/>
        <v>61.422621781167194</v>
      </c>
      <c r="AL56" s="20">
        <f t="shared" si="4"/>
        <v>549.20570960219959</v>
      </c>
      <c r="AM56" s="59">
        <f t="shared" si="5"/>
        <v>842.53904293553296</v>
      </c>
      <c r="AN56" s="59">
        <f ca="1">AVERAGE(OFFSET($AM$3,0,0,'Données projet'!$E$10+1,1))-AVERAGE(OFFSET($H$3,0,0,'Données projet'!$E$10+1,1))</f>
        <v>348.62416478262719</v>
      </c>
      <c r="AO56" s="59">
        <f t="shared" si="36"/>
        <v>371.70674704563288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8.3991698782182844</v>
      </c>
      <c r="AV56" s="21">
        <f>EXP(-LN(2)/25)*AV55+(1-EXP(-LN(2)/25))/(LN(2)/25)*Calculateur!AQ56*Calculateur!AS56*VLOOKUP('Données projet'!$B$10,Paramètres!$A$1:$I$89,3,0)*0.475*44/12</f>
        <v>6.4520390490652346</v>
      </c>
      <c r="AW56" s="21">
        <f>EXP(-LN(2)/2)*AW55+(1-EXP(-LN(2)/2))/(LN(2)/2)*AQ56*AT56*VLOOKUP('Données projet'!$B$10,Paramètres!$A$1:$I$89,3,0)*0.475*44/12</f>
        <v>4.3004918572597363E-3</v>
      </c>
      <c r="AX56" s="21">
        <f t="shared" si="6"/>
        <v>14.855509419140779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233.6</v>
      </c>
      <c r="BE56" s="13">
        <f>BD56*VLOOKUP('Données projet'!$B$11,Paramètres!$A$1:$I$89,3,0)*VLOOKUP('Données projet'!$B$11,Paramètres!$A$1:$I$89,5,0)</f>
        <v>211.36127999999999</v>
      </c>
      <c r="BF56" s="13">
        <f t="shared" si="37"/>
        <v>52.232947669705631</v>
      </c>
      <c r="BG56" s="20">
        <f t="shared" si="7"/>
        <v>459.09327985807062</v>
      </c>
      <c r="BH56" s="59">
        <f t="shared" si="8"/>
        <v>752.42661319140393</v>
      </c>
      <c r="BI56" s="59">
        <f ca="1">AVERAGE(OFFSET($BH$3,0,0,'Données projet'!$E$11+1,1))-AVERAGE(OFFSET($H$3,0,0,'Données projet'!$E$11+1,1))</f>
        <v>405.7176439604217</v>
      </c>
      <c r="BJ56" s="59">
        <f t="shared" si="38"/>
        <v>278.21741231699929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4.6345251656193316</v>
      </c>
      <c r="BQ56" s="21">
        <f>EXP(-LN(2)/25)*BQ55+(1-EXP(-LN(2)/25))/(LN(2)/25)*Calculateur!BL56*Calculateur!BN56*VLOOKUP('Données projet'!$B$11,Paramètres!$A$1:$I$89,3,0)*0.475*44/12</f>
        <v>4.9493633712072675</v>
      </c>
      <c r="BR56" s="21">
        <f>EXP(-LN(2)/2)*BR55+(1-EXP(-LN(2)/2))/(LN(2)/2)*BL56*BO56*VLOOKUP('Données projet'!$B$11,Paramètres!$A$1:$I$89,3,0)*0.475*44/12</f>
        <v>2.9467958985413241E-3</v>
      </c>
      <c r="BS56" s="22">
        <f t="shared" si="9"/>
        <v>9.5868353327251405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221.40000000000018</v>
      </c>
      <c r="BZ56" s="13">
        <f>BY56*VLOOKUP('Données projet'!$B$12,Paramètres!$A$1:$I$89,3,0)*VLOOKUP('Données projet'!$B$12,Paramètres!$A$1:$I$89,5,0)</f>
        <v>193.41504000000018</v>
      </c>
      <c r="CA56" s="13">
        <f t="shared" si="39"/>
        <v>48.294185132315114</v>
      </c>
      <c r="CB56" s="20">
        <f t="shared" si="10"/>
        <v>420.97690043878242</v>
      </c>
      <c r="CC56" s="59">
        <f t="shared" si="11"/>
        <v>714.31023377211568</v>
      </c>
      <c r="CD56" s="59">
        <f ca="1">AVERAGE(OFFSET($CC$3,0,0,'Données projet'!$E$12+1,1))-AVERAGE(OFFSET($H$3,0,0,'Données projet'!$E$12+1,1))</f>
        <v>321.23599968992932</v>
      </c>
      <c r="CE56" s="59">
        <f t="shared" si="40"/>
        <v>388.05195847800502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2.3173474377727685</v>
      </c>
      <c r="CL56" s="21">
        <f>EXP(-LN(2)/25)*CL55+(1-EXP(-LN(2)/25))/(LN(2)/25)*Calculateur!CG56*Calculateur!CI56*VLOOKUP('Données projet'!$B$12,Paramètres!$A$1:$I$89,3,0)*0.475*44/12</f>
        <v>11.151276514149099</v>
      </c>
      <c r="CM56" s="21">
        <f>EXP(-LN(2)/2)*CM55+(1-EXP(-LN(2)/2))/(LN(2)/2)*CG56*CJ56*VLOOKUP('Données projet'!$B$12,Paramètres!$A$1:$I$89,3,0)*0.475*44/12</f>
        <v>4.1649152072311827E-3</v>
      </c>
      <c r="CN56" s="22">
        <f t="shared" si="12"/>
        <v>13.472788867129101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7.833333333333333</v>
      </c>
      <c r="CT56" s="12">
        <f>IF('Données projet'!$A$140&gt;35,CT55+CS56-DB55,IF(A56&lt;'Données projet'!$A$140,$CQ$205^A56,IF(A56='Données projet'!$A$140,'Données projet'!$B$140,CT55+CS56-DB55)))</f>
        <v>155.16666666666669</v>
      </c>
      <c r="CU56" s="17">
        <f>CT56*VLOOKUP('Données projet'!$B$13,Paramètres!$A$1:$I$89,3,0)*VLOOKUP('Données projet'!$B$13,Paramètres!$A$1:$I$89,5,0)</f>
        <v>150.07720000000003</v>
      </c>
      <c r="CV56" s="13">
        <f t="shared" si="41"/>
        <v>38.596129072470717</v>
      </c>
      <c r="CW56" s="20">
        <f t="shared" si="13"/>
        <v>328.60604813455319</v>
      </c>
      <c r="CX56" s="59">
        <f t="shared" si="14"/>
        <v>621.93938146788651</v>
      </c>
      <c r="CY56" s="59">
        <f ca="1">AVERAGE(OFFSET($CX$3,0,0,'Données projet'!$E$13+1,1))-AVERAGE(OFFSET($H$3,0,0,'Données projet'!$E$13+1,1))</f>
        <v>399.24912109442175</v>
      </c>
      <c r="CZ56" s="59">
        <f t="shared" si="42"/>
        <v>269.83150082245305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7.833333333333333</v>
      </c>
      <c r="DO56" s="12">
        <f>IF('Données projet'!$A$166&gt;35,DO55+DN56-DW55,IF(A56&lt;'Données projet'!$A$166,$DL$205^A56,IF(A56='Données projet'!$A$166,'Données projet'!$B$166,DO55+DN56-DW55)))</f>
        <v>155.16666666666669</v>
      </c>
      <c r="DP56" s="17">
        <f>DO56*VLOOKUP('Données projet'!$B$14,Paramètres!$A$1:$I$89,3,0)*VLOOKUP('Données projet'!$B$14,Paramètres!$A$1:$I$89,5,0)</f>
        <v>167.0214</v>
      </c>
      <c r="DQ56" s="13">
        <f t="shared" si="43"/>
        <v>42.42223152229235</v>
      </c>
      <c r="DR56" s="20">
        <f t="shared" si="16"/>
        <v>364.78099156799249</v>
      </c>
      <c r="DS56" s="59">
        <f t="shared" si="17"/>
        <v>658.11432490132574</v>
      </c>
      <c r="DT56" s="59">
        <f ca="1">AVERAGE(OFFSET($DS$3,0,0,'Données projet'!$E$14+1,1))-AVERAGE(OFFSET($H$3,0,0,'Données projet'!$E$14+1,1))</f>
        <v>439.66981240211362</v>
      </c>
      <c r="DU56" s="59">
        <f t="shared" si="44"/>
        <v>295.47805371292458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7.833333333333333</v>
      </c>
      <c r="EJ56" s="12">
        <f>IF('Données projet'!$A$192&gt;35,EJ55+EI56-ER55,IF(A56&lt;'Données projet'!$A$192,$EG$205^A56,IF(A56='Données projet'!$A$192,'Données projet'!$B$192,EJ55+EI56-ER55)))</f>
        <v>155.16666666666669</v>
      </c>
      <c r="EK56" s="17">
        <f>EJ56*VLOOKUP('Données projet'!$B$15,Paramètres!$A$1:$I$89,3,0)*VLOOKUP('Données projet'!$B$15,Paramètres!$A$1:$I$89,5,0)</f>
        <v>147.6566</v>
      </c>
      <c r="EL56" s="13">
        <f t="shared" si="45"/>
        <v>38.045552511561667</v>
      </c>
      <c r="EM56" s="20">
        <f t="shared" si="19"/>
        <v>323.43124895763657</v>
      </c>
      <c r="EN56" s="59">
        <f t="shared" si="20"/>
        <v>616.76458229096988</v>
      </c>
      <c r="EO56" s="59">
        <f ca="1">AVERAGE(OFFSET($EN$3,0,0,'Données projet'!$E$15+1,1))-AVERAGE(OFFSET($H$3,0,0,'Données projet'!$E$15+1,1))</f>
        <v>393.46715670823653</v>
      </c>
      <c r="EP56" s="59">
        <f t="shared" si="46"/>
        <v>266.16261355327214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-256.625</v>
      </c>
      <c r="M57" s="12">
        <f t="array" ref="M57">INDEX(L:L,MIN(IF(ISNUMBER(L57:L253),ROW(L57:L253),"")))</f>
        <v>-256.625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projet'!$B$9,Paramètres!$A$1:$I$89,3,0)*VLOOKUP('Données projet'!$B$9,Paramètres!$A$1:$I$89,5,0)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549.43232095729741</v>
      </c>
      <c r="T57" s="59">
        <f t="shared" si="34"/>
        <v>280.26155987300996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7.7890366044210788</v>
      </c>
      <c r="AA57" s="21">
        <f>EXP(-LN(2)/25)*AA56+(1-EXP(-LN(2)/25))/(LN(2)/25)*Calculateur!V57*Calculateur!X57*VLOOKUP('Données projet'!$B$9,Paramètres!$A$1:$I$89,3,0)*0.475*44/12</f>
        <v>4.91325603655992</v>
      </c>
      <c r="AB57" s="21">
        <f>EXP(-LN(2)/2)*AB56+(1-EXP(-LN(2)/2))/(LN(2)/2)*V57*Y57*VLOOKUP('Données projet'!$B$9,Paramètres!$A$1:$I$89,3,0)*0.475*44/12</f>
        <v>1.099900635121094E-3</v>
      </c>
      <c r="AC57" s="22">
        <f t="shared" si="3"/>
        <v>12.70339254161612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19.2</v>
      </c>
      <c r="AI57" s="13">
        <f>IF('Données projet'!$A$62&gt;35,AI56+AH57-AQ56,IF(A57&lt;'Données projet'!$A$62,$AF$205^A57,IF(A57='Données projet'!$A$62,'Données projet'!$B$62,AI56+AH57-AQ56)))</f>
        <v>443.8</v>
      </c>
      <c r="AJ57" s="13">
        <f>AI57*VLOOKUP('Données projet'!$B$10,Paramètres!$A$1:$I$89,3,0)*VLOOKUP('Données projet'!$B$10,Paramètres!$A$1:$I$89,5,0)</f>
        <v>265.39240000000007</v>
      </c>
      <c r="AK57" s="13">
        <f t="shared" si="35"/>
        <v>63.870442862391819</v>
      </c>
      <c r="AL57" s="20">
        <f t="shared" si="4"/>
        <v>573.46611798533252</v>
      </c>
      <c r="AM57" s="59">
        <f t="shared" si="5"/>
        <v>866.79945131866589</v>
      </c>
      <c r="AN57" s="59">
        <f ca="1">AVERAGE(OFFSET($AM$3,0,0,'Données projet'!$E$10+1,1))-AVERAGE(OFFSET($H$3,0,0,'Données projet'!$E$10+1,1))</f>
        <v>348.62416478262719</v>
      </c>
      <c r="AO57" s="59">
        <f t="shared" si="36"/>
        <v>371.70674704563288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8.2344672798941971</v>
      </c>
      <c r="AV57" s="21">
        <f>EXP(-LN(2)/25)*AV56+(1-EXP(-LN(2)/25))/(LN(2)/25)*Calculateur!AQ57*Calculateur!AS57*VLOOKUP('Données projet'!$B$10,Paramètres!$A$1:$I$89,3,0)*0.475*44/12</f>
        <v>6.2756077019705589</v>
      </c>
      <c r="AW57" s="21">
        <f>EXP(-LN(2)/2)*AW56+(1-EXP(-LN(2)/2))/(LN(2)/2)*AQ57*AT57*VLOOKUP('Données projet'!$B$10,Paramètres!$A$1:$I$89,3,0)*0.475*44/12</f>
        <v>3.0409069547058898E-3</v>
      </c>
      <c r="AX57" s="21">
        <f t="shared" si="6"/>
        <v>14.513115888819462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243.79999999999998</v>
      </c>
      <c r="BE57" s="13">
        <f>BD57*VLOOKUP('Données projet'!$B$11,Paramètres!$A$1:$I$89,3,0)*VLOOKUP('Données projet'!$B$11,Paramètres!$A$1:$I$89,5,0)</f>
        <v>220.59023999999997</v>
      </c>
      <c r="BF57" s="13">
        <f t="shared" si="37"/>
        <v>54.24315145708789</v>
      </c>
      <c r="BG57" s="20">
        <f t="shared" si="7"/>
        <v>478.66815678776129</v>
      </c>
      <c r="BH57" s="59">
        <f t="shared" si="8"/>
        <v>772.00149012109455</v>
      </c>
      <c r="BI57" s="59">
        <f ca="1">AVERAGE(OFFSET($BH$3,0,0,'Données projet'!$E$11+1,1))-AVERAGE(OFFSET($H$3,0,0,'Données projet'!$E$11+1,1))</f>
        <v>405.7176439604217</v>
      </c>
      <c r="BJ57" s="59">
        <f t="shared" si="38"/>
        <v>278.21741231699929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4.5436449539027661</v>
      </c>
      <c r="BQ57" s="21">
        <f>EXP(-LN(2)/25)*BQ56+(1-EXP(-LN(2)/25))/(LN(2)/25)*Calculateur!BL57*Calculateur!BN57*VLOOKUP('Données projet'!$B$11,Paramètres!$A$1:$I$89,3,0)*0.475*44/12</f>
        <v>4.8140227695458968</v>
      </c>
      <c r="BR57" s="21">
        <f>EXP(-LN(2)/2)*BR56+(1-EXP(-LN(2)/2))/(LN(2)/2)*BL57*BO57*VLOOKUP('Données projet'!$B$11,Paramètres!$A$1:$I$89,3,0)*0.475*44/12</f>
        <v>2.0836993626312758E-3</v>
      </c>
      <c r="BS57" s="22">
        <f t="shared" si="9"/>
        <v>9.3597514228112946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229.20000000000019</v>
      </c>
      <c r="BZ57" s="13">
        <f>BY57*VLOOKUP('Données projet'!$B$12,Paramètres!$A$1:$I$89,3,0)*VLOOKUP('Données projet'!$B$12,Paramètres!$A$1:$I$89,5,0)</f>
        <v>200.22912000000019</v>
      </c>
      <c r="CA57" s="13">
        <f t="shared" si="39"/>
        <v>49.794518010766396</v>
      </c>
      <c r="CB57" s="20">
        <f t="shared" si="10"/>
        <v>435.45783620208516</v>
      </c>
      <c r="CC57" s="59">
        <f t="shared" si="11"/>
        <v>728.79116953541848</v>
      </c>
      <c r="CD57" s="59">
        <f ca="1">AVERAGE(OFFSET($CC$3,0,0,'Données projet'!$E$12+1,1))-AVERAGE(OFFSET($H$3,0,0,'Données projet'!$E$12+1,1))</f>
        <v>321.23599968992932</v>
      </c>
      <c r="CE57" s="59">
        <f t="shared" si="40"/>
        <v>388.05195847800502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2.2719056679604157</v>
      </c>
      <c r="CL57" s="21">
        <f>EXP(-LN(2)/25)*CL56+(1-EXP(-LN(2)/25))/(LN(2)/25)*Calculateur!CG57*Calculateur!CI57*VLOOKUP('Données projet'!$B$12,Paramètres!$A$1:$I$89,3,0)*0.475*44/12</f>
        <v>10.846344271449547</v>
      </c>
      <c r="CM57" s="21">
        <f>EXP(-LN(2)/2)*CM56+(1-EXP(-LN(2)/2))/(LN(2)/2)*CG57*CJ57*VLOOKUP('Données projet'!$B$12,Paramètres!$A$1:$I$89,3,0)*0.475*44/12</f>
        <v>2.9450397861001442E-3</v>
      </c>
      <c r="CN57" s="22">
        <f t="shared" si="12"/>
        <v>13.121194979196064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>
        <f>VLOOKUP(A57,'Données projet'!$A$139:$I$159,2,0)</f>
        <v>163</v>
      </c>
      <c r="CR57" s="12">
        <f>VLOOKUP(A57,'Données projet'!$A$139:$I$159,9,0)</f>
        <v>7.833333333333333</v>
      </c>
      <c r="CS57" s="12">
        <f t="array" ref="CS57">INDEX(CR:CR,MIN(IF(ISNUMBER(CR57:CR253),ROW(CR57:CR253),"")))</f>
        <v>7.833333333333333</v>
      </c>
      <c r="CT57" s="12">
        <f>IF('Données projet'!$A$140&gt;35,CT56+CS57-DB56,IF(A57&lt;'Données projet'!$A$140,$CQ$205^A57,IF(A57='Données projet'!$A$140,'Données projet'!$B$140,CT56+CS57-DB56)))</f>
        <v>163.00000000000003</v>
      </c>
      <c r="CU57" s="17">
        <f>CT57*VLOOKUP('Données projet'!$B$13,Paramètres!$A$1:$I$89,3,0)*VLOOKUP('Données projet'!$B$13,Paramètres!$A$1:$I$89,5,0)</f>
        <v>157.65360000000004</v>
      </c>
      <c r="CV57" s="13">
        <f t="shared" si="41"/>
        <v>40.31282414727238</v>
      </c>
      <c r="CW57" s="20">
        <f t="shared" si="13"/>
        <v>344.79152205649945</v>
      </c>
      <c r="CX57" s="59">
        <f t="shared" si="14"/>
        <v>638.12485538983276</v>
      </c>
      <c r="CY57" s="59">
        <f ca="1">AVERAGE(OFFSET($CX$3,0,0,'Données projet'!$E$13+1,1))-AVERAGE(OFFSET($H$3,0,0,'Données projet'!$E$13+1,1))</f>
        <v>399.24912109442175</v>
      </c>
      <c r="CZ57" s="59">
        <f t="shared" si="42"/>
        <v>269.83150082245305</v>
      </c>
      <c r="DA57" s="15">
        <f>IF(ISNA(VLOOKUP(A57,'Données projet'!$A$139:$I$159,3,0)),0,VLOOKUP(A57,'Données projet'!$A$139:$I$159,3,0))</f>
        <v>4</v>
      </c>
      <c r="DB57" s="15">
        <f>IF(ISNA(VLOOKUP(A57,'Données projet'!$A$139:$I$159,4,0)),0,VLOOKUP(A57,'Données projet'!$A$139:$I$159,4,0))</f>
        <v>31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>
        <f>VLOOKUP(A57,'Données projet'!$A$165:$I$185,2,0)</f>
        <v>163</v>
      </c>
      <c r="DM57" s="12">
        <f>VLOOKUP(A57,'Données projet'!$A$165:$I$185,9,0)</f>
        <v>7.833333333333333</v>
      </c>
      <c r="DN57" s="12">
        <f t="array" ref="DN57">INDEX(DM:DM,MIN(IF(ISNUMBER(DM57:DM253),ROW(DM57:DM253),"")))</f>
        <v>7.833333333333333</v>
      </c>
      <c r="DO57" s="12">
        <f>IF('Données projet'!$A$166&gt;35,DO56+DN57-DW56,IF(A57&lt;'Données projet'!$A$166,$DL$205^A57,IF(A57='Données projet'!$A$166,'Données projet'!$B$166,DO56+DN57-DW56)))</f>
        <v>163.00000000000003</v>
      </c>
      <c r="DP57" s="17">
        <f>DO57*VLOOKUP('Données projet'!$B$14,Paramètres!$A$1:$I$89,3,0)*VLOOKUP('Données projet'!$B$14,Paramètres!$A$1:$I$89,5,0)</f>
        <v>175.45320000000004</v>
      </c>
      <c r="DQ57" s="13">
        <f t="shared" si="43"/>
        <v>44.309105612169866</v>
      </c>
      <c r="DR57" s="20">
        <f t="shared" si="16"/>
        <v>382.75268227452926</v>
      </c>
      <c r="DS57" s="59">
        <f t="shared" si="17"/>
        <v>676.08601560786258</v>
      </c>
      <c r="DT57" s="59">
        <f ca="1">AVERAGE(OFFSET($DS$3,0,0,'Données projet'!$E$14+1,1))-AVERAGE(OFFSET($H$3,0,0,'Données projet'!$E$14+1,1))</f>
        <v>439.66981240211362</v>
      </c>
      <c r="DU57" s="59">
        <f t="shared" si="44"/>
        <v>295.47805371292458</v>
      </c>
      <c r="DV57" s="15">
        <f>IF(ISNA(VLOOKUP(A57,'Données projet'!$A$165:$I$185,3,0)),0,VLOOKUP(A57,'Données projet'!$A$165:$I$185,3,0))</f>
        <v>4</v>
      </c>
      <c r="DW57" s="15">
        <f>IF(ISNA(VLOOKUP(A57,'Données projet'!$A$165:$I$185,4,0)),0,VLOOKUP(A57,'Données projet'!$A$165:$I$185,4,0))</f>
        <v>31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163</v>
      </c>
      <c r="EH57" s="12">
        <f>VLOOKUP(A57,'Données projet'!$A$191:$I$211,9,0)</f>
        <v>7.833333333333333</v>
      </c>
      <c r="EI57" s="12">
        <f t="array" ref="EI57">INDEX(EH:EH,MIN(IF(ISNUMBER(EH57:EH253),ROW(EH57:EH253),"")))</f>
        <v>7.833333333333333</v>
      </c>
      <c r="EJ57" s="12">
        <f>IF('Données projet'!$A$192&gt;35,EJ56+EI57-ER56,IF(A57&lt;'Données projet'!$A$192,$EG$205^A57,IF(A57='Données projet'!$A$192,'Données projet'!$B$192,EJ56+EI57-ER56)))</f>
        <v>163.00000000000003</v>
      </c>
      <c r="EK57" s="17">
        <f>EJ57*VLOOKUP('Données projet'!$B$15,Paramètres!$A$1:$I$89,3,0)*VLOOKUP('Données projet'!$B$15,Paramètres!$A$1:$I$89,5,0)</f>
        <v>155.11080000000004</v>
      </c>
      <c r="EL57" s="13">
        <f t="shared" si="45"/>
        <v>39.737758807485029</v>
      </c>
      <c r="EM57" s="20">
        <f t="shared" si="19"/>
        <v>339.36123992303646</v>
      </c>
      <c r="EN57" s="59">
        <f t="shared" si="20"/>
        <v>632.69457325636972</v>
      </c>
      <c r="EO57" s="59">
        <f ca="1">AVERAGE(OFFSET($EN$3,0,0,'Données projet'!$E$15+1,1))-AVERAGE(OFFSET($H$3,0,0,'Données projet'!$E$15+1,1))</f>
        <v>393.46715670823653</v>
      </c>
      <c r="EP57" s="59">
        <f t="shared" si="46"/>
        <v>266.16261355327214</v>
      </c>
      <c r="EQ57" s="15">
        <f>IF(ISNA(VLOOKUP(A57,'Données projet'!$A$191:$I$211,3,0)),0,VLOOKUP(A57,'Données projet'!$A$191:$I$211,3,0))</f>
        <v>4</v>
      </c>
      <c r="ER57" s="15">
        <f>IF(ISNA(VLOOKUP(A57,'Données projet'!$A$191:$I$211,4,0)),0,VLOOKUP(A57,'Données projet'!$A$191:$I$211,4,0))</f>
        <v>31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projet'!$B$9,Paramètres!$A$1:$I$89,3,0)*VLOOKUP('Données projet'!$B$9,Paramètres!$A$1:$I$89,5,0)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549.43232095729741</v>
      </c>
      <c r="T58" s="59">
        <f t="shared" si="34"/>
        <v>280.26155987300996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7.6362983474516035</v>
      </c>
      <c r="AA58" s="21">
        <f>EXP(-LN(2)/25)*AA57+(1-EXP(-LN(2)/25))/(LN(2)/25)*Calculateur!V58*Calculateur!X58*VLOOKUP('Données projet'!$B$9,Paramètres!$A$1:$I$89,3,0)*0.475*44/12</f>
        <v>4.7789027918632838</v>
      </c>
      <c r="AB58" s="21">
        <f>EXP(-LN(2)/2)*AB57+(1-EXP(-LN(2)/2))/(LN(2)/2)*V58*Y58*VLOOKUP('Données projet'!$B$9,Paramètres!$A$1:$I$89,3,0)*0.475*44/12</f>
        <v>7.7774719772551605E-4</v>
      </c>
      <c r="AC58" s="22">
        <f t="shared" si="3"/>
        <v>12.415978886512613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463</v>
      </c>
      <c r="AG58" s="12">
        <f>VLOOKUP(A58,'Données projet'!$A$61:$I$81,9,0)</f>
        <v>19.2</v>
      </c>
      <c r="AH58" s="12">
        <f t="array" ref="AH58">INDEX(AG:AG,MIN(IF(ISNUMBER(AG58:AG254),ROW(AG58:AG254),"")))</f>
        <v>19.2</v>
      </c>
      <c r="AI58" s="13">
        <f>IF('Données projet'!$A$62&gt;35,AI57+AH58-AQ57,IF(A58&lt;'Données projet'!$A$62,$AF$205^A58,IF(A58='Données projet'!$A$62,'Données projet'!$B$62,AI57+AH58-AQ57)))</f>
        <v>463</v>
      </c>
      <c r="AJ58" s="13">
        <f>AI58*VLOOKUP('Données projet'!$B$10,Paramètres!$A$1:$I$89,3,0)*VLOOKUP('Données projet'!$B$10,Paramètres!$A$1:$I$89,5,0)</f>
        <v>276.87400000000002</v>
      </c>
      <c r="AK58" s="13">
        <f t="shared" si="35"/>
        <v>66.305964184031993</v>
      </c>
      <c r="AL58" s="20">
        <f t="shared" si="4"/>
        <v>597.7051042871891</v>
      </c>
      <c r="AM58" s="59">
        <f t="shared" si="5"/>
        <v>891.03843762052247</v>
      </c>
      <c r="AN58" s="59">
        <f ca="1">AVERAGE(OFFSET($AM$3,0,0,'Données projet'!$E$10+1,1))-AVERAGE(OFFSET($H$3,0,0,'Données projet'!$E$10+1,1))</f>
        <v>348.62416478262719</v>
      </c>
      <c r="AO58" s="59">
        <f t="shared" si="36"/>
        <v>371.70674704563288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48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8.0729943990645783</v>
      </c>
      <c r="AV58" s="21">
        <f>EXP(-LN(2)/25)*AV57+(1-EXP(-LN(2)/25))/(LN(2)/25)*Calculateur!AQ58*Calculateur!AS58*VLOOKUP('Données projet'!$B$10,Paramètres!$A$1:$I$89,3,0)*0.475*44/12</f>
        <v>6.1040008793403082</v>
      </c>
      <c r="AW58" s="21">
        <f>EXP(-LN(2)/2)*AW57+(1-EXP(-LN(2)/2))/(LN(2)/2)*AQ58*AT58*VLOOKUP('Données projet'!$B$10,Paramètres!$A$1:$I$89,3,0)*0.475*44/12</f>
        <v>2.1502459286298682E-3</v>
      </c>
      <c r="AX58" s="21">
        <f t="shared" si="6"/>
        <v>14.179145524333517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253.99999999999997</v>
      </c>
      <c r="BE58" s="13">
        <f>BD58*VLOOKUP('Données projet'!$B$11,Paramètres!$A$1:$I$89,3,0)*VLOOKUP('Données projet'!$B$11,Paramètres!$A$1:$I$89,5,0)</f>
        <v>229.81919999999997</v>
      </c>
      <c r="BF58" s="13">
        <f t="shared" si="37"/>
        <v>56.243586554989342</v>
      </c>
      <c r="BG58" s="20">
        <f t="shared" si="7"/>
        <v>498.22601991660639</v>
      </c>
      <c r="BH58" s="59">
        <f t="shared" si="8"/>
        <v>791.5593532499397</v>
      </c>
      <c r="BI58" s="59">
        <f ca="1">AVERAGE(OFFSET($BH$3,0,0,'Données projet'!$E$11+1,1))-AVERAGE(OFFSET($H$3,0,0,'Données projet'!$E$11+1,1))</f>
        <v>405.7176439604217</v>
      </c>
      <c r="BJ58" s="59">
        <f t="shared" si="38"/>
        <v>278.21741231699929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4.4545468477065064</v>
      </c>
      <c r="BQ58" s="21">
        <f>EXP(-LN(2)/25)*BQ57+(1-EXP(-LN(2)/25))/(LN(2)/25)*Calculateur!BL58*Calculateur!BN58*VLOOKUP('Données projet'!$B$11,Paramètres!$A$1:$I$89,3,0)*0.475*44/12</f>
        <v>4.6823830637542097</v>
      </c>
      <c r="BR58" s="21">
        <f>EXP(-LN(2)/2)*BR57+(1-EXP(-LN(2)/2))/(LN(2)/2)*BL58*BO58*VLOOKUP('Données projet'!$B$11,Paramètres!$A$1:$I$89,3,0)*0.475*44/12</f>
        <v>1.4733979492706621E-3</v>
      </c>
      <c r="BS58" s="22">
        <f t="shared" si="9"/>
        <v>9.1384033094099859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237</v>
      </c>
      <c r="BW58" s="12">
        <f>VLOOKUP(A58,'Données projet'!$A$113:$I$133,9,0)</f>
        <v>7.8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237.0000000000002</v>
      </c>
      <c r="BZ58" s="13">
        <f>BY58*VLOOKUP('Données projet'!$B$12,Paramètres!$A$1:$I$89,3,0)*VLOOKUP('Données projet'!$B$12,Paramètres!$A$1:$I$89,5,0)</f>
        <v>207.04320000000018</v>
      </c>
      <c r="CA58" s="13">
        <f t="shared" si="39"/>
        <v>51.28891823180637</v>
      </c>
      <c r="CB58" s="20">
        <f t="shared" si="10"/>
        <v>449.92843925372966</v>
      </c>
      <c r="CC58" s="59">
        <f t="shared" si="11"/>
        <v>743.26177258706298</v>
      </c>
      <c r="CD58" s="59">
        <f ca="1">AVERAGE(OFFSET($CC$3,0,0,'Données projet'!$E$12+1,1))-AVERAGE(OFFSET($H$3,0,0,'Données projet'!$E$12+1,1))</f>
        <v>321.23599968992932</v>
      </c>
      <c r="CE58" s="59">
        <f t="shared" si="40"/>
        <v>388.05195847800502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29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2.2273549835373405</v>
      </c>
      <c r="CL58" s="21">
        <f>EXP(-LN(2)/25)*CL57+(1-EXP(-LN(2)/25))/(LN(2)/25)*Calculateur!CG58*Calculateur!CI58*VLOOKUP('Données projet'!$B$12,Paramètres!$A$1:$I$89,3,0)*0.475*44/12</f>
        <v>10.549750416962304</v>
      </c>
      <c r="CM58" s="21">
        <f>EXP(-LN(2)/2)*CM57+(1-EXP(-LN(2)/2))/(LN(2)/2)*CG58*CJ58*VLOOKUP('Données projet'!$B$12,Paramètres!$A$1:$I$89,3,0)*0.475*44/12</f>
        <v>2.0824576036155913E-3</v>
      </c>
      <c r="CN58" s="22">
        <f t="shared" si="12"/>
        <v>12.77918785810326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7.625</v>
      </c>
      <c r="CT58" s="12">
        <f>IF('Données projet'!$A$140&gt;35,CT57+CS58-DB57,IF(A58&lt;'Données projet'!$A$140,$CQ$205^A58,IF(A58='Données projet'!$A$140,'Données projet'!$B$140,CT57+CS58-DB57)))</f>
        <v>139.62500000000003</v>
      </c>
      <c r="CU58" s="17">
        <f>CT58*VLOOKUP('Données projet'!$B$13,Paramètres!$A$1:$I$89,3,0)*VLOOKUP('Données projet'!$B$13,Paramètres!$A$1:$I$89,5,0)</f>
        <v>135.04530000000005</v>
      </c>
      <c r="CV58" s="13">
        <f t="shared" si="41"/>
        <v>35.159584009228986</v>
      </c>
      <c r="CW58" s="20">
        <f t="shared" si="13"/>
        <v>296.44017298274053</v>
      </c>
      <c r="CX58" s="59">
        <f t="shared" si="14"/>
        <v>589.77350631607385</v>
      </c>
      <c r="CY58" s="59">
        <f ca="1">AVERAGE(OFFSET($CX$3,0,0,'Données projet'!$E$13+1,1))-AVERAGE(OFFSET($H$3,0,0,'Données projet'!$E$13+1,1))</f>
        <v>399.24912109442175</v>
      </c>
      <c r="CZ58" s="59">
        <f t="shared" si="42"/>
        <v>269.83150082245305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7.625</v>
      </c>
      <c r="DO58" s="12">
        <f>IF('Données projet'!$A$166&gt;35,DO57+DN58-DW57,IF(A58&lt;'Données projet'!$A$166,$DL$205^A58,IF(A58='Données projet'!$A$166,'Données projet'!$B$166,DO57+DN58-DW57)))</f>
        <v>139.62500000000003</v>
      </c>
      <c r="DP58" s="17">
        <f>DO58*VLOOKUP('Données projet'!$B$14,Paramètres!$A$1:$I$89,3,0)*VLOOKUP('Données projet'!$B$14,Paramètres!$A$1:$I$89,5,0)</f>
        <v>150.29235000000003</v>
      </c>
      <c r="DQ58" s="13">
        <f t="shared" si="43"/>
        <v>38.645015676737074</v>
      </c>
      <c r="DR58" s="20">
        <f t="shared" si="16"/>
        <v>329.06591188698377</v>
      </c>
      <c r="DS58" s="59">
        <f t="shared" si="17"/>
        <v>622.39924522031708</v>
      </c>
      <c r="DT58" s="59">
        <f ca="1">AVERAGE(OFFSET($DS$3,0,0,'Données projet'!$E$14+1,1))-AVERAGE(OFFSET($H$3,0,0,'Données projet'!$E$14+1,1))</f>
        <v>439.66981240211362</v>
      </c>
      <c r="DU58" s="59">
        <f t="shared" si="44"/>
        <v>295.47805371292458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7.625</v>
      </c>
      <c r="EJ58" s="12">
        <f>IF('Données projet'!$A$192&gt;35,EJ57+EI58-ER57,IF(A58&lt;'Données projet'!$A$192,$EG$205^A58,IF(A58='Données projet'!$A$192,'Données projet'!$B$192,EJ57+EI58-ER57)))</f>
        <v>139.62500000000003</v>
      </c>
      <c r="EK58" s="17">
        <f>EJ58*VLOOKUP('Données projet'!$B$15,Paramètres!$A$1:$I$89,3,0)*VLOOKUP('Données projet'!$B$15,Paramètres!$A$1:$I$89,5,0)</f>
        <v>132.86715000000004</v>
      </c>
      <c r="EL58" s="13">
        <f t="shared" si="45"/>
        <v>34.658030011146785</v>
      </c>
      <c r="EM58" s="20">
        <f t="shared" si="19"/>
        <v>291.77302185274738</v>
      </c>
      <c r="EN58" s="59">
        <f t="shared" si="20"/>
        <v>585.10635518608069</v>
      </c>
      <c r="EO58" s="59">
        <f ca="1">AVERAGE(OFFSET($EN$3,0,0,'Données projet'!$E$15+1,1))-AVERAGE(OFFSET($H$3,0,0,'Données projet'!$E$15+1,1))</f>
        <v>393.46715670823653</v>
      </c>
      <c r="EP58" s="59">
        <f t="shared" si="46"/>
        <v>266.16261355327214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projet'!$B$9,Paramètres!$A$1:$I$89,3,0)*VLOOKUP('Données projet'!$B$9,Paramètres!$A$1:$I$89,5,0)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549.43232095729741</v>
      </c>
      <c r="T59" s="59">
        <f t="shared" si="34"/>
        <v>280.26155987300996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7.4865551945401618</v>
      </c>
      <c r="AA59" s="21">
        <f>EXP(-LN(2)/25)*AA58+(1-EXP(-LN(2)/25))/(LN(2)/25)*Calculateur!V59*Calculateur!X59*VLOOKUP('Données projet'!$B$9,Paramètres!$A$1:$I$89,3,0)*0.475*44/12</f>
        <v>4.6482234437082068</v>
      </c>
      <c r="AB59" s="21">
        <f>EXP(-LN(2)/2)*AB58+(1-EXP(-LN(2)/2))/(LN(2)/2)*V59*Y59*VLOOKUP('Données projet'!$B$9,Paramètres!$A$1:$I$89,3,0)*0.475*44/12</f>
        <v>5.4995031756054698E-4</v>
      </c>
      <c r="AC59" s="22">
        <f t="shared" si="3"/>
        <v>12.13532858856593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</v>
      </c>
      <c r="AI59" s="13">
        <f>IF('Données projet'!$A$62&gt;35,AI58+AH59-AQ58,IF(A59&lt;'Données projet'!$A$62,$AF$205^A59,IF(A59='Données projet'!$A$62,'Données projet'!$B$62,AI58+AH59-AQ58)))</f>
        <v>432</v>
      </c>
      <c r="AJ59" s="13">
        <f>AI59*VLOOKUP('Données projet'!$B$10,Paramètres!$A$1:$I$89,3,0)*VLOOKUP('Données projet'!$B$10,Paramètres!$A$1:$I$89,5,0)</f>
        <v>258.33600000000001</v>
      </c>
      <c r="AK59" s="13">
        <f t="shared" si="35"/>
        <v>62.367547966451262</v>
      </c>
      <c r="AL59" s="20">
        <f t="shared" si="4"/>
        <v>558.55867937490257</v>
      </c>
      <c r="AM59" s="59">
        <f t="shared" si="5"/>
        <v>851.89201270823582</v>
      </c>
      <c r="AN59" s="59">
        <f ca="1">AVERAGE(OFFSET($AM$3,0,0,'Données projet'!$E$10+1,1))-AVERAGE(OFFSET($H$3,0,0,'Données projet'!$E$10+1,1))</f>
        <v>348.62416478262719</v>
      </c>
      <c r="AO59" s="59">
        <f t="shared" si="36"/>
        <v>371.70674704563288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7.9146879029392965</v>
      </c>
      <c r="AV59" s="21">
        <f>EXP(-LN(2)/25)*AV58+(1-EXP(-LN(2)/25))/(LN(2)/25)*Calculateur!AQ59*Calculateur!AS59*VLOOKUP('Données projet'!$B$10,Paramètres!$A$1:$I$89,3,0)*0.475*44/12</f>
        <v>5.9370866542992919</v>
      </c>
      <c r="AW59" s="21">
        <f>EXP(-LN(2)/2)*AW58+(1-EXP(-LN(2)/2))/(LN(2)/2)*AQ59*AT59*VLOOKUP('Données projet'!$B$10,Paramètres!$A$1:$I$89,3,0)*0.475*44/12</f>
        <v>1.5204534773529449E-3</v>
      </c>
      <c r="AX59" s="21">
        <f t="shared" si="6"/>
        <v>13.853295010715941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235.39999999999998</v>
      </c>
      <c r="BE59" s="13">
        <f>BD59*VLOOKUP('Données projet'!$B$11,Paramètres!$A$1:$I$89,3,0)*VLOOKUP('Données projet'!$B$11,Paramètres!$A$1:$I$89,5,0)</f>
        <v>212.98991999999998</v>
      </c>
      <c r="BF59" s="13">
        <f t="shared" si="37"/>
        <v>52.588419883221171</v>
      </c>
      <c r="BG59" s="20">
        <f t="shared" si="7"/>
        <v>462.54894196327677</v>
      </c>
      <c r="BH59" s="59">
        <f t="shared" si="8"/>
        <v>755.88227529661003</v>
      </c>
      <c r="BI59" s="59">
        <f ca="1">AVERAGE(OFFSET($BH$3,0,0,'Données projet'!$E$11+1,1))-AVERAGE(OFFSET($H$3,0,0,'Données projet'!$E$11+1,1))</f>
        <v>405.7176439604217</v>
      </c>
      <c r="BJ59" s="59">
        <f t="shared" si="38"/>
        <v>278.21741231699929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4.3671959010282766</v>
      </c>
      <c r="BQ59" s="21">
        <f>EXP(-LN(2)/25)*BQ58+(1-EXP(-LN(2)/25))/(LN(2)/25)*Calculateur!BL59*Calculateur!BN59*VLOOKUP('Données projet'!$B$11,Paramètres!$A$1:$I$89,3,0)*0.475*44/12</f>
        <v>4.5543430526400268</v>
      </c>
      <c r="BR59" s="21">
        <f>EXP(-LN(2)/2)*BR58+(1-EXP(-LN(2)/2))/(LN(2)/2)*BL59*BO59*VLOOKUP('Données projet'!$B$11,Paramètres!$A$1:$I$89,3,0)*0.475*44/12</f>
        <v>1.0418496813156379E-3</v>
      </c>
      <c r="BS59" s="22">
        <f t="shared" si="9"/>
        <v>8.9225808033496197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6.8</v>
      </c>
      <c r="BY59" s="12">
        <f>IF('Données projet'!$A$114&gt;35,BY58+BX59-CG58,IF(A59&lt;'Données projet'!$A$114,$BV$205^A59,IF(A59='Données projet'!$A$114,'Données projet'!$B$114,BY58+BX59-CG58)))</f>
        <v>214.80000000000021</v>
      </c>
      <c r="BZ59" s="13">
        <f>BY59*VLOOKUP('Données projet'!$B$12,Paramètres!$A$1:$I$89,3,0)*VLOOKUP('Données projet'!$B$12,Paramètres!$A$1:$I$89,5,0)</f>
        <v>187.6492800000002</v>
      </c>
      <c r="CA59" s="13">
        <f t="shared" si="39"/>
        <v>47.019866076567546</v>
      </c>
      <c r="CB59" s="20">
        <f t="shared" si="10"/>
        <v>408.71542941668878</v>
      </c>
      <c r="CC59" s="59">
        <f t="shared" si="11"/>
        <v>702.04876275002209</v>
      </c>
      <c r="CD59" s="59">
        <f ca="1">AVERAGE(OFFSET($CC$3,0,0,'Données projet'!$E$12+1,1))-AVERAGE(OFFSET($H$3,0,0,'Données projet'!$E$12+1,1))</f>
        <v>321.23599968992932</v>
      </c>
      <c r="CE59" s="59">
        <f t="shared" si="40"/>
        <v>388.05195847800502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2.1836779108625675</v>
      </c>
      <c r="CL59" s="21">
        <f>EXP(-LN(2)/25)*CL58+(1-EXP(-LN(2)/25))/(LN(2)/25)*Calculateur!CG59*Calculateur!CI59*VLOOKUP('Données projet'!$B$12,Paramètres!$A$1:$I$89,3,0)*0.475*44/12</f>
        <v>10.261266937023207</v>
      </c>
      <c r="CM59" s="21">
        <f>EXP(-LN(2)/2)*CM58+(1-EXP(-LN(2)/2))/(LN(2)/2)*CG59*CJ59*VLOOKUP('Données projet'!$B$12,Paramètres!$A$1:$I$89,3,0)*0.475*44/12</f>
        <v>1.4725198930500721E-3</v>
      </c>
      <c r="CN59" s="22">
        <f t="shared" si="12"/>
        <v>12.446417367778823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7.625</v>
      </c>
      <c r="CT59" s="12">
        <f>IF('Données projet'!$A$140&gt;35,CT58+CS59-DB58,IF(A59&lt;'Données projet'!$A$140,$CQ$205^A59,IF(A59='Données projet'!$A$140,'Données projet'!$B$140,CT58+CS59-DB58)))</f>
        <v>147.25000000000003</v>
      </c>
      <c r="CU59" s="17">
        <f>CT59*VLOOKUP('Données projet'!$B$13,Paramètres!$A$1:$I$89,3,0)*VLOOKUP('Données projet'!$B$13,Paramètres!$A$1:$I$89,5,0)</f>
        <v>142.42020000000002</v>
      </c>
      <c r="CV59" s="13">
        <f t="shared" si="41"/>
        <v>36.850885063132957</v>
      </c>
      <c r="CW59" s="20">
        <f t="shared" si="13"/>
        <v>312.23047315162324</v>
      </c>
      <c r="CX59" s="59">
        <f t="shared" si="14"/>
        <v>605.56380648495656</v>
      </c>
      <c r="CY59" s="59">
        <f ca="1">AVERAGE(OFFSET($CX$3,0,0,'Données projet'!$E$13+1,1))-AVERAGE(OFFSET($H$3,0,0,'Données projet'!$E$13+1,1))</f>
        <v>399.24912109442175</v>
      </c>
      <c r="CZ59" s="59">
        <f t="shared" si="42"/>
        <v>269.83150082245305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7.625</v>
      </c>
      <c r="DO59" s="12">
        <f>IF('Données projet'!$A$166&gt;35,DO58+DN59-DW58,IF(A59&lt;'Données projet'!$A$166,$DL$205^A59,IF(A59='Données projet'!$A$166,'Données projet'!$B$166,DO58+DN59-DW58)))</f>
        <v>147.25000000000003</v>
      </c>
      <c r="DP59" s="17">
        <f>DO59*VLOOKUP('Données projet'!$B$14,Paramètres!$A$1:$I$89,3,0)*VLOOKUP('Données projet'!$B$14,Paramètres!$A$1:$I$89,5,0)</f>
        <v>158.49990000000003</v>
      </c>
      <c r="DQ59" s="13">
        <f t="shared" si="43"/>
        <v>40.503978391570271</v>
      </c>
      <c r="DR59" s="20">
        <f t="shared" si="16"/>
        <v>346.59842153198491</v>
      </c>
      <c r="DS59" s="59">
        <f t="shared" si="17"/>
        <v>639.93175486531823</v>
      </c>
      <c r="DT59" s="59">
        <f ca="1">AVERAGE(OFFSET($DS$3,0,0,'Données projet'!$E$14+1,1))-AVERAGE(OFFSET($H$3,0,0,'Données projet'!$E$14+1,1))</f>
        <v>439.66981240211362</v>
      </c>
      <c r="DU59" s="59">
        <f t="shared" si="44"/>
        <v>295.47805371292458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7.625</v>
      </c>
      <c r="EJ59" s="12">
        <f>IF('Données projet'!$A$192&gt;35,EJ58+EI59-ER58,IF(A59&lt;'Données projet'!$A$192,$EG$205^A59,IF(A59='Données projet'!$A$192,'Données projet'!$B$192,EJ58+EI59-ER58)))</f>
        <v>147.25000000000003</v>
      </c>
      <c r="EK59" s="17">
        <f>EJ59*VLOOKUP('Données projet'!$B$15,Paramètres!$A$1:$I$89,3,0)*VLOOKUP('Données projet'!$B$15,Paramètres!$A$1:$I$89,5,0)</f>
        <v>140.12310000000002</v>
      </c>
      <c r="EL59" s="13">
        <f t="shared" si="45"/>
        <v>36.325204533709453</v>
      </c>
      <c r="EM59" s="20">
        <f t="shared" si="19"/>
        <v>307.3141303962106</v>
      </c>
      <c r="EN59" s="59">
        <f t="shared" si="20"/>
        <v>600.64746372954392</v>
      </c>
      <c r="EO59" s="59">
        <f ca="1">AVERAGE(OFFSET($EN$3,0,0,'Données projet'!$E$15+1,1))-AVERAGE(OFFSET($H$3,0,0,'Données projet'!$E$15+1,1))</f>
        <v>393.46715670823653</v>
      </c>
      <c r="EP59" s="59">
        <f t="shared" si="46"/>
        <v>266.16261355327214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projet'!$B$9,Paramètres!$A$1:$I$89,3,0)*VLOOKUP('Données projet'!$B$9,Paramètres!$A$1:$I$89,5,0)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549.43232095729741</v>
      </c>
      <c r="T60" s="59">
        <f t="shared" si="34"/>
        <v>280.26155987300996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7.3397484135230089</v>
      </c>
      <c r="AA60" s="21">
        <f>EXP(-LN(2)/25)*AA59+(1-EXP(-LN(2)/25))/(LN(2)/25)*Calculateur!V60*Calculateur!X60*VLOOKUP('Données projet'!$B$9,Paramètres!$A$1:$I$89,3,0)*0.475*44/12</f>
        <v>4.5211175292005583</v>
      </c>
      <c r="AB60" s="21">
        <f>EXP(-LN(2)/2)*AB59+(1-EXP(-LN(2)/2))/(LN(2)/2)*V60*Y60*VLOOKUP('Données projet'!$B$9,Paramètres!$A$1:$I$89,3,0)*0.475*44/12</f>
        <v>3.8887359886275802E-4</v>
      </c>
      <c r="AC60" s="22">
        <f t="shared" si="3"/>
        <v>11.861254816322431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</v>
      </c>
      <c r="AI60" s="13">
        <f>IF('Données projet'!$A$62&gt;35,AI59+AH60-AQ59,IF(A60&lt;'Données projet'!$A$62,$AF$205^A60,IF(A60='Données projet'!$A$62,'Données projet'!$B$62,AI59+AH60-AQ59)))</f>
        <v>449</v>
      </c>
      <c r="AJ60" s="13">
        <f>AI60*VLOOKUP('Données projet'!$B$10,Paramètres!$A$1:$I$89,3,0)*VLOOKUP('Données projet'!$B$10,Paramètres!$A$1:$I$89,5,0)</f>
        <v>268.50200000000001</v>
      </c>
      <c r="AK60" s="13">
        <f t="shared" si="35"/>
        <v>64.531253013339168</v>
      </c>
      <c r="AL60" s="20">
        <f t="shared" si="4"/>
        <v>580.03291566489895</v>
      </c>
      <c r="AM60" s="59">
        <f t="shared" si="5"/>
        <v>873.36624899823232</v>
      </c>
      <c r="AN60" s="59">
        <f ca="1">AVERAGE(OFFSET($AM$3,0,0,'Données projet'!$E$10+1,1))-AVERAGE(OFFSET($H$3,0,0,'Données projet'!$E$10+1,1))</f>
        <v>348.62416478262719</v>
      </c>
      <c r="AO60" s="59">
        <f t="shared" si="36"/>
        <v>371.70674704563288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7.7594857006456035</v>
      </c>
      <c r="AV60" s="21">
        <f>EXP(-LN(2)/25)*AV59+(1-EXP(-LN(2)/25))/(LN(2)/25)*Calculateur!AQ60*Calculateur!AS60*VLOOKUP('Données projet'!$B$10,Paramètres!$A$1:$I$89,3,0)*0.475*44/12</f>
        <v>5.7747367075196596</v>
      </c>
      <c r="AW60" s="21">
        <f>EXP(-LN(2)/2)*AW59+(1-EXP(-LN(2)/2))/(LN(2)/2)*AQ60*AT60*VLOOKUP('Données projet'!$B$10,Paramètres!$A$1:$I$89,3,0)*0.475*44/12</f>
        <v>1.0751229643149341E-3</v>
      </c>
      <c r="AX60" s="21">
        <f t="shared" si="6"/>
        <v>13.535297531129578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244.79999999999998</v>
      </c>
      <c r="BE60" s="13">
        <f>BD60*VLOOKUP('Données projet'!$B$11,Paramètres!$A$1:$I$89,3,0)*VLOOKUP('Données projet'!$B$11,Paramètres!$A$1:$I$89,5,0)</f>
        <v>221.49503999999999</v>
      </c>
      <c r="BF60" s="13">
        <f t="shared" si="37"/>
        <v>54.439697086174412</v>
      </c>
      <c r="BG60" s="20">
        <f t="shared" si="7"/>
        <v>480.58633375842032</v>
      </c>
      <c r="BH60" s="59">
        <f t="shared" si="8"/>
        <v>773.91966709175358</v>
      </c>
      <c r="BI60" s="59">
        <f ca="1">AVERAGE(OFFSET($BH$3,0,0,'Données projet'!$E$11+1,1))-AVERAGE(OFFSET($H$3,0,0,'Données projet'!$E$11+1,1))</f>
        <v>405.7176439604217</v>
      </c>
      <c r="BJ60" s="59">
        <f t="shared" si="38"/>
        <v>278.21741231699929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4.2815578531355909</v>
      </c>
      <c r="BQ60" s="21">
        <f>EXP(-LN(2)/25)*BQ59+(1-EXP(-LN(2)/25))/(LN(2)/25)*Calculateur!BL60*Calculateur!BN60*VLOOKUP('Données projet'!$B$11,Paramètres!$A$1:$I$89,3,0)*0.475*44/12</f>
        <v>4.4298043023630935</v>
      </c>
      <c r="BR60" s="21">
        <f>EXP(-LN(2)/2)*BR59+(1-EXP(-LN(2)/2))/(LN(2)/2)*BL60*BO60*VLOOKUP('Données projet'!$B$11,Paramètres!$A$1:$I$89,3,0)*0.475*44/12</f>
        <v>7.3669897463533103E-4</v>
      </c>
      <c r="BS60" s="22">
        <f t="shared" si="9"/>
        <v>8.712098854473318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6.8</v>
      </c>
      <c r="BY60" s="12">
        <f>IF('Données projet'!$A$114&gt;35,BY59+BX60-CG59,IF(A60&lt;'Données projet'!$A$114,$BV$205^A60,IF(A60='Données projet'!$A$114,'Données projet'!$B$114,BY59+BX60-CG59)))</f>
        <v>221.60000000000022</v>
      </c>
      <c r="BZ60" s="13">
        <f>BY60*VLOOKUP('Données projet'!$B$12,Paramètres!$A$1:$I$89,3,0)*VLOOKUP('Données projet'!$B$12,Paramètres!$A$1:$I$89,5,0)</f>
        <v>193.58976000000021</v>
      </c>
      <c r="CA60" s="13">
        <f t="shared" si="39"/>
        <v>48.332731202087132</v>
      </c>
      <c r="CB60" s="20">
        <f t="shared" si="10"/>
        <v>421.34833884363542</v>
      </c>
      <c r="CC60" s="59">
        <f t="shared" si="11"/>
        <v>714.68167217696873</v>
      </c>
      <c r="CD60" s="59">
        <f ca="1">AVERAGE(OFFSET($CC$3,0,0,'Données projet'!$E$12+1,1))-AVERAGE(OFFSET($H$3,0,0,'Données projet'!$E$12+1,1))</f>
        <v>321.23599968992932</v>
      </c>
      <c r="CE60" s="59">
        <f t="shared" si="40"/>
        <v>388.05195847800502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2.1408573189425626</v>
      </c>
      <c r="CL60" s="21">
        <f>EXP(-LN(2)/25)*CL59+(1-EXP(-LN(2)/25))/(LN(2)/25)*Calculateur!CG60*Calculateur!CI60*VLOOKUP('Données projet'!$B$12,Paramètres!$A$1:$I$89,3,0)*0.475*44/12</f>
        <v>9.9806720530137305</v>
      </c>
      <c r="CM60" s="21">
        <f>EXP(-LN(2)/2)*CM59+(1-EXP(-LN(2)/2))/(LN(2)/2)*CG60*CJ60*VLOOKUP('Données projet'!$B$12,Paramètres!$A$1:$I$89,3,0)*0.475*44/12</f>
        <v>1.0412288018077957E-3</v>
      </c>
      <c r="CN60" s="22">
        <f t="shared" si="12"/>
        <v>12.122570600758101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7.625</v>
      </c>
      <c r="CT60" s="12">
        <f>IF('Données projet'!$A$140&gt;35,CT59+CS60-DB59,IF(A60&lt;'Données projet'!$A$140,$CQ$205^A60,IF(A60='Données projet'!$A$140,'Données projet'!$B$140,CT59+CS60-DB59)))</f>
        <v>154.87500000000003</v>
      </c>
      <c r="CU60" s="17">
        <f>CT60*VLOOKUP('Données projet'!$B$13,Paramètres!$A$1:$I$89,3,0)*VLOOKUP('Données projet'!$B$13,Paramètres!$A$1:$I$89,5,0)</f>
        <v>149.79510000000005</v>
      </c>
      <c r="CV60" s="13">
        <f t="shared" si="41"/>
        <v>38.532017656800207</v>
      </c>
      <c r="CW60" s="20">
        <f t="shared" si="13"/>
        <v>328.00306325226046</v>
      </c>
      <c r="CX60" s="59">
        <f t="shared" si="14"/>
        <v>621.33639658559377</v>
      </c>
      <c r="CY60" s="59">
        <f ca="1">AVERAGE(OFFSET($CX$3,0,0,'Données projet'!$E$13+1,1))-AVERAGE(OFFSET($H$3,0,0,'Données projet'!$E$13+1,1))</f>
        <v>399.24912109442175</v>
      </c>
      <c r="CZ60" s="59">
        <f t="shared" si="42"/>
        <v>269.83150082245305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7.625</v>
      </c>
      <c r="DO60" s="12">
        <f>IF('Données projet'!$A$166&gt;35,DO59+DN60-DW59,IF(A60&lt;'Données projet'!$A$166,$DL$205^A60,IF(A60='Données projet'!$A$166,'Données projet'!$B$166,DO59+DN60-DW59)))</f>
        <v>154.87500000000003</v>
      </c>
      <c r="DP60" s="17">
        <f>DO60*VLOOKUP('Données projet'!$B$14,Paramètres!$A$1:$I$89,3,0)*VLOOKUP('Données projet'!$B$14,Paramètres!$A$1:$I$89,5,0)</f>
        <v>166.70745000000002</v>
      </c>
      <c r="DQ60" s="13">
        <f t="shared" si="43"/>
        <v>42.351764628742153</v>
      </c>
      <c r="DR60" s="20">
        <f t="shared" si="16"/>
        <v>364.11146547839263</v>
      </c>
      <c r="DS60" s="59">
        <f t="shared" si="17"/>
        <v>657.44479881172595</v>
      </c>
      <c r="DT60" s="59">
        <f ca="1">AVERAGE(OFFSET($DS$3,0,0,'Données projet'!$E$14+1,1))-AVERAGE(OFFSET($H$3,0,0,'Données projet'!$E$14+1,1))</f>
        <v>439.66981240211362</v>
      </c>
      <c r="DU60" s="59">
        <f t="shared" si="44"/>
        <v>295.47805371292458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7.625</v>
      </c>
      <c r="EJ60" s="12">
        <f>IF('Données projet'!$A$192&gt;35,EJ59+EI60-ER59,IF(A60&lt;'Données projet'!$A$192,$EG$205^A60,IF(A60='Données projet'!$A$192,'Données projet'!$B$192,EJ59+EI60-ER59)))</f>
        <v>154.87500000000003</v>
      </c>
      <c r="EK60" s="17">
        <f>EJ60*VLOOKUP('Données projet'!$B$15,Paramètres!$A$1:$I$89,3,0)*VLOOKUP('Données projet'!$B$15,Paramètres!$A$1:$I$89,5,0)</f>
        <v>147.37905000000001</v>
      </c>
      <c r="EL60" s="13">
        <f t="shared" si="45"/>
        <v>37.982355649852963</v>
      </c>
      <c r="EM60" s="20">
        <f t="shared" si="19"/>
        <v>322.83778150682724</v>
      </c>
      <c r="EN60" s="59">
        <f t="shared" si="20"/>
        <v>616.1711148401605</v>
      </c>
      <c r="EO60" s="59">
        <f ca="1">AVERAGE(OFFSET($EN$3,0,0,'Données projet'!$E$15+1,1))-AVERAGE(OFFSET($H$3,0,0,'Données projet'!$E$15+1,1))</f>
        <v>393.46715670823653</v>
      </c>
      <c r="EP60" s="59">
        <f t="shared" si="46"/>
        <v>266.16261355327214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projet'!$B$9,Paramètres!$A$1:$I$89,3,0)*VLOOKUP('Données projet'!$B$9,Paramètres!$A$1:$I$89,5,0)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549.43232095729741</v>
      </c>
      <c r="T61" s="59">
        <f t="shared" si="34"/>
        <v>280.26155987300996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7.195820423938307</v>
      </c>
      <c r="AA61" s="21">
        <f>EXP(-LN(2)/25)*AA60+(1-EXP(-LN(2)/25))/(LN(2)/25)*Calculateur!V61*Calculateur!X61*VLOOKUP('Données projet'!$B$9,Paramètres!$A$1:$I$89,3,0)*0.475*44/12</f>
        <v>4.3974873326093311</v>
      </c>
      <c r="AB61" s="21">
        <f>EXP(-LN(2)/2)*AB60+(1-EXP(-LN(2)/2))/(LN(2)/2)*V61*Y61*VLOOKUP('Données projet'!$B$9,Paramètres!$A$1:$I$89,3,0)*0.475*44/12</f>
        <v>2.7497515878027349E-4</v>
      </c>
      <c r="AC61" s="22">
        <f t="shared" si="3"/>
        <v>11.593582731706418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17</v>
      </c>
      <c r="AI61" s="13">
        <f>IF('Données projet'!$A$62&gt;35,AI60+AH61-AQ60,IF(A61&lt;'Données projet'!$A$62,$AF$205^A61,IF(A61='Données projet'!$A$62,'Données projet'!$B$62,AI60+AH61-AQ60)))</f>
        <v>466</v>
      </c>
      <c r="AJ61" s="13">
        <f>AI61*VLOOKUP('Données projet'!$B$10,Paramètres!$A$1:$I$89,3,0)*VLOOKUP('Données projet'!$B$10,Paramètres!$A$1:$I$89,5,0)</f>
        <v>278.66800000000001</v>
      </c>
      <c r="AK61" s="13">
        <f t="shared" si="35"/>
        <v>66.685440917424543</v>
      </c>
      <c r="AL61" s="20">
        <f t="shared" si="4"/>
        <v>601.49057626451452</v>
      </c>
      <c r="AM61" s="59">
        <f t="shared" si="5"/>
        <v>894.82390959784789</v>
      </c>
      <c r="AN61" s="59">
        <f ca="1">AVERAGE(OFFSET($AM$3,0,0,'Données projet'!$E$10+1,1))-AVERAGE(OFFSET($H$3,0,0,'Données projet'!$E$10+1,1))</f>
        <v>348.62416478262719</v>
      </c>
      <c r="AO61" s="59">
        <f t="shared" si="36"/>
        <v>371.70674704563288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7.607326918874894</v>
      </c>
      <c r="AV61" s="21">
        <f>EXP(-LN(2)/25)*AV60+(1-EXP(-LN(2)/25))/(LN(2)/25)*Calculateur!AQ61*Calculateur!AS61*VLOOKUP('Données projet'!$B$10,Paramètres!$A$1:$I$89,3,0)*0.475*44/12</f>
        <v>5.6168262285723296</v>
      </c>
      <c r="AW61" s="21">
        <f>EXP(-LN(2)/2)*AW60+(1-EXP(-LN(2)/2))/(LN(2)/2)*AQ61*AT61*VLOOKUP('Données projet'!$B$10,Paramètres!$A$1:$I$89,3,0)*0.475*44/12</f>
        <v>7.6022673867647244E-4</v>
      </c>
      <c r="AX61" s="21">
        <f t="shared" si="6"/>
        <v>13.224913374185901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254.2</v>
      </c>
      <c r="BE61" s="13">
        <f>BD61*VLOOKUP('Données projet'!$B$11,Paramètres!$A$1:$I$89,3,0)*VLOOKUP('Données projet'!$B$11,Paramètres!$A$1:$I$89,5,0)</f>
        <v>230.00015999999997</v>
      </c>
      <c r="BF61" s="13">
        <f t="shared" si="37"/>
        <v>56.282716126880423</v>
      </c>
      <c r="BG61" s="20">
        <f t="shared" si="7"/>
        <v>498.60934258765002</v>
      </c>
      <c r="BH61" s="59">
        <f t="shared" si="8"/>
        <v>791.94267592098333</v>
      </c>
      <c r="BI61" s="59">
        <f ca="1">AVERAGE(OFFSET($BH$3,0,0,'Données projet'!$E$11+1,1))-AVERAGE(OFFSET($H$3,0,0,'Données projet'!$E$11+1,1))</f>
        <v>405.7176439604217</v>
      </c>
      <c r="BJ61" s="59">
        <f t="shared" si="38"/>
        <v>278.21741231699929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4.1975991151280292</v>
      </c>
      <c r="BQ61" s="21">
        <f>EXP(-LN(2)/25)*BQ60+(1-EXP(-LN(2)/25))/(LN(2)/25)*Calculateur!BL61*Calculateur!BN61*VLOOKUP('Données projet'!$B$11,Paramètres!$A$1:$I$89,3,0)*0.475*44/12</f>
        <v>4.3086710707616911</v>
      </c>
      <c r="BR61" s="21">
        <f>EXP(-LN(2)/2)*BR60+(1-EXP(-LN(2)/2))/(LN(2)/2)*BL61*BO61*VLOOKUP('Données projet'!$B$11,Paramètres!$A$1:$I$89,3,0)*0.475*44/12</f>
        <v>5.2092484065781894E-4</v>
      </c>
      <c r="BS61" s="22">
        <f t="shared" si="9"/>
        <v>8.5067911107303775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6.8</v>
      </c>
      <c r="BY61" s="12">
        <f>IF('Données projet'!$A$114&gt;35,BY60+BX61-CG60,IF(A61&lt;'Données projet'!$A$114,$BV$205^A61,IF(A61='Données projet'!$A$114,'Données projet'!$B$114,BY60+BX61-CG60)))</f>
        <v>228.40000000000023</v>
      </c>
      <c r="BZ61" s="13">
        <f>BY61*VLOOKUP('Données projet'!$B$12,Paramètres!$A$1:$I$89,3,0)*VLOOKUP('Données projet'!$B$12,Paramètres!$A$1:$I$89,5,0)</f>
        <v>199.53024000000022</v>
      </c>
      <c r="CA61" s="13">
        <f t="shared" si="39"/>
        <v>49.640914570461312</v>
      </c>
      <c r="CB61" s="20">
        <f t="shared" si="10"/>
        <v>433.97309421022049</v>
      </c>
      <c r="CC61" s="59">
        <f t="shared" si="11"/>
        <v>727.30642754355381</v>
      </c>
      <c r="CD61" s="59">
        <f ca="1">AVERAGE(OFFSET($CC$3,0,0,'Données projet'!$E$12+1,1))-AVERAGE(OFFSET($H$3,0,0,'Données projet'!$E$12+1,1))</f>
        <v>321.23599968992932</v>
      </c>
      <c r="CE61" s="59">
        <f t="shared" si="40"/>
        <v>388.05195847800502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2.0988764127121269</v>
      </c>
      <c r="CL61" s="21">
        <f>EXP(-LN(2)/25)*CL60+(1-EXP(-LN(2)/25))/(LN(2)/25)*Calculateur!CG61*Calculateur!CI61*VLOOKUP('Données projet'!$B$12,Paramètres!$A$1:$I$89,3,0)*0.475*44/12</f>
        <v>9.7077500508633374</v>
      </c>
      <c r="CM61" s="21">
        <f>EXP(-LN(2)/2)*CM60+(1-EXP(-LN(2)/2))/(LN(2)/2)*CG61*CJ61*VLOOKUP('Données projet'!$B$12,Paramètres!$A$1:$I$89,3,0)*0.475*44/12</f>
        <v>7.3625994652503604E-4</v>
      </c>
      <c r="CN61" s="22">
        <f t="shared" si="12"/>
        <v>11.807362723521988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7.625</v>
      </c>
      <c r="CT61" s="12">
        <f>IF('Données projet'!$A$140&gt;35,CT60+CS61-DB60,IF(A61&lt;'Données projet'!$A$140,$CQ$205^A61,IF(A61='Données projet'!$A$140,'Données projet'!$B$140,CT60+CS61-DB60)))</f>
        <v>162.50000000000003</v>
      </c>
      <c r="CU61" s="17">
        <f>CT61*VLOOKUP('Données projet'!$B$13,Paramètres!$A$1:$I$89,3,0)*VLOOKUP('Données projet'!$B$13,Paramètres!$A$1:$I$89,5,0)</f>
        <v>157.17000000000002</v>
      </c>
      <c r="CV61" s="13">
        <f t="shared" si="41"/>
        <v>40.203539552443232</v>
      </c>
      <c r="CW61" s="20">
        <f t="shared" si="13"/>
        <v>343.75891472050535</v>
      </c>
      <c r="CX61" s="59">
        <f t="shared" si="14"/>
        <v>637.0922480538386</v>
      </c>
      <c r="CY61" s="59">
        <f ca="1">AVERAGE(OFFSET($CX$3,0,0,'Données projet'!$E$13+1,1))-AVERAGE(OFFSET($H$3,0,0,'Données projet'!$E$13+1,1))</f>
        <v>399.24912109442175</v>
      </c>
      <c r="CZ61" s="59">
        <f t="shared" si="42"/>
        <v>269.83150082245305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7.625</v>
      </c>
      <c r="DO61" s="12">
        <f>IF('Données projet'!$A$166&gt;35,DO60+DN61-DW60,IF(A61&lt;'Données projet'!$A$166,$DL$205^A61,IF(A61='Données projet'!$A$166,'Données projet'!$B$166,DO60+DN61-DW60)))</f>
        <v>162.50000000000003</v>
      </c>
      <c r="DP61" s="17">
        <f>DO61*VLOOKUP('Données projet'!$B$14,Paramètres!$A$1:$I$89,3,0)*VLOOKUP('Données projet'!$B$14,Paramètres!$A$1:$I$89,5,0)</f>
        <v>174.91500000000002</v>
      </c>
      <c r="DQ61" s="13">
        <f t="shared" si="43"/>
        <v>44.188987442418778</v>
      </c>
      <c r="DR61" s="20">
        <f t="shared" si="16"/>
        <v>381.60611146221277</v>
      </c>
      <c r="DS61" s="59">
        <f t="shared" si="17"/>
        <v>674.93944479554602</v>
      </c>
      <c r="DT61" s="59">
        <f ca="1">AVERAGE(OFFSET($DS$3,0,0,'Données projet'!$E$14+1,1))-AVERAGE(OFFSET($H$3,0,0,'Données projet'!$E$14+1,1))</f>
        <v>439.66981240211362</v>
      </c>
      <c r="DU61" s="59">
        <f t="shared" si="44"/>
        <v>295.47805371292458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7.625</v>
      </c>
      <c r="EJ61" s="12">
        <f>IF('Données projet'!$A$192&gt;35,EJ60+EI61-ER60,IF(A61&lt;'Données projet'!$A$192,$EG$205^A61,IF(A61='Données projet'!$A$192,'Données projet'!$B$192,EJ60+EI61-ER60)))</f>
        <v>162.50000000000003</v>
      </c>
      <c r="EK61" s="17">
        <f>EJ61*VLOOKUP('Données projet'!$B$15,Paramètres!$A$1:$I$89,3,0)*VLOOKUP('Données projet'!$B$15,Paramètres!$A$1:$I$89,5,0)</f>
        <v>154.63500000000002</v>
      </c>
      <c r="EL61" s="13">
        <f t="shared" si="45"/>
        <v>39.63003316527179</v>
      </c>
      <c r="EM61" s="20">
        <f t="shared" si="19"/>
        <v>338.34493276284837</v>
      </c>
      <c r="EN61" s="59">
        <f t="shared" si="20"/>
        <v>631.67826609618169</v>
      </c>
      <c r="EO61" s="59">
        <f ca="1">AVERAGE(OFFSET($EN$3,0,0,'Données projet'!$E$15+1,1))-AVERAGE(OFFSET($H$3,0,0,'Données projet'!$E$15+1,1))</f>
        <v>393.46715670823653</v>
      </c>
      <c r="EP61" s="59">
        <f t="shared" si="46"/>
        <v>266.16261355327214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projet'!$B$9,Paramètres!$A$1:$I$89,3,0)*VLOOKUP('Données projet'!$B$9,Paramètres!$A$1:$I$89,5,0)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549.43232095729741</v>
      </c>
      <c r="T62" s="59">
        <f t="shared" si="34"/>
        <v>280.26155987300996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7.0547147744419556</v>
      </c>
      <c r="AA62" s="21">
        <f>EXP(-LN(2)/25)*AA61+(1-EXP(-LN(2)/25))/(LN(2)/25)*Calculateur!V62*Calculateur!X62*VLOOKUP('Données projet'!$B$9,Paramètres!$A$1:$I$89,3,0)*0.475*44/12</f>
        <v>4.277237810245321</v>
      </c>
      <c r="AB62" s="21">
        <f>EXP(-LN(2)/2)*AB61+(1-EXP(-LN(2)/2))/(LN(2)/2)*V62*Y62*VLOOKUP('Données projet'!$B$9,Paramètres!$A$1:$I$89,3,0)*0.475*44/12</f>
        <v>1.9443679943137901E-4</v>
      </c>
      <c r="AC62" s="22">
        <f t="shared" si="3"/>
        <v>11.332147021486707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17</v>
      </c>
      <c r="AI62" s="13">
        <f>IF('Données projet'!$A$62&gt;35,AI61+AH62-AQ61,IF(A62&lt;'Données projet'!$A$62,$AF$205^A62,IF(A62='Données projet'!$A$62,'Données projet'!$B$62,AI61+AH62-AQ61)))</f>
        <v>483</v>
      </c>
      <c r="AJ62" s="13">
        <f>AI62*VLOOKUP('Données projet'!$B$10,Paramètres!$A$1:$I$89,3,0)*VLOOKUP('Données projet'!$B$10,Paramètres!$A$1:$I$89,5,0)</f>
        <v>288.834</v>
      </c>
      <c r="AK62" s="13">
        <f t="shared" si="35"/>
        <v>68.830498636563377</v>
      </c>
      <c r="AL62" s="20">
        <f t="shared" si="4"/>
        <v>622.93233512534789</v>
      </c>
      <c r="AM62" s="59">
        <f t="shared" si="5"/>
        <v>916.26566845868115</v>
      </c>
      <c r="AN62" s="59">
        <f ca="1">AVERAGE(OFFSET($AM$3,0,0,'Données projet'!$E$10+1,1))-AVERAGE(OFFSET($H$3,0,0,'Données projet'!$E$10+1,1))</f>
        <v>348.62416478262719</v>
      </c>
      <c r="AO62" s="59">
        <f t="shared" si="36"/>
        <v>371.70674704563288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7.4581518780070146</v>
      </c>
      <c r="AV62" s="21">
        <f>EXP(-LN(2)/25)*AV61+(1-EXP(-LN(2)/25))/(LN(2)/25)*Calculateur!AQ62*Calculateur!AS62*VLOOKUP('Données projet'!$B$10,Paramètres!$A$1:$I$89,3,0)*0.475*44/12</f>
        <v>5.4632338199759651</v>
      </c>
      <c r="AW62" s="21">
        <f>EXP(-LN(2)/2)*AW61+(1-EXP(-LN(2)/2))/(LN(2)/2)*AQ62*AT62*VLOOKUP('Données projet'!$B$10,Paramètres!$A$1:$I$89,3,0)*0.475*44/12</f>
        <v>5.3756148215746704E-4</v>
      </c>
      <c r="AX62" s="21">
        <f t="shared" si="6"/>
        <v>12.921923259465139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263.59999999999997</v>
      </c>
      <c r="BE62" s="13">
        <f>BD62*VLOOKUP('Données projet'!$B$11,Paramètres!$A$1:$I$89,3,0)*VLOOKUP('Données projet'!$B$11,Paramètres!$A$1:$I$89,5,0)</f>
        <v>238.50527999999997</v>
      </c>
      <c r="BF62" s="13">
        <f t="shared" si="37"/>
        <v>58.117817352909881</v>
      </c>
      <c r="BG62" s="20">
        <f t="shared" si="7"/>
        <v>516.61856122298457</v>
      </c>
      <c r="BH62" s="59">
        <f t="shared" si="8"/>
        <v>809.95189455631794</v>
      </c>
      <c r="BI62" s="59">
        <f ca="1">AVERAGE(OFFSET($BH$3,0,0,'Données projet'!$E$11+1,1))-AVERAGE(OFFSET($H$3,0,0,'Données projet'!$E$11+1,1))</f>
        <v>405.7176439604217</v>
      </c>
      <c r="BJ62" s="59">
        <f t="shared" si="38"/>
        <v>278.21741231699929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4.1152867567630222</v>
      </c>
      <c r="BQ62" s="21">
        <f>EXP(-LN(2)/25)*BQ61+(1-EXP(-LN(2)/25))/(LN(2)/25)*Calculateur!BL62*Calculateur!BN62*VLOOKUP('Données projet'!$B$11,Paramètres!$A$1:$I$89,3,0)*0.475*44/12</f>
        <v>4.1908502337485487</v>
      </c>
      <c r="BR62" s="21">
        <f>EXP(-LN(2)/2)*BR61+(1-EXP(-LN(2)/2))/(LN(2)/2)*BL62*BO62*VLOOKUP('Données projet'!$B$11,Paramètres!$A$1:$I$89,3,0)*0.475*44/12</f>
        <v>3.6834948731766552E-4</v>
      </c>
      <c r="BS62" s="22">
        <f t="shared" si="9"/>
        <v>8.3065053399988891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6.8</v>
      </c>
      <c r="BY62" s="12">
        <f>IF('Données projet'!$A$114&gt;35,BY61+BX62-CG61,IF(A62&lt;'Données projet'!$A$114,$BV$205^A62,IF(A62='Données projet'!$A$114,'Données projet'!$B$114,BY61+BX62-CG61)))</f>
        <v>235.20000000000024</v>
      </c>
      <c r="BZ62" s="13">
        <f>BY62*VLOOKUP('Données projet'!$B$12,Paramètres!$A$1:$I$89,3,0)*VLOOKUP('Données projet'!$B$12,Paramètres!$A$1:$I$89,5,0)</f>
        <v>205.47072000000026</v>
      </c>
      <c r="CA62" s="13">
        <f t="shared" si="39"/>
        <v>50.944571570352757</v>
      </c>
      <c r="CB62" s="20">
        <f t="shared" si="10"/>
        <v>446.58996615169809</v>
      </c>
      <c r="CC62" s="59">
        <f t="shared" si="11"/>
        <v>739.92329948503141</v>
      </c>
      <c r="CD62" s="59">
        <f ca="1">AVERAGE(OFFSET($CC$3,0,0,'Données projet'!$E$12+1,1))-AVERAGE(OFFSET($H$3,0,0,'Données projet'!$E$12+1,1))</f>
        <v>321.23599968992932</v>
      </c>
      <c r="CE62" s="59">
        <f t="shared" si="40"/>
        <v>388.05195847800502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2.0577187264470456</v>
      </c>
      <c r="CL62" s="21">
        <f>EXP(-LN(2)/25)*CL61+(1-EXP(-LN(2)/25))/(LN(2)/25)*Calculateur!CG62*Calculateur!CI62*VLOOKUP('Données projet'!$B$12,Paramètres!$A$1:$I$89,3,0)*0.475*44/12</f>
        <v>9.4422911152140916</v>
      </c>
      <c r="CM62" s="21">
        <f>EXP(-LN(2)/2)*CM61+(1-EXP(-LN(2)/2))/(LN(2)/2)*CG62*CJ62*VLOOKUP('Données projet'!$B$12,Paramètres!$A$1:$I$89,3,0)*0.475*44/12</f>
        <v>5.2061440090389783E-4</v>
      </c>
      <c r="CN62" s="22">
        <f t="shared" si="12"/>
        <v>11.500530456062041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7.625</v>
      </c>
      <c r="CT62" s="12">
        <f>IF('Données projet'!$A$140&gt;35,CT61+CS62-DB61,IF(A62&lt;'Données projet'!$A$140,$CQ$205^A62,IF(A62='Données projet'!$A$140,'Données projet'!$B$140,CT61+CS62-DB61)))</f>
        <v>170.12500000000003</v>
      </c>
      <c r="CU62" s="17">
        <f>CT62*VLOOKUP('Données projet'!$B$13,Paramètres!$A$1:$I$89,3,0)*VLOOKUP('Données projet'!$B$13,Paramètres!$A$1:$I$89,5,0)</f>
        <v>164.54490000000004</v>
      </c>
      <c r="CV62" s="13">
        <f t="shared" si="41"/>
        <v>41.865953210399624</v>
      </c>
      <c r="CW62" s="20">
        <f t="shared" si="13"/>
        <v>359.4989026747794</v>
      </c>
      <c r="CX62" s="59">
        <f t="shared" si="14"/>
        <v>652.83223600811266</v>
      </c>
      <c r="CY62" s="59">
        <f ca="1">AVERAGE(OFFSET($CX$3,0,0,'Données projet'!$E$13+1,1))-AVERAGE(OFFSET($H$3,0,0,'Données projet'!$E$13+1,1))</f>
        <v>399.24912109442175</v>
      </c>
      <c r="CZ62" s="59">
        <f t="shared" si="42"/>
        <v>269.83150082245305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7.625</v>
      </c>
      <c r="DO62" s="12">
        <f>IF('Données projet'!$A$166&gt;35,DO61+DN62-DW61,IF(A62&lt;'Données projet'!$A$166,$DL$205^A62,IF(A62='Données projet'!$A$166,'Données projet'!$B$166,DO61+DN62-DW61)))</f>
        <v>170.12500000000003</v>
      </c>
      <c r="DP62" s="17">
        <f>DO62*VLOOKUP('Données projet'!$B$14,Paramètres!$A$1:$I$89,3,0)*VLOOKUP('Données projet'!$B$14,Paramètres!$A$1:$I$89,5,0)</f>
        <v>183.12255000000002</v>
      </c>
      <c r="DQ62" s="13">
        <f t="shared" si="43"/>
        <v>46.016199102718382</v>
      </c>
      <c r="DR62" s="20">
        <f t="shared" si="16"/>
        <v>399.08332135390123</v>
      </c>
      <c r="DS62" s="59">
        <f t="shared" si="17"/>
        <v>692.41665468723454</v>
      </c>
      <c r="DT62" s="59">
        <f ca="1">AVERAGE(OFFSET($DS$3,0,0,'Données projet'!$E$14+1,1))-AVERAGE(OFFSET($H$3,0,0,'Données projet'!$E$14+1,1))</f>
        <v>439.66981240211362</v>
      </c>
      <c r="DU62" s="59">
        <f t="shared" si="44"/>
        <v>295.47805371292458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7.625</v>
      </c>
      <c r="EJ62" s="12">
        <f>IF('Données projet'!$A$192&gt;35,EJ61+EI62-ER61,IF(A62&lt;'Données projet'!$A$192,$EG$205^A62,IF(A62='Données projet'!$A$192,'Données projet'!$B$192,EJ61+EI62-ER61)))</f>
        <v>170.12500000000003</v>
      </c>
      <c r="EK62" s="17">
        <f>EJ62*VLOOKUP('Données projet'!$B$15,Paramètres!$A$1:$I$89,3,0)*VLOOKUP('Données projet'!$B$15,Paramètres!$A$1:$I$89,5,0)</f>
        <v>161.89095000000003</v>
      </c>
      <c r="EL62" s="13">
        <f t="shared" si="45"/>
        <v>41.268732372670534</v>
      </c>
      <c r="EM62" s="20">
        <f t="shared" si="19"/>
        <v>353.83644679906791</v>
      </c>
      <c r="EN62" s="59">
        <f t="shared" si="20"/>
        <v>647.16978013240123</v>
      </c>
      <c r="EO62" s="59">
        <f ca="1">AVERAGE(OFFSET($EN$3,0,0,'Données projet'!$E$15+1,1))-AVERAGE(OFFSET($H$3,0,0,'Données projet'!$E$15+1,1))</f>
        <v>393.46715670823653</v>
      </c>
      <c r="EP62" s="59">
        <f t="shared" si="46"/>
        <v>266.16261355327214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projet'!$B$9,Paramètres!$A$1:$I$89,3,0)*VLOOKUP('Données projet'!$B$9,Paramètres!$A$1:$I$89,5,0)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549.43232095729741</v>
      </c>
      <c r="T63" s="59">
        <f t="shared" si="34"/>
        <v>280.26155987300996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6.9163761206662802</v>
      </c>
      <c r="AA63" s="21">
        <f>EXP(-LN(2)/25)*AA62+(1-EXP(-LN(2)/25))/(LN(2)/25)*Calculateur!V63*Calculateur!X63*VLOOKUP('Données projet'!$B$9,Paramètres!$A$1:$I$89,3,0)*0.475*44/12</f>
        <v>4.1602765173940019</v>
      </c>
      <c r="AB63" s="21">
        <f>EXP(-LN(2)/2)*AB62+(1-EXP(-LN(2)/2))/(LN(2)/2)*V63*Y63*VLOOKUP('Données projet'!$B$9,Paramètres!$A$1:$I$89,3,0)*0.475*44/12</f>
        <v>1.3748757939013675E-4</v>
      </c>
      <c r="AC63" s="22">
        <f t="shared" si="3"/>
        <v>11.076790125639672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500</v>
      </c>
      <c r="AG63" s="12">
        <f>VLOOKUP(A63,'Données projet'!$A$61:$I$81,9,0)</f>
        <v>17</v>
      </c>
      <c r="AH63" s="12">
        <f t="array" ref="AH63">INDEX(AG:AG,MIN(IF(ISNUMBER(AG63:AG259),ROW(AG63:AG259),"")))</f>
        <v>17</v>
      </c>
      <c r="AI63" s="13">
        <f>IF('Données projet'!$A$62&gt;35,AI62+AH63-AQ62,IF(A63&lt;'Données projet'!$A$62,$AF$205^A63,IF(A63='Données projet'!$A$62,'Données projet'!$B$62,AI62+AH63-AQ62)))</f>
        <v>500</v>
      </c>
      <c r="AJ63" s="13">
        <f>AI63*VLOOKUP('Données projet'!$B$10,Paramètres!$A$1:$I$89,3,0)*VLOOKUP('Données projet'!$B$10,Paramètres!$A$1:$I$89,5,0)</f>
        <v>299</v>
      </c>
      <c r="AK63" s="13">
        <f t="shared" si="35"/>
        <v>70.966784344875109</v>
      </c>
      <c r="AL63" s="20">
        <f t="shared" si="4"/>
        <v>644.35881606732414</v>
      </c>
      <c r="AM63" s="59">
        <f t="shared" si="5"/>
        <v>937.6921494006574</v>
      </c>
      <c r="AN63" s="59">
        <f ca="1">AVERAGE(OFFSET($AM$3,0,0,'Données projet'!$E$10+1,1))-AVERAGE(OFFSET($H$3,0,0,'Données projet'!$E$10+1,1))</f>
        <v>348.62416478262719</v>
      </c>
      <c r="AO63" s="59">
        <f t="shared" si="36"/>
        <v>371.70674704563288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32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7.3119020687027643</v>
      </c>
      <c r="AV63" s="21">
        <f>EXP(-LN(2)/25)*AV62+(1-EXP(-LN(2)/25))/(LN(2)/25)*Calculateur!AQ63*Calculateur!AS63*VLOOKUP('Données projet'!$B$10,Paramètres!$A$1:$I$89,3,0)*0.475*44/12</f>
        <v>5.3138414038697421</v>
      </c>
      <c r="AW63" s="21">
        <f>EXP(-LN(2)/2)*AW62+(1-EXP(-LN(2)/2))/(LN(2)/2)*AQ63*AT63*VLOOKUP('Données projet'!$B$10,Paramètres!$A$1:$I$89,3,0)*0.475*44/12</f>
        <v>3.8011336933823622E-4</v>
      </c>
      <c r="AX63" s="21">
        <f t="shared" si="6"/>
        <v>12.626123585941844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272.99999999999994</v>
      </c>
      <c r="BE63" s="13">
        <f>BD63*VLOOKUP('Données projet'!$B$11,Paramètres!$A$1:$I$89,3,0)*VLOOKUP('Données projet'!$B$11,Paramètres!$A$1:$I$89,5,0)</f>
        <v>247.01039999999992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827.94787109652862</v>
      </c>
      <c r="BI63" s="59">
        <f ca="1">AVERAGE(OFFSET($BH$3,0,0,'Données projet'!$E$11+1,1))-AVERAGE(OFFSET($H$3,0,0,'Données projet'!$E$11+1,1))</f>
        <v>405.7176439604217</v>
      </c>
      <c r="BJ63" s="59">
        <f t="shared" si="38"/>
        <v>278.21741231699929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4.0345884935399718</v>
      </c>
      <c r="BQ63" s="21">
        <f>EXP(-LN(2)/25)*BQ62+(1-EXP(-LN(2)/25))/(LN(2)/25)*Calculateur!BL63*Calculateur!BN63*VLOOKUP('Données projet'!$B$11,Paramètres!$A$1:$I$89,3,0)*0.475*44/12</f>
        <v>4.0762512137194591</v>
      </c>
      <c r="BR63" s="21">
        <f>EXP(-LN(2)/2)*BR62+(1-EXP(-LN(2)/2))/(LN(2)/2)*BL63*BO63*VLOOKUP('Données projet'!$B$11,Paramètres!$A$1:$I$89,3,0)*0.475*44/12</f>
        <v>2.6046242032890947E-4</v>
      </c>
      <c r="BS63" s="22">
        <f t="shared" si="9"/>
        <v>8.1111001696797587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242</v>
      </c>
      <c r="BW63" s="12">
        <f>VLOOKUP(A63,'Données projet'!$A$113:$I$133,9,0)</f>
        <v>6.8</v>
      </c>
      <c r="BX63" s="12">
        <f t="array" ref="BX63">INDEX(BW:BW,MIN(IF(ISNUMBER(BW63:BW259),ROW(BW63:BW259),"")))</f>
        <v>6.8</v>
      </c>
      <c r="BY63" s="12">
        <f>IF('Données projet'!$A$114&gt;35,BY62+BX63-CG62,IF(A63&lt;'Données projet'!$A$114,$BV$205^A63,IF(A63='Données projet'!$A$114,'Données projet'!$B$114,BY62+BX63-CG62)))</f>
        <v>242.00000000000026</v>
      </c>
      <c r="BZ63" s="13">
        <f>BY63*VLOOKUP('Données projet'!$B$12,Paramètres!$A$1:$I$89,3,0)*VLOOKUP('Données projet'!$B$12,Paramètres!$A$1:$I$89,5,0)</f>
        <v>211.41120000000024</v>
      </c>
      <c r="CA63" s="13">
        <f t="shared" si="39"/>
        <v>52.243848094411206</v>
      </c>
      <c r="CB63" s="20">
        <f t="shared" si="10"/>
        <v>459.19920876443319</v>
      </c>
      <c r="CC63" s="59">
        <f t="shared" si="11"/>
        <v>752.53254209776651</v>
      </c>
      <c r="CD63" s="59">
        <f ca="1">AVERAGE(OFFSET($CC$3,0,0,'Données projet'!$E$12+1,1))-AVERAGE(OFFSET($H$3,0,0,'Données projet'!$E$12+1,1))</f>
        <v>321.23599968992932</v>
      </c>
      <c r="CE63" s="59">
        <f t="shared" si="40"/>
        <v>388.05195847800502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26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2.0173681173059128</v>
      </c>
      <c r="CL63" s="21">
        <f>EXP(-LN(2)/25)*CL62+(1-EXP(-LN(2)/25))/(LN(2)/25)*Calculateur!CG63*Calculateur!CI63*VLOOKUP('Données projet'!$B$12,Paramètres!$A$1:$I$89,3,0)*0.475*44/12</f>
        <v>9.1840911681200534</v>
      </c>
      <c r="CM63" s="21">
        <f>EXP(-LN(2)/2)*CM62+(1-EXP(-LN(2)/2))/(LN(2)/2)*CG63*CJ63*VLOOKUP('Données projet'!$B$12,Paramètres!$A$1:$I$89,3,0)*0.475*44/12</f>
        <v>3.6812997326251802E-4</v>
      </c>
      <c r="CN63" s="22">
        <f t="shared" si="12"/>
        <v>11.201827415399228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7.625</v>
      </c>
      <c r="CT63" s="12">
        <f>IF('Données projet'!$A$140&gt;35,CT62+CS63-DB62,IF(A63&lt;'Données projet'!$A$140,$CQ$205^A63,IF(A63='Données projet'!$A$140,'Données projet'!$B$140,CT62+CS63-DB62)))</f>
        <v>177.75000000000003</v>
      </c>
      <c r="CU63" s="17">
        <f>CT63*VLOOKUP('Données projet'!$B$13,Paramètres!$A$1:$I$89,3,0)*VLOOKUP('Données projet'!$B$13,Paramètres!$A$1:$I$89,5,0)</f>
        <v>171.91980000000004</v>
      </c>
      <c r="CV63" s="13">
        <f t="shared" si="41"/>
        <v>43.519713504182981</v>
      </c>
      <c r="CW63" s="20">
        <f t="shared" si="13"/>
        <v>375.22381935311881</v>
      </c>
      <c r="CX63" s="59">
        <f t="shared" si="14"/>
        <v>668.55715268645213</v>
      </c>
      <c r="CY63" s="59">
        <f ca="1">AVERAGE(OFFSET($CX$3,0,0,'Données projet'!$E$13+1,1))-AVERAGE(OFFSET($H$3,0,0,'Données projet'!$E$13+1,1))</f>
        <v>399.24912109442175</v>
      </c>
      <c r="CZ63" s="59">
        <f t="shared" si="42"/>
        <v>269.83150082245305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7.625</v>
      </c>
      <c r="DO63" s="12">
        <f>IF('Données projet'!$A$166&gt;35,DO62+DN63-DW62,IF(A63&lt;'Données projet'!$A$166,$DL$205^A63,IF(A63='Données projet'!$A$166,'Données projet'!$B$166,DO62+DN63-DW62)))</f>
        <v>177.75000000000003</v>
      </c>
      <c r="DP63" s="17">
        <f>DO63*VLOOKUP('Données projet'!$B$14,Paramètres!$A$1:$I$89,3,0)*VLOOKUP('Données projet'!$B$14,Paramètres!$A$1:$I$89,5,0)</f>
        <v>191.33010000000002</v>
      </c>
      <c r="DQ63" s="13">
        <f t="shared" si="43"/>
        <v>47.833899575569433</v>
      </c>
      <c r="DR63" s="20">
        <f t="shared" si="16"/>
        <v>416.54396592745007</v>
      </c>
      <c r="DS63" s="59">
        <f t="shared" si="17"/>
        <v>709.87729926078339</v>
      </c>
      <c r="DT63" s="59">
        <f ca="1">AVERAGE(OFFSET($DS$3,0,0,'Données projet'!$E$14+1,1))-AVERAGE(OFFSET($H$3,0,0,'Données projet'!$E$14+1,1))</f>
        <v>439.66981240211362</v>
      </c>
      <c r="DU63" s="59">
        <f t="shared" si="44"/>
        <v>295.47805371292458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7.625</v>
      </c>
      <c r="EJ63" s="12">
        <f>IF('Données projet'!$A$192&gt;35,EJ62+EI63-ER62,IF(A63&lt;'Données projet'!$A$192,$EG$205^A63,IF(A63='Données projet'!$A$192,'Données projet'!$B$192,EJ62+EI63-ER62)))</f>
        <v>177.75000000000003</v>
      </c>
      <c r="EK63" s="17">
        <f>EJ63*VLOOKUP('Données projet'!$B$15,Paramètres!$A$1:$I$89,3,0)*VLOOKUP('Données projet'!$B$15,Paramètres!$A$1:$I$89,5,0)</f>
        <v>169.14690000000002</v>
      </c>
      <c r="EL63" s="13">
        <f t="shared" si="45"/>
        <v>42.898901656759342</v>
      </c>
      <c r="EM63" s="20">
        <f t="shared" si="19"/>
        <v>369.31310455218915</v>
      </c>
      <c r="EN63" s="59">
        <f t="shared" si="20"/>
        <v>662.64643788552246</v>
      </c>
      <c r="EO63" s="59">
        <f ca="1">AVERAGE(OFFSET($EN$3,0,0,'Données projet'!$E$15+1,1))-AVERAGE(OFFSET($H$3,0,0,'Données projet'!$E$15+1,1))</f>
        <v>393.46715670823653</v>
      </c>
      <c r="EP63" s="59">
        <f t="shared" si="46"/>
        <v>266.16261355327214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projet'!$B$9,Paramètres!$A$1:$I$89,3,0)*VLOOKUP('Données projet'!$B$9,Paramètres!$A$1:$I$89,5,0)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549.43232095729741</v>
      </c>
      <c r="T64" s="59">
        <f t="shared" si="34"/>
        <v>280.26155987300996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6.7807502035128984</v>
      </c>
      <c r="AA64" s="21">
        <f>EXP(-LN(2)/25)*AA63+(1-EXP(-LN(2)/25))/(LN(2)/25)*Calculateur!V64*Calculateur!X64*VLOOKUP('Données projet'!$B$9,Paramètres!$A$1:$I$89,3,0)*0.475*44/12</f>
        <v>4.0465135372464296</v>
      </c>
      <c r="AB64" s="21">
        <f>EXP(-LN(2)/2)*AB63+(1-EXP(-LN(2)/2))/(LN(2)/2)*V64*Y64*VLOOKUP('Données projet'!$B$9,Paramètres!$A$1:$I$89,3,0)*0.475*44/12</f>
        <v>9.7218399715689506E-5</v>
      </c>
      <c r="AC64" s="22">
        <f t="shared" si="3"/>
        <v>10.827360959159044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17.399999999999999</v>
      </c>
      <c r="AI64" s="13">
        <f>IF('Données projet'!$A$62&gt;35,AI63+AH64-AQ63,IF(A64&lt;'Données projet'!$A$62,$AF$205^A64,IF(A64='Données projet'!$A$62,'Données projet'!$B$62,AI63+AH64-AQ63)))</f>
        <v>485.4</v>
      </c>
      <c r="AJ64" s="13">
        <f>AI64*VLOOKUP('Données projet'!$B$10,Paramètres!$A$1:$I$89,3,0)*VLOOKUP('Données projet'!$B$10,Paramètres!$A$1:$I$89,5,0)</f>
        <v>290.26920000000001</v>
      </c>
      <c r="AK64" s="13">
        <f t="shared" si="35"/>
        <v>69.13261576818384</v>
      </c>
      <c r="AL64" s="20">
        <f t="shared" si="4"/>
        <v>625.95816246292009</v>
      </c>
      <c r="AM64" s="59">
        <f t="shared" si="5"/>
        <v>919.29149579625346</v>
      </c>
      <c r="AN64" s="59">
        <f ca="1">AVERAGE(OFFSET($AM$3,0,0,'Données projet'!$E$10+1,1))-AVERAGE(OFFSET($H$3,0,0,'Données projet'!$E$10+1,1))</f>
        <v>348.62416478262719</v>
      </c>
      <c r="AO64" s="59">
        <f t="shared" si="36"/>
        <v>371.70674704563288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7.1685201289553939</v>
      </c>
      <c r="AV64" s="21">
        <f>EXP(-LN(2)/25)*AV63+(1-EXP(-LN(2)/25))/(LN(2)/25)*Calculateur!AQ64*Calculateur!AS64*VLOOKUP('Données projet'!$B$10,Paramètres!$A$1:$I$89,3,0)*0.475*44/12</f>
        <v>5.1685341312381494</v>
      </c>
      <c r="AW64" s="21">
        <f>EXP(-LN(2)/2)*AW63+(1-EXP(-LN(2)/2))/(LN(2)/2)*AQ64*AT64*VLOOKUP('Données projet'!$B$10,Paramètres!$A$1:$I$89,3,0)*0.475*44/12</f>
        <v>2.6878074107873352E-4</v>
      </c>
      <c r="AX64" s="21">
        <f t="shared" si="6"/>
        <v>12.337323040934622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253.79999999999995</v>
      </c>
      <c r="BE64" s="13">
        <f>BD64*VLOOKUP('Données projet'!$B$11,Paramètres!$A$1:$I$89,3,0)*VLOOKUP('Données projet'!$B$11,Paramètres!$A$1:$I$89,5,0)</f>
        <v>229.63823999999994</v>
      </c>
      <c r="BF64" s="13">
        <f t="shared" si="37"/>
        <v>56.204453396569633</v>
      </c>
      <c r="BG64" s="20">
        <f t="shared" si="7"/>
        <v>497.84269099902531</v>
      </c>
      <c r="BH64" s="59">
        <f t="shared" si="8"/>
        <v>791.17602433235857</v>
      </c>
      <c r="BI64" s="59">
        <f ca="1">AVERAGE(OFFSET($BH$3,0,0,'Données projet'!$E$11+1,1))-AVERAGE(OFFSET($H$3,0,0,'Données projet'!$E$11+1,1))</f>
        <v>405.7176439604217</v>
      </c>
      <c r="BJ64" s="59">
        <f t="shared" si="38"/>
        <v>278.21741231699929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3.9554726740376447</v>
      </c>
      <c r="BQ64" s="21">
        <f>EXP(-LN(2)/25)*BQ63+(1-EXP(-LN(2)/25))/(LN(2)/25)*Calculateur!BL64*Calculateur!BN64*VLOOKUP('Données projet'!$B$11,Paramètres!$A$1:$I$89,3,0)*0.475*44/12</f>
        <v>3.9647859099195655</v>
      </c>
      <c r="BR64" s="21">
        <f>EXP(-LN(2)/2)*BR63+(1-EXP(-LN(2)/2))/(LN(2)/2)*BL64*BO64*VLOOKUP('Données projet'!$B$11,Paramètres!$A$1:$I$89,3,0)*0.475*44/12</f>
        <v>1.8417474365883276E-4</v>
      </c>
      <c r="BS64" s="22">
        <f t="shared" si="9"/>
        <v>7.9204427587008688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222.00000000000026</v>
      </c>
      <c r="BZ64" s="13">
        <f>BY64*VLOOKUP('Données projet'!$B$12,Paramètres!$A$1:$I$89,3,0)*VLOOKUP('Données projet'!$B$12,Paramètres!$A$1:$I$89,5,0)</f>
        <v>193.93920000000023</v>
      </c>
      <c r="CA64" s="13">
        <f t="shared" si="39"/>
        <v>48.409811198069427</v>
      </c>
      <c r="CB64" s="20">
        <f t="shared" si="10"/>
        <v>422.09119450330468</v>
      </c>
      <c r="CC64" s="59">
        <f t="shared" si="11"/>
        <v>715.42452783663794</v>
      </c>
      <c r="CD64" s="59">
        <f ca="1">AVERAGE(OFFSET($CC$3,0,0,'Données projet'!$E$12+1,1))-AVERAGE(OFFSET($H$3,0,0,'Données projet'!$E$12+1,1))</f>
        <v>321.23599968992932</v>
      </c>
      <c r="CE64" s="59">
        <f t="shared" si="40"/>
        <v>388.05195847800502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1.9778087589985962</v>
      </c>
      <c r="CL64" s="21">
        <f>EXP(-LN(2)/25)*CL63+(1-EXP(-LN(2)/25))/(LN(2)/25)*Calculateur!CG64*Calculateur!CI64*VLOOKUP('Données projet'!$B$12,Paramètres!$A$1:$I$89,3,0)*0.475*44/12</f>
        <v>8.9329517121574469</v>
      </c>
      <c r="CM64" s="21">
        <f>EXP(-LN(2)/2)*CM63+(1-EXP(-LN(2)/2))/(LN(2)/2)*CG64*CJ64*VLOOKUP('Données projet'!$B$12,Paramètres!$A$1:$I$89,3,0)*0.475*44/12</f>
        <v>2.6030720045194892E-4</v>
      </c>
      <c r="CN64" s="22">
        <f t="shared" si="12"/>
        <v>10.911020778356496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7.625</v>
      </c>
      <c r="CT64" s="12">
        <f>IF('Données projet'!$A$140&gt;35,CT63+CS64-DB63,IF(A64&lt;'Données projet'!$A$140,$CQ$205^A64,IF(A64='Données projet'!$A$140,'Données projet'!$B$140,CT63+CS64-DB63)))</f>
        <v>185.37500000000003</v>
      </c>
      <c r="CU64" s="17">
        <f>CT64*VLOOKUP('Données projet'!$B$13,Paramètres!$A$1:$I$89,3,0)*VLOOKUP('Données projet'!$B$13,Paramètres!$A$1:$I$89,5,0)</f>
        <v>179.29470000000003</v>
      </c>
      <c r="CV64" s="13">
        <f t="shared" si="41"/>
        <v>45.16523407437716</v>
      </c>
      <c r="CW64" s="20">
        <f t="shared" si="13"/>
        <v>390.93438517954024</v>
      </c>
      <c r="CX64" s="59">
        <f t="shared" si="14"/>
        <v>684.26771851287356</v>
      </c>
      <c r="CY64" s="59">
        <f ca="1">AVERAGE(OFFSET($CX$3,0,0,'Données projet'!$E$13+1,1))-AVERAGE(OFFSET($H$3,0,0,'Données projet'!$E$13+1,1))</f>
        <v>399.24912109442175</v>
      </c>
      <c r="CZ64" s="59">
        <f t="shared" si="42"/>
        <v>269.83150082245305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7.625</v>
      </c>
      <c r="DO64" s="12">
        <f>IF('Données projet'!$A$166&gt;35,DO63+DN64-DW63,IF(A64&lt;'Données projet'!$A$166,$DL$205^A64,IF(A64='Données projet'!$A$166,'Données projet'!$B$166,DO63+DN64-DW63)))</f>
        <v>185.37500000000003</v>
      </c>
      <c r="DP64" s="17">
        <f>DO64*VLOOKUP('Données projet'!$B$14,Paramètres!$A$1:$I$89,3,0)*VLOOKUP('Données projet'!$B$14,Paramètres!$A$1:$I$89,5,0)</f>
        <v>199.53765000000001</v>
      </c>
      <c r="DQ64" s="13">
        <f t="shared" si="43"/>
        <v>49.64254350647758</v>
      </c>
      <c r="DR64" s="20">
        <f t="shared" si="16"/>
        <v>433.9888370237818</v>
      </c>
      <c r="DS64" s="59">
        <f t="shared" si="17"/>
        <v>727.32217035711506</v>
      </c>
      <c r="DT64" s="59">
        <f ca="1">AVERAGE(OFFSET($DS$3,0,0,'Données projet'!$E$14+1,1))-AVERAGE(OFFSET($H$3,0,0,'Données projet'!$E$14+1,1))</f>
        <v>439.66981240211362</v>
      </c>
      <c r="DU64" s="59">
        <f t="shared" si="44"/>
        <v>295.47805371292458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7.625</v>
      </c>
      <c r="EJ64" s="12">
        <f>IF('Données projet'!$A$192&gt;35,EJ63+EI64-ER63,IF(A64&lt;'Données projet'!$A$192,$EG$205^A64,IF(A64='Données projet'!$A$192,'Données projet'!$B$192,EJ63+EI64-ER63)))</f>
        <v>185.37500000000003</v>
      </c>
      <c r="EK64" s="17">
        <f>EJ64*VLOOKUP('Données projet'!$B$15,Paramètres!$A$1:$I$89,3,0)*VLOOKUP('Données projet'!$B$15,Paramètres!$A$1:$I$89,5,0)</f>
        <v>176.40285000000003</v>
      </c>
      <c r="EL64" s="13">
        <f t="shared" si="45"/>
        <v>44.52094875750943</v>
      </c>
      <c r="EM64" s="20">
        <f t="shared" si="19"/>
        <v>384.775616169329</v>
      </c>
      <c r="EN64" s="59">
        <f t="shared" si="20"/>
        <v>678.10894950266231</v>
      </c>
      <c r="EO64" s="59">
        <f ca="1">AVERAGE(OFFSET($EN$3,0,0,'Données projet'!$E$15+1,1))-AVERAGE(OFFSET($H$3,0,0,'Données projet'!$E$15+1,1))</f>
        <v>393.46715670823653</v>
      </c>
      <c r="EP64" s="59">
        <f t="shared" si="46"/>
        <v>266.16261355327214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projet'!$B$9,Paramètres!$A$1:$I$89,3,0)*VLOOKUP('Données projet'!$B$9,Paramètres!$A$1:$I$89,5,0)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549.43232095729741</v>
      </c>
      <c r="T65" s="59">
        <f t="shared" si="34"/>
        <v>280.26155987300996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6.6477838278712538</v>
      </c>
      <c r="AA65" s="21">
        <f>EXP(-LN(2)/25)*AA64+(1-EXP(-LN(2)/25))/(LN(2)/25)*Calculateur!V65*Calculateur!X65*VLOOKUP('Données projet'!$B$9,Paramètres!$A$1:$I$89,3,0)*0.475*44/12</f>
        <v>3.9358614117735273</v>
      </c>
      <c r="AB65" s="21">
        <f>EXP(-LN(2)/2)*AB64+(1-EXP(-LN(2)/2))/(LN(2)/2)*V65*Y65*VLOOKUP('Données projet'!$B$9,Paramètres!$A$1:$I$89,3,0)*0.475*44/12</f>
        <v>6.8743789695068373E-5</v>
      </c>
      <c r="AC65" s="22">
        <f t="shared" si="3"/>
        <v>10.583713983434476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17.399999999999999</v>
      </c>
      <c r="AI65" s="13">
        <f>IF('Données projet'!$A$62&gt;35,AI64+AH65-AQ64,IF(A65&lt;'Données projet'!$A$62,$AF$205^A65,IF(A65='Données projet'!$A$62,'Données projet'!$B$62,AI64+AH65-AQ64)))</f>
        <v>502.79999999999995</v>
      </c>
      <c r="AJ65" s="13">
        <f>AI65*VLOOKUP('Données projet'!$B$10,Paramètres!$A$1:$I$89,3,0)*VLOOKUP('Données projet'!$B$10,Paramètres!$A$1:$I$89,5,0)</f>
        <v>300.67439999999999</v>
      </c>
      <c r="AK65" s="13">
        <f t="shared" si="35"/>
        <v>71.317825137860439</v>
      </c>
      <c r="AL65" s="20">
        <f t="shared" si="4"/>
        <v>647.88645878177363</v>
      </c>
      <c r="AM65" s="59">
        <f t="shared" si="5"/>
        <v>941.21979211510688</v>
      </c>
      <c r="AN65" s="59">
        <f ca="1">AVERAGE(OFFSET($AM$3,0,0,'Données projet'!$E$10+1,1))-AVERAGE(OFFSET($H$3,0,0,'Données projet'!$E$10+1,1))</f>
        <v>348.62416478262719</v>
      </c>
      <c r="AO65" s="59">
        <f t="shared" si="36"/>
        <v>371.70674704563288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7.0279498215921219</v>
      </c>
      <c r="AV65" s="21">
        <f>EXP(-LN(2)/25)*AV64+(1-EXP(-LN(2)/25))/(LN(2)/25)*Calculateur!AQ65*Calculateur!AS65*VLOOKUP('Données projet'!$B$10,Paramètres!$A$1:$I$89,3,0)*0.475*44/12</f>
        <v>5.0272002936180451</v>
      </c>
      <c r="AW65" s="21">
        <f>EXP(-LN(2)/2)*AW64+(1-EXP(-LN(2)/2))/(LN(2)/2)*AQ65*AT65*VLOOKUP('Données projet'!$B$10,Paramètres!$A$1:$I$89,3,0)*0.475*44/12</f>
        <v>1.9005668466911811E-4</v>
      </c>
      <c r="AX65" s="21">
        <f t="shared" si="6"/>
        <v>12.055340171894837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262.59999999999997</v>
      </c>
      <c r="BE65" s="13">
        <f>BD65*VLOOKUP('Données projet'!$B$11,Paramètres!$A$1:$I$89,3,0)*VLOOKUP('Données projet'!$B$11,Paramètres!$A$1:$I$89,5,0)</f>
        <v>237.60047999999995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808.03665892907816</v>
      </c>
      <c r="BI65" s="59">
        <f ca="1">AVERAGE(OFFSET($BH$3,0,0,'Données projet'!$E$11+1,1))-AVERAGE(OFFSET($H$3,0,0,'Données projet'!$E$11+1,1))</f>
        <v>405.7176439604217</v>
      </c>
      <c r="BJ65" s="59">
        <f t="shared" si="38"/>
        <v>278.21741231699929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3.8779082674998731</v>
      </c>
      <c r="BQ65" s="21">
        <f>EXP(-LN(2)/25)*BQ64+(1-EXP(-LN(2)/25))/(LN(2)/25)*Calculateur!BL65*Calculateur!BN65*VLOOKUP('Données projet'!$B$11,Paramètres!$A$1:$I$89,3,0)*0.475*44/12</f>
        <v>3.8563686307137854</v>
      </c>
      <c r="BR65" s="21">
        <f>EXP(-LN(2)/2)*BR64+(1-EXP(-LN(2)/2))/(LN(2)/2)*BL65*BO65*VLOOKUP('Données projet'!$B$11,Paramètres!$A$1:$I$89,3,0)*0.475*44/12</f>
        <v>1.3023121016445473E-4</v>
      </c>
      <c r="BS65" s="22">
        <f t="shared" si="9"/>
        <v>7.7344071294238228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228.00000000000026</v>
      </c>
      <c r="BZ65" s="13">
        <f>BY65*VLOOKUP('Données projet'!$B$12,Paramètres!$A$1:$I$89,3,0)*VLOOKUP('Données projet'!$B$12,Paramètres!$A$1:$I$89,5,0)</f>
        <v>199.18080000000023</v>
      </c>
      <c r="CA65" s="13">
        <f t="shared" si="39"/>
        <v>49.564089376413726</v>
      </c>
      <c r="CB65" s="20">
        <f t="shared" si="10"/>
        <v>433.23068233058763</v>
      </c>
      <c r="CC65" s="59">
        <f t="shared" si="11"/>
        <v>726.56401566392094</v>
      </c>
      <c r="CD65" s="59">
        <f ca="1">AVERAGE(OFFSET($CC$3,0,0,'Données projet'!$E$12+1,1))-AVERAGE(OFFSET($H$3,0,0,'Données projet'!$E$12+1,1))</f>
        <v>321.23599968992932</v>
      </c>
      <c r="CE65" s="59">
        <f t="shared" si="40"/>
        <v>388.05195847800502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1.9390251355788601</v>
      </c>
      <c r="CL65" s="21">
        <f>EXP(-LN(2)/25)*CL64+(1-EXP(-LN(2)/25))/(LN(2)/25)*Calculateur!CG65*Calculateur!CI65*VLOOKUP('Données projet'!$B$12,Paramètres!$A$1:$I$89,3,0)*0.475*44/12</f>
        <v>8.6886796778249877</v>
      </c>
      <c r="CM65" s="21">
        <f>EXP(-LN(2)/2)*CM64+(1-EXP(-LN(2)/2))/(LN(2)/2)*CG65*CJ65*VLOOKUP('Données projet'!$B$12,Paramètres!$A$1:$I$89,3,0)*0.475*44/12</f>
        <v>1.8406498663125901E-4</v>
      </c>
      <c r="CN65" s="22">
        <f t="shared" si="12"/>
        <v>10.627888878390481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>
        <f>VLOOKUP(A65,'Données projet'!$A$139:$I$159,2,0)</f>
        <v>193</v>
      </c>
      <c r="CR65" s="12">
        <f>VLOOKUP(A65,'Données projet'!$A$139:$I$159,9,0)</f>
        <v>7.625</v>
      </c>
      <c r="CS65" s="12">
        <f t="array" ref="CS65">INDEX(CR:CR,MIN(IF(ISNUMBER(CR65:CR261),ROW(CR65:CR261),"")))</f>
        <v>7.625</v>
      </c>
      <c r="CT65" s="12">
        <f>IF('Données projet'!$A$140&gt;35,CT64+CS65-DB64,IF(A65&lt;'Données projet'!$A$140,$CQ$205^A65,IF(A65='Données projet'!$A$140,'Données projet'!$B$140,CT64+CS65-DB64)))</f>
        <v>193.00000000000003</v>
      </c>
      <c r="CU65" s="17">
        <f>CT65*VLOOKUP('Données projet'!$B$13,Paramètres!$A$1:$I$89,3,0)*VLOOKUP('Données projet'!$B$13,Paramètres!$A$1:$I$89,5,0)</f>
        <v>186.66960000000003</v>
      </c>
      <c r="CV65" s="13">
        <f t="shared" si="41"/>
        <v>46.802892607668348</v>
      </c>
      <c r="CW65" s="20">
        <f t="shared" si="13"/>
        <v>406.63125795835572</v>
      </c>
      <c r="CX65" s="59">
        <f t="shared" si="14"/>
        <v>699.96459129168898</v>
      </c>
      <c r="CY65" s="59">
        <f ca="1">AVERAGE(OFFSET($CX$3,0,0,'Données projet'!$E$13+1,1))-AVERAGE(OFFSET($H$3,0,0,'Données projet'!$E$13+1,1))</f>
        <v>399.24912109442175</v>
      </c>
      <c r="CZ65" s="59">
        <f t="shared" si="42"/>
        <v>269.83150082245305</v>
      </c>
      <c r="DA65" s="15">
        <f>IF(ISNA(VLOOKUP(A65,'Données projet'!$A$139:$I$159,3,0)),0,VLOOKUP(A65,'Données projet'!$A$139:$I$159,3,0))</f>
        <v>5</v>
      </c>
      <c r="DB65" s="15">
        <f>IF(ISNA(VLOOKUP(A65,'Données projet'!$A$139:$I$159,4,0)),0,VLOOKUP(A65,'Données projet'!$A$139:$I$159,4,0))</f>
        <v>39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>
        <f>VLOOKUP(A65,'Données projet'!$A$165:$I$185,2,0)</f>
        <v>193</v>
      </c>
      <c r="DM65" s="12">
        <f>VLOOKUP(A65,'Données projet'!$A$165:$I$185,9,0)</f>
        <v>7.625</v>
      </c>
      <c r="DN65" s="12">
        <f t="array" ref="DN65">INDEX(DM:DM,MIN(IF(ISNUMBER(DM65:DM261),ROW(DM65:DM261),"")))</f>
        <v>7.625</v>
      </c>
      <c r="DO65" s="12">
        <f>IF('Données projet'!$A$166&gt;35,DO64+DN65-DW64,IF(A65&lt;'Données projet'!$A$166,$DL$205^A65,IF(A65='Données projet'!$A$166,'Données projet'!$B$166,DO64+DN65-DW64)))</f>
        <v>193.00000000000003</v>
      </c>
      <c r="DP65" s="17">
        <f>DO65*VLOOKUP('Données projet'!$B$14,Paramètres!$A$1:$I$89,3,0)*VLOOKUP('Données projet'!$B$14,Paramètres!$A$1:$I$89,5,0)</f>
        <v>207.74520000000004</v>
      </c>
      <c r="DQ65" s="13">
        <f t="shared" si="43"/>
        <v>51.442546022877416</v>
      </c>
      <c r="DR65" s="20">
        <f t="shared" si="16"/>
        <v>451.41865765651147</v>
      </c>
      <c r="DS65" s="59">
        <f t="shared" si="17"/>
        <v>744.75199098984478</v>
      </c>
      <c r="DT65" s="59">
        <f ca="1">AVERAGE(OFFSET($DS$3,0,0,'Données projet'!$E$14+1,1))-AVERAGE(OFFSET($H$3,0,0,'Données projet'!$E$14+1,1))</f>
        <v>439.66981240211362</v>
      </c>
      <c r="DU65" s="59">
        <f t="shared" si="44"/>
        <v>295.47805371292458</v>
      </c>
      <c r="DV65" s="15">
        <f>IF(ISNA(VLOOKUP(A65,'Données projet'!$A$165:$I$185,3,0)),0,VLOOKUP(A65,'Données projet'!$A$165:$I$185,3,0))</f>
        <v>5</v>
      </c>
      <c r="DW65" s="15">
        <f>IF(ISNA(VLOOKUP(A65,'Données projet'!$A$165:$I$185,4,0)),0,VLOOKUP(A65,'Données projet'!$A$165:$I$185,4,0))</f>
        <v>39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193</v>
      </c>
      <c r="EH65" s="12">
        <f>VLOOKUP(A65,'Données projet'!$A$191:$I$211,9,0)</f>
        <v>7.625</v>
      </c>
      <c r="EI65" s="12">
        <f t="array" ref="EI65">INDEX(EH:EH,MIN(IF(ISNUMBER(EH65:EH261),ROW(EH65:EH261),"")))</f>
        <v>7.625</v>
      </c>
      <c r="EJ65" s="12">
        <f>IF('Données projet'!$A$192&gt;35,EJ64+EI65-ER64,IF(A65&lt;'Données projet'!$A$192,$EG$205^A65,IF(A65='Données projet'!$A$192,'Données projet'!$B$192,EJ64+EI65-ER64)))</f>
        <v>193.00000000000003</v>
      </c>
      <c r="EK65" s="17">
        <f>EJ65*VLOOKUP('Données projet'!$B$15,Paramètres!$A$1:$I$89,3,0)*VLOOKUP('Données projet'!$B$15,Paramètres!$A$1:$I$89,5,0)</f>
        <v>183.65880000000004</v>
      </c>
      <c r="EL65" s="13">
        <f t="shared" si="45"/>
        <v>46.135245973879222</v>
      </c>
      <c r="EM65" s="20">
        <f t="shared" si="19"/>
        <v>400.22463007117307</v>
      </c>
      <c r="EN65" s="59">
        <f t="shared" si="20"/>
        <v>693.55796340450638</v>
      </c>
      <c r="EO65" s="59">
        <f ca="1">AVERAGE(OFFSET($EN$3,0,0,'Données projet'!$E$15+1,1))-AVERAGE(OFFSET($H$3,0,0,'Données projet'!$E$15+1,1))</f>
        <v>393.46715670823653</v>
      </c>
      <c r="EP65" s="59">
        <f t="shared" si="46"/>
        <v>266.16261355327214</v>
      </c>
      <c r="EQ65" s="15">
        <f>IF(ISNA(VLOOKUP(A65,'Données projet'!$A$191:$I$211,3,0)),0,VLOOKUP(A65,'Données projet'!$A$191:$I$211,3,0))</f>
        <v>5</v>
      </c>
      <c r="ER65" s="15">
        <f>IF(ISNA(VLOOKUP(A65,'Données projet'!$A$191:$I$211,4,0)),0,VLOOKUP(A65,'Données projet'!$A$191:$I$211,4,0))</f>
        <v>39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549.43232095729741</v>
      </c>
      <c r="T66" s="59">
        <f t="shared" si="34"/>
        <v>280.26155987300996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6.51742484175446</v>
      </c>
      <c r="AA66" s="21">
        <f>EXP(-LN(2)/25)*AA65+(1-EXP(-LN(2)/25))/(LN(2)/25)*Calculateur!V66*Calculateur!X66*VLOOKUP('Données projet'!$B$9,Paramètres!$A$1:$I$89,3,0)*0.475*44/12</f>
        <v>3.8282350744906242</v>
      </c>
      <c r="AB66" s="21">
        <f>EXP(-LN(2)/2)*AB65+(1-EXP(-LN(2)/2))/(LN(2)/2)*V66*Y66*VLOOKUP('Données projet'!$B$9,Paramètres!$A$1:$I$89,3,0)*0.475*44/12</f>
        <v>4.8609199857844753E-5</v>
      </c>
      <c r="AC66" s="22">
        <f t="shared" si="3"/>
        <v>10.345708525444943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17.399999999999999</v>
      </c>
      <c r="AI66" s="13">
        <f>IF('Données projet'!$A$62&gt;35,AI65+AH66-AQ65,IF(A66&lt;'Données projet'!$A$62,$AF$205^A66,IF(A66='Données projet'!$A$62,'Données projet'!$B$62,AI65+AH66-AQ65)))</f>
        <v>520.19999999999993</v>
      </c>
      <c r="AJ66" s="13">
        <f>AI66*VLOOKUP('Données projet'!$B$10,Paramètres!$A$1:$I$89,3,0)*VLOOKUP('Données projet'!$B$10,Paramètres!$A$1:$I$89,5,0)</f>
        <v>311.07959999999997</v>
      </c>
      <c r="AK66" s="13">
        <f t="shared" si="35"/>
        <v>73.49424798183118</v>
      </c>
      <c r="AL66" s="20">
        <f t="shared" si="4"/>
        <v>669.79945190168917</v>
      </c>
      <c r="AM66" s="59">
        <f t="shared" si="5"/>
        <v>963.13278523502254</v>
      </c>
      <c r="AN66" s="59">
        <f ca="1">AVERAGE(OFFSET($AM$3,0,0,'Données projet'!$E$10+1,1))-AVERAGE(OFFSET($H$3,0,0,'Données projet'!$E$10+1,1))</f>
        <v>348.62416478262719</v>
      </c>
      <c r="AO66" s="59">
        <f t="shared" si="36"/>
        <v>371.70674704563288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6.8901360122168223</v>
      </c>
      <c r="AV66" s="21">
        <f>EXP(-LN(2)/25)*AV65+(1-EXP(-LN(2)/25))/(LN(2)/25)*Calculateur!AQ66*Calculateur!AS66*VLOOKUP('Données projet'!$B$10,Paramètres!$A$1:$I$89,3,0)*0.475*44/12</f>
        <v>4.8897312372200856</v>
      </c>
      <c r="AW66" s="21">
        <f>EXP(-LN(2)/2)*AW65+(1-EXP(-LN(2)/2))/(LN(2)/2)*AQ66*AT66*VLOOKUP('Données projet'!$B$10,Paramètres!$A$1:$I$89,3,0)*0.475*44/12</f>
        <v>1.3439037053936676E-4</v>
      </c>
      <c r="AX66" s="21">
        <f t="shared" si="6"/>
        <v>11.780001639807447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271.39999999999998</v>
      </c>
      <c r="BE66" s="13">
        <f>BD66*VLOOKUP('Données projet'!$B$11,Paramètres!$A$1:$I$89,3,0)*VLOOKUP('Données projet'!$B$11,Paramètres!$A$1:$I$89,5,0)</f>
        <v>245.56271999999998</v>
      </c>
      <c r="BF66" s="13">
        <f t="shared" si="37"/>
        <v>59.634776048276898</v>
      </c>
      <c r="BG66" s="20">
        <f t="shared" si="7"/>
        <v>531.55230561741564</v>
      </c>
      <c r="BH66" s="59">
        <f t="shared" si="8"/>
        <v>824.8856389507489</v>
      </c>
      <c r="BI66" s="59">
        <f ca="1">AVERAGE(OFFSET($BH$3,0,0,'Données projet'!$E$11+1,1))-AVERAGE(OFFSET($H$3,0,0,'Données projet'!$E$11+1,1))</f>
        <v>405.7176439604217</v>
      </c>
      <c r="BJ66" s="59">
        <f t="shared" si="38"/>
        <v>278.21741231699929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3.8018648516646905</v>
      </c>
      <c r="BQ66" s="21">
        <f>EXP(-LN(2)/25)*BQ65+(1-EXP(-LN(2)/25))/(LN(2)/25)*Calculateur!BL66*Calculateur!BN66*VLOOKUP('Données projet'!$B$11,Paramètres!$A$1:$I$89,3,0)*0.475*44/12</f>
        <v>3.7509160277093043</v>
      </c>
      <c r="BR66" s="21">
        <f>EXP(-LN(2)/2)*BR65+(1-EXP(-LN(2)/2))/(LN(2)/2)*BL66*BO66*VLOOKUP('Données projet'!$B$11,Paramètres!$A$1:$I$89,3,0)*0.475*44/12</f>
        <v>9.2087371829416379E-5</v>
      </c>
      <c r="BS66" s="22">
        <f t="shared" si="9"/>
        <v>7.5528729667458236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234.00000000000026</v>
      </c>
      <c r="BZ66" s="13">
        <f>BY66*VLOOKUP('Données projet'!$B$12,Paramètres!$A$1:$I$89,3,0)*VLOOKUP('Données projet'!$B$12,Paramètres!$A$1:$I$89,5,0)</f>
        <v>204.42240000000027</v>
      </c>
      <c r="CA66" s="13">
        <f t="shared" si="39"/>
        <v>50.714836797527354</v>
      </c>
      <c r="CB66" s="20">
        <f t="shared" si="10"/>
        <v>444.36402075569396</v>
      </c>
      <c r="CC66" s="59">
        <f t="shared" si="11"/>
        <v>737.69735408902727</v>
      </c>
      <c r="CD66" s="59">
        <f ca="1">AVERAGE(OFFSET($CC$3,0,0,'Données projet'!$E$12+1,1))-AVERAGE(OFFSET($H$3,0,0,'Données projet'!$E$12+1,1))</f>
        <v>321.23599968992932</v>
      </c>
      <c r="CE66" s="59">
        <f t="shared" si="40"/>
        <v>388.05195847800502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1.9010020353587107</v>
      </c>
      <c r="CL66" s="21">
        <f>EXP(-LN(2)/25)*CL65+(1-EXP(-LN(2)/25))/(LN(2)/25)*Calculateur!CG66*Calculateur!CI66*VLOOKUP('Données projet'!$B$12,Paramètres!$A$1:$I$89,3,0)*0.475*44/12</f>
        <v>8.4510872751170574</v>
      </c>
      <c r="CM66" s="21">
        <f>EXP(-LN(2)/2)*CM65+(1-EXP(-LN(2)/2))/(LN(2)/2)*CG66*CJ66*VLOOKUP('Données projet'!$B$12,Paramètres!$A$1:$I$89,3,0)*0.475*44/12</f>
        <v>1.3015360022597446E-4</v>
      </c>
      <c r="CN66" s="22">
        <f t="shared" si="12"/>
        <v>10.352219464075995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8.25</v>
      </c>
      <c r="CT66" s="12">
        <f>IF('Données projet'!$A$140&gt;35,CT65+CS66-DB65,IF(A66&lt;'Données projet'!$A$140,$CQ$205^A66,IF(A66='Données projet'!$A$140,'Données projet'!$B$140,CT65+CS66-DB65)))</f>
        <v>162.25000000000003</v>
      </c>
      <c r="CU66" s="17">
        <f>CT66*VLOOKUP('Données projet'!$B$13,Paramètres!$A$1:$I$89,3,0)*VLOOKUP('Données projet'!$B$13,Paramètres!$A$1:$I$89,5,0)</f>
        <v>156.92820000000003</v>
      </c>
      <c r="CV66" s="13">
        <f t="shared" si="41"/>
        <v>40.148882583025227</v>
      </c>
      <c r="CW66" s="20">
        <f t="shared" si="13"/>
        <v>343.24258549876896</v>
      </c>
      <c r="CX66" s="59">
        <f t="shared" si="14"/>
        <v>636.57591883210227</v>
      </c>
      <c r="CY66" s="59">
        <f ca="1">AVERAGE(OFFSET($CX$3,0,0,'Données projet'!$E$13+1,1))-AVERAGE(OFFSET($H$3,0,0,'Données projet'!$E$13+1,1))</f>
        <v>399.24912109442175</v>
      </c>
      <c r="CZ66" s="59">
        <f t="shared" si="42"/>
        <v>269.83150082245305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8.25</v>
      </c>
      <c r="DO66" s="12">
        <f>IF('Données projet'!$A$166&gt;35,DO65+DN66-DW65,IF(A66&lt;'Données projet'!$A$166,$DL$205^A66,IF(A66='Données projet'!$A$166,'Données projet'!$B$166,DO65+DN66-DW65)))</f>
        <v>162.25000000000003</v>
      </c>
      <c r="DP66" s="17">
        <f>DO66*VLOOKUP('Données projet'!$B$14,Paramètres!$A$1:$I$89,3,0)*VLOOKUP('Données projet'!$B$14,Paramètres!$A$1:$I$89,5,0)</f>
        <v>174.64590000000004</v>
      </c>
      <c r="DQ66" s="13">
        <f t="shared" si="43"/>
        <v>44.128912231078225</v>
      </c>
      <c r="DR66" s="20">
        <f t="shared" si="16"/>
        <v>381.03279796912801</v>
      </c>
      <c r="DS66" s="59">
        <f t="shared" si="17"/>
        <v>674.36613130246133</v>
      </c>
      <c r="DT66" s="59">
        <f ca="1">AVERAGE(OFFSET($DS$3,0,0,'Données projet'!$E$14+1,1))-AVERAGE(OFFSET($H$3,0,0,'Données projet'!$E$14+1,1))</f>
        <v>439.66981240211362</v>
      </c>
      <c r="DU66" s="59">
        <f t="shared" si="44"/>
        <v>295.47805371292458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8.25</v>
      </c>
      <c r="EJ66" s="12">
        <f>IF('Données projet'!$A$192&gt;35,EJ65+EI66-ER65,IF(A66&lt;'Données projet'!$A$192,$EG$205^A66,IF(A66='Données projet'!$A$192,'Données projet'!$B$192,EJ65+EI66-ER65)))</f>
        <v>162.25000000000003</v>
      </c>
      <c r="EK66" s="17">
        <f>EJ66*VLOOKUP('Données projet'!$B$15,Paramètres!$A$1:$I$89,3,0)*VLOOKUP('Données projet'!$B$15,Paramètres!$A$1:$I$89,5,0)</f>
        <v>154.39710000000002</v>
      </c>
      <c r="EL66" s="13">
        <f t="shared" si="45"/>
        <v>39.576155881458924</v>
      </c>
      <c r="EM66" s="20">
        <f t="shared" si="19"/>
        <v>337.83675399354098</v>
      </c>
      <c r="EN66" s="59">
        <f t="shared" si="20"/>
        <v>631.1700873268743</v>
      </c>
      <c r="EO66" s="59">
        <f ca="1">AVERAGE(OFFSET($EN$3,0,0,'Données projet'!$E$15+1,1))-AVERAGE(OFFSET($H$3,0,0,'Données projet'!$E$15+1,1))</f>
        <v>393.46715670823653</v>
      </c>
      <c r="EP66" s="59">
        <f t="shared" si="46"/>
        <v>266.16261355327214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549.43232095729741</v>
      </c>
      <c r="T67" s="59">
        <f t="shared" si="34"/>
        <v>280.26155987300996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6.3896221158442863</v>
      </c>
      <c r="AA67" s="21">
        <f>EXP(-LN(2)/25)*AA66+(1-EXP(-LN(2)/25))/(LN(2)/25)*Calculateur!V67*Calculateur!X67*VLOOKUP('Données projet'!$B$9,Paramètres!$A$1:$I$89,3,0)*0.475*44/12</f>
        <v>3.7235517850605451</v>
      </c>
      <c r="AB67" s="21">
        <f>EXP(-LN(2)/2)*AB66+(1-EXP(-LN(2)/2))/(LN(2)/2)*V67*Y67*VLOOKUP('Données projet'!$B$9,Paramètres!$A$1:$I$89,3,0)*0.475*44/12</f>
        <v>3.4371894847534186E-5</v>
      </c>
      <c r="AC67" s="22">
        <f t="shared" si="3"/>
        <v>10.113208272799678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17.399999999999999</v>
      </c>
      <c r="AI67" s="13">
        <f>IF('Données projet'!$A$62&gt;35,AI66+AH67-AQ66,IF(A67&lt;'Données projet'!$A$62,$AF$205^A67,IF(A67='Données projet'!$A$62,'Données projet'!$B$62,AI66+AH67-AQ66)))</f>
        <v>537.59999999999991</v>
      </c>
      <c r="AJ67" s="13">
        <f>AI67*VLOOKUP('Données projet'!$B$10,Paramètres!$A$1:$I$89,3,0)*VLOOKUP('Données projet'!$B$10,Paramètres!$A$1:$I$89,5,0)</f>
        <v>321.48479999999995</v>
      </c>
      <c r="AK67" s="13">
        <f t="shared" si="35"/>
        <v>75.662211893590367</v>
      </c>
      <c r="AL67" s="20">
        <f t="shared" si="4"/>
        <v>691.69771238133637</v>
      </c>
      <c r="AM67" s="59">
        <f t="shared" si="5"/>
        <v>985.03104571466974</v>
      </c>
      <c r="AN67" s="59">
        <f ca="1">AVERAGE(OFFSET($AM$3,0,0,'Données projet'!$E$10+1,1))-AVERAGE(OFFSET($H$3,0,0,'Données projet'!$E$10+1,1))</f>
        <v>348.62416478262719</v>
      </c>
      <c r="AO67" s="59">
        <f t="shared" si="36"/>
        <v>371.70674704563288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6.7550246475852491</v>
      </c>
      <c r="AV67" s="21">
        <f>EXP(-LN(2)/25)*AV66+(1-EXP(-LN(2)/25))/(LN(2)/25)*Calculateur!AQ67*Calculateur!AS67*VLOOKUP('Données projet'!$B$10,Paramètres!$A$1:$I$89,3,0)*0.475*44/12</f>
        <v>4.7560212793985119</v>
      </c>
      <c r="AW67" s="21">
        <f>EXP(-LN(2)/2)*AW66+(1-EXP(-LN(2)/2))/(LN(2)/2)*AQ67*AT67*VLOOKUP('Données projet'!$B$10,Paramètres!$A$1:$I$89,3,0)*0.475*44/12</f>
        <v>9.5028342334559055E-5</v>
      </c>
      <c r="AX67" s="21">
        <f t="shared" si="6"/>
        <v>11.511140955326097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280.2</v>
      </c>
      <c r="BE67" s="13">
        <f>BD67*VLOOKUP('Données projet'!$B$11,Paramètres!$A$1:$I$89,3,0)*VLOOKUP('Données projet'!$B$11,Paramètres!$A$1:$I$89,5,0)</f>
        <v>253.52495999999999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841.72338563225185</v>
      </c>
      <c r="BI67" s="59">
        <f ca="1">AVERAGE(OFFSET($BH$3,0,0,'Données projet'!$E$11+1,1))-AVERAGE(OFFSET($H$3,0,0,'Données projet'!$E$11+1,1))</f>
        <v>405.7176439604217</v>
      </c>
      <c r="BJ67" s="59">
        <f t="shared" si="38"/>
        <v>278.21741231699929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3.727312600832132</v>
      </c>
      <c r="BQ67" s="21">
        <f>EXP(-LN(2)/25)*BQ66+(1-EXP(-LN(2)/25))/(LN(2)/25)*Calculateur!BL67*Calculateur!BN67*VLOOKUP('Données projet'!$B$11,Paramètres!$A$1:$I$89,3,0)*0.475*44/12</f>
        <v>3.6483470316794921</v>
      </c>
      <c r="BR67" s="21">
        <f>EXP(-LN(2)/2)*BR66+(1-EXP(-LN(2)/2))/(LN(2)/2)*BL67*BO67*VLOOKUP('Données projet'!$B$11,Paramètres!$A$1:$I$89,3,0)*0.475*44/12</f>
        <v>6.5115605082227367E-5</v>
      </c>
      <c r="BS67" s="22">
        <f t="shared" si="9"/>
        <v>7.3757247481167063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240.00000000000026</v>
      </c>
      <c r="BZ67" s="13">
        <f>BY67*VLOOKUP('Données projet'!$B$12,Paramètres!$A$1:$I$89,3,0)*VLOOKUP('Données projet'!$B$12,Paramètres!$A$1:$I$89,5,0)</f>
        <v>209.66400000000024</v>
      </c>
      <c r="CA67" s="13">
        <f t="shared" si="39"/>
        <v>51.862154403304579</v>
      </c>
      <c r="CB67" s="20">
        <f t="shared" si="10"/>
        <v>455.49138558575584</v>
      </c>
      <c r="CC67" s="59">
        <f t="shared" si="11"/>
        <v>748.82471891908915</v>
      </c>
      <c r="CD67" s="59">
        <f ca="1">AVERAGE(OFFSET($CC$3,0,0,'Données projet'!$E$12+1,1))-AVERAGE(OFFSET($H$3,0,0,'Données projet'!$E$12+1,1))</f>
        <v>321.23599968992932</v>
      </c>
      <c r="CE67" s="59">
        <f t="shared" si="40"/>
        <v>388.05195847800502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1.8637245449420772</v>
      </c>
      <c r="CL67" s="21">
        <f>EXP(-LN(2)/25)*CL66+(1-EXP(-LN(2)/25))/(LN(2)/25)*Calculateur!CG67*Calculateur!CI67*VLOOKUP('Données projet'!$B$12,Paramètres!$A$1:$I$89,3,0)*0.475*44/12</f>
        <v>8.2199918491556172</v>
      </c>
      <c r="CM67" s="21">
        <f>EXP(-LN(2)/2)*CM66+(1-EXP(-LN(2)/2))/(LN(2)/2)*CG67*CJ67*VLOOKUP('Données projet'!$B$12,Paramètres!$A$1:$I$89,3,0)*0.475*44/12</f>
        <v>9.2032493315629505E-5</v>
      </c>
      <c r="CN67" s="22">
        <f t="shared" si="12"/>
        <v>10.083808426591009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8.25</v>
      </c>
      <c r="CT67" s="12">
        <f>IF('Données projet'!$A$140&gt;35,CT66+CS67-DB66,IF(A67&lt;'Données projet'!$A$140,$CQ$205^A67,IF(A67='Données projet'!$A$140,'Données projet'!$B$140,CT66+CS67-DB66)))</f>
        <v>170.50000000000003</v>
      </c>
      <c r="CU67" s="17">
        <f>CT67*VLOOKUP('Données projet'!$B$13,Paramètres!$A$1:$I$89,3,0)*VLOOKUP('Données projet'!$B$13,Paramètres!$A$1:$I$89,5,0)</f>
        <v>164.90760000000003</v>
      </c>
      <c r="CV67" s="13">
        <f t="shared" si="41"/>
        <v>41.94748446921831</v>
      </c>
      <c r="CW67" s="20">
        <f t="shared" si="13"/>
        <v>360.27260545055532</v>
      </c>
      <c r="CX67" s="59">
        <f t="shared" si="14"/>
        <v>653.60593878388863</v>
      </c>
      <c r="CY67" s="59">
        <f ca="1">AVERAGE(OFFSET($CX$3,0,0,'Données projet'!$E$13+1,1))-AVERAGE(OFFSET($H$3,0,0,'Données projet'!$E$13+1,1))</f>
        <v>399.24912109442175</v>
      </c>
      <c r="CZ67" s="59">
        <f t="shared" si="42"/>
        <v>269.83150082245305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8.25</v>
      </c>
      <c r="DO67" s="12">
        <f>IF('Données projet'!$A$166&gt;35,DO66+DN67-DW66,IF(A67&lt;'Données projet'!$A$166,$DL$205^A67,IF(A67='Données projet'!$A$166,'Données projet'!$B$166,DO66+DN67-DW66)))</f>
        <v>170.50000000000003</v>
      </c>
      <c r="DP67" s="17">
        <f>DO67*VLOOKUP('Données projet'!$B$14,Paramètres!$A$1:$I$89,3,0)*VLOOKUP('Données projet'!$B$14,Paramètres!$A$1:$I$89,5,0)</f>
        <v>183.52620000000002</v>
      </c>
      <c r="DQ67" s="13">
        <f t="shared" si="43"/>
        <v>46.105812699237802</v>
      </c>
      <c r="DR67" s="20">
        <f t="shared" si="16"/>
        <v>399.94242211783916</v>
      </c>
      <c r="DS67" s="59">
        <f t="shared" si="17"/>
        <v>693.27575545117247</v>
      </c>
      <c r="DT67" s="59">
        <f ca="1">AVERAGE(OFFSET($DS$3,0,0,'Données projet'!$E$14+1,1))-AVERAGE(OFFSET($H$3,0,0,'Données projet'!$E$14+1,1))</f>
        <v>439.66981240211362</v>
      </c>
      <c r="DU67" s="59">
        <f t="shared" si="44"/>
        <v>295.47805371292458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8.25</v>
      </c>
      <c r="EJ67" s="12">
        <f>IF('Données projet'!$A$192&gt;35,EJ66+EI67-ER66,IF(A67&lt;'Données projet'!$A$192,$EG$205^A67,IF(A67='Données projet'!$A$192,'Données projet'!$B$192,EJ66+EI67-ER66)))</f>
        <v>170.50000000000003</v>
      </c>
      <c r="EK67" s="17">
        <f>EJ67*VLOOKUP('Données projet'!$B$15,Paramètres!$A$1:$I$89,3,0)*VLOOKUP('Données projet'!$B$15,Paramètres!$A$1:$I$89,5,0)</f>
        <v>162.24780000000001</v>
      </c>
      <c r="EL67" s="13">
        <f t="shared" si="45"/>
        <v>41.349100582210298</v>
      </c>
      <c r="EM67" s="20">
        <f t="shared" si="19"/>
        <v>354.5979351806829</v>
      </c>
      <c r="EN67" s="59">
        <f t="shared" si="20"/>
        <v>647.93126851401621</v>
      </c>
      <c r="EO67" s="59">
        <f ca="1">AVERAGE(OFFSET($EN$3,0,0,'Données projet'!$E$15+1,1))-AVERAGE(OFFSET($H$3,0,0,'Données projet'!$E$15+1,1))</f>
        <v>393.46715670823653</v>
      </c>
      <c r="EP67" s="59">
        <f t="shared" si="46"/>
        <v>266.16261355327214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549.43232095729741</v>
      </c>
      <c r="T68" s="59">
        <f t="shared" si="34"/>
        <v>280.26155987300996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6.2643255234372459</v>
      </c>
      <c r="AA68" s="21">
        <f>EXP(-LN(2)/25)*AA67+(1-EXP(-LN(2)/25))/(LN(2)/25)*Calculateur!V68*Calculateur!X68*VLOOKUP('Données projet'!$B$9,Paramètres!$A$1:$I$89,3,0)*0.475*44/12</f>
        <v>3.6217310656849864</v>
      </c>
      <c r="AB68" s="21">
        <f>EXP(-LN(2)/2)*AB67+(1-EXP(-LN(2)/2))/(LN(2)/2)*V68*Y68*VLOOKUP('Données projet'!$B$9,Paramètres!$A$1:$I$89,3,0)*0.475*44/12</f>
        <v>2.4304599928922376E-5</v>
      </c>
      <c r="AC68" s="22">
        <f t="shared" ref="AC68:AC131" si="57">SUM(Z68:AB68)</f>
        <v>9.8860808937221609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555</v>
      </c>
      <c r="AG68" s="12">
        <f>VLOOKUP(A68,'Données projet'!$A$61:$I$81,9,0)</f>
        <v>17.399999999999999</v>
      </c>
      <c r="AH68" s="12">
        <f t="array" ref="AH68">INDEX(AG:AG,MIN(IF(ISNUMBER(AG68:AG264),ROW(AG68:AG264),"")))</f>
        <v>17.399999999999999</v>
      </c>
      <c r="AI68" s="13">
        <f>IF('Données projet'!$A$62&gt;35,AI67+AH68-AQ67,IF(A68&lt;'Données projet'!$A$62,$AF$205^A68,IF(A68='Données projet'!$A$62,'Données projet'!$B$62,AI67+AH68-AQ67)))</f>
        <v>554.99999999999989</v>
      </c>
      <c r="AJ68" s="13">
        <f>AI68*VLOOKUP('Données projet'!$B$10,Paramètres!$A$1:$I$89,3,0)*VLOOKUP('Données projet'!$B$10,Paramètres!$A$1:$I$89,5,0)</f>
        <v>331.88999999999993</v>
      </c>
      <c r="AK68" s="13">
        <f t="shared" si="35"/>
        <v>77.822022056956186</v>
      </c>
      <c r="AL68" s="20">
        <f t="shared" ref="AL68:AL131" si="58">(AJ68+AK68)*0.475*44/12</f>
        <v>713.58177174919854</v>
      </c>
      <c r="AM68" s="59">
        <f t="shared" ref="AM68:AM131" si="59">AL68+(AD68+AE68)*44/12</f>
        <v>1006.9151050825319</v>
      </c>
      <c r="AN68" s="59">
        <f ca="1">AVERAGE(OFFSET($AM$3,0,0,'Données projet'!$E$10+1,1))-AVERAGE(OFFSET($H$3,0,0,'Données projet'!$E$10+1,1))</f>
        <v>348.62416478262719</v>
      </c>
      <c r="AO68" s="59">
        <f t="shared" si="36"/>
        <v>371.70674704563288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555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6.6225627344043057</v>
      </c>
      <c r="AV68" s="21">
        <f>EXP(-LN(2)/25)*AV67+(1-EXP(-LN(2)/25))/(LN(2)/25)*Calculateur!AQ68*Calculateur!AS68*VLOOKUP('Données projet'!$B$10,Paramètres!$A$1:$I$89,3,0)*0.475*44/12</f>
        <v>4.6259676274050703</v>
      </c>
      <c r="AW68" s="21">
        <f>EXP(-LN(2)/2)*AW67+(1-EXP(-LN(2)/2))/(LN(2)/2)*AQ68*AT68*VLOOKUP('Données projet'!$B$10,Paramètres!$A$1:$I$89,3,0)*0.475*44/12</f>
        <v>6.719518526968338E-5</v>
      </c>
      <c r="AX68" s="21">
        <f t="shared" ref="AX68:AX131" si="60">SUM(AU68:AW68)</f>
        <v>11.248597556994646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289</v>
      </c>
      <c r="BE68" s="13">
        <f>BD68*VLOOKUP('Données projet'!$B$11,Paramètres!$A$1:$I$89,3,0)*VLOOKUP('Données projet'!$B$11,Paramètres!$A$1:$I$89,5,0)</f>
        <v>261.48719999999997</v>
      </c>
      <c r="BF68" s="13">
        <f t="shared" si="37"/>
        <v>63.039283586802391</v>
      </c>
      <c r="BG68" s="20">
        <f t="shared" ref="BG68:BG131" si="61">(BE68+BF68)*0.475*44/12</f>
        <v>565.21695891368086</v>
      </c>
      <c r="BH68" s="59">
        <f t="shared" ref="BH68:BH131" si="62">BG68+(AY68+AZ68)*44/12</f>
        <v>858.55029224701411</v>
      </c>
      <c r="BI68" s="59">
        <f ca="1">AVERAGE(OFFSET($BH$3,0,0,'Données projet'!$E$11+1,1))-AVERAGE(OFFSET($H$3,0,0,'Données projet'!$E$11+1,1))</f>
        <v>405.7176439604217</v>
      </c>
      <c r="BJ68" s="59">
        <f t="shared" si="38"/>
        <v>278.21741231699929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3.6542222741660173</v>
      </c>
      <c r="BQ68" s="21">
        <f>EXP(-LN(2)/25)*BQ67+(1-EXP(-LN(2)/25))/(LN(2)/25)*Calculateur!BL68*Calculateur!BN68*VLOOKUP('Données projet'!$B$11,Paramètres!$A$1:$I$89,3,0)*0.475*44/12</f>
        <v>3.5485827902399842</v>
      </c>
      <c r="BR68" s="21">
        <f>EXP(-LN(2)/2)*BR67+(1-EXP(-LN(2)/2))/(LN(2)/2)*BL68*BO68*VLOOKUP('Données projet'!$B$11,Paramètres!$A$1:$I$89,3,0)*0.475*44/12</f>
        <v>4.604368591470819E-5</v>
      </c>
      <c r="BS68" s="22">
        <f t="shared" ref="BS68:BS131" si="63">SUM(BP68:BR68)</f>
        <v>7.2028511080919166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246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246.00000000000026</v>
      </c>
      <c r="BZ68" s="13">
        <f>BY68*VLOOKUP('Données projet'!$B$12,Paramètres!$A$1:$I$89,3,0)*VLOOKUP('Données projet'!$B$12,Paramètres!$A$1:$I$89,5,0)</f>
        <v>214.90560000000025</v>
      </c>
      <c r="CA68" s="13">
        <f t="shared" si="39"/>
        <v>53.006137800892375</v>
      </c>
      <c r="CB68" s="20">
        <f t="shared" ref="CB68:CB131" si="64">(BZ68+CA68)*0.475*44/12</f>
        <v>466.61294333655468</v>
      </c>
      <c r="CC68" s="59">
        <f t="shared" ref="CC68:CC131" si="65">CB68+(BT68+BU68)*44/12</f>
        <v>759.94627666988799</v>
      </c>
      <c r="CD68" s="59">
        <f ca="1">AVERAGE(OFFSET($CC$3,0,0,'Données projet'!$E$12+1,1))-AVERAGE(OFFSET($H$3,0,0,'Données projet'!$E$12+1,1))</f>
        <v>321.23599968992932</v>
      </c>
      <c r="CE68" s="59">
        <f t="shared" si="40"/>
        <v>388.05195847800502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23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1.8271780433754898</v>
      </c>
      <c r="CL68" s="21">
        <f>EXP(-LN(2)/25)*CL67+(1-EXP(-LN(2)/25))/(LN(2)/25)*Calculateur!CG68*Calculateur!CI68*VLOOKUP('Données projet'!$B$12,Paramètres!$A$1:$I$89,3,0)*0.475*44/12</f>
        <v>7.9952157397698729</v>
      </c>
      <c r="CM68" s="21">
        <f>EXP(-LN(2)/2)*CM67+(1-EXP(-LN(2)/2))/(LN(2)/2)*CG68*CJ68*VLOOKUP('Données projet'!$B$12,Paramètres!$A$1:$I$89,3,0)*0.475*44/12</f>
        <v>6.5076800112987229E-5</v>
      </c>
      <c r="CN68" s="22">
        <f t="shared" ref="CN68:CN131" si="66">SUM(CK68:CM68)</f>
        <v>9.8224588599454741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8.25</v>
      </c>
      <c r="CT68" s="12">
        <f>IF('Données projet'!$A$140&gt;35,CT67+CS68-DB67,IF(A68&lt;'Données projet'!$A$140,$CQ$205^A68,IF(A68='Données projet'!$A$140,'Données projet'!$B$140,CT67+CS68-DB67)))</f>
        <v>178.75000000000003</v>
      </c>
      <c r="CU68" s="17">
        <f>CT68*VLOOKUP('Données projet'!$B$13,Paramètres!$A$1:$I$89,3,0)*VLOOKUP('Données projet'!$B$13,Paramètres!$A$1:$I$89,5,0)</f>
        <v>172.88700000000003</v>
      </c>
      <c r="CV68" s="13">
        <f t="shared" si="41"/>
        <v>43.73598047623517</v>
      </c>
      <c r="CW68" s="20">
        <f t="shared" ref="CW68:CW131" si="67">(CU68+CV68)*0.475*44/12</f>
        <v>377.28502432944293</v>
      </c>
      <c r="CX68" s="59">
        <f t="shared" ref="CX68:CX131" si="68">CW68+(CO68+CP68)*44/12</f>
        <v>670.61835766277625</v>
      </c>
      <c r="CY68" s="59">
        <f ca="1">AVERAGE(OFFSET($CX$3,0,0,'Données projet'!$E$13+1,1))-AVERAGE(OFFSET($H$3,0,0,'Données projet'!$E$13+1,1))</f>
        <v>399.24912109442175</v>
      </c>
      <c r="CZ68" s="59">
        <f t="shared" si="42"/>
        <v>269.83150082245305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8.25</v>
      </c>
      <c r="DO68" s="12">
        <f>IF('Données projet'!$A$166&gt;35,DO67+DN68-DW67,IF(A68&lt;'Données projet'!$A$166,$DL$205^A68,IF(A68='Données projet'!$A$166,'Données projet'!$B$166,DO67+DN68-DW67)))</f>
        <v>178.75000000000003</v>
      </c>
      <c r="DP68" s="17">
        <f>DO68*VLOOKUP('Données projet'!$B$14,Paramètres!$A$1:$I$89,3,0)*VLOOKUP('Données projet'!$B$14,Paramètres!$A$1:$I$89,5,0)</f>
        <v>192.40650000000002</v>
      </c>
      <c r="DQ68" s="13">
        <f t="shared" si="43"/>
        <v>48.07160547456769</v>
      </c>
      <c r="DR68" s="20">
        <f t="shared" ref="DR68:DR131" si="70">(DP68+DQ68)*0.475*44/12</f>
        <v>418.83270036820545</v>
      </c>
      <c r="DS68" s="59">
        <f t="shared" ref="DS68:DS131" si="71">DR68+(DJ68+DK68)*44/12</f>
        <v>712.16603370153871</v>
      </c>
      <c r="DT68" s="59">
        <f ca="1">AVERAGE(OFFSET($DS$3,0,0,'Données projet'!$E$14+1,1))-AVERAGE(OFFSET($H$3,0,0,'Données projet'!$E$14+1,1))</f>
        <v>439.66981240211362</v>
      </c>
      <c r="DU68" s="59">
        <f t="shared" si="44"/>
        <v>295.47805371292458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8.25</v>
      </c>
      <c r="EJ68" s="12">
        <f>IF('Données projet'!$A$192&gt;35,EJ67+EI68-ER67,IF(A68&lt;'Données projet'!$A$192,$EG$205^A68,IF(A68='Données projet'!$A$192,'Données projet'!$B$192,EJ67+EI68-ER67)))</f>
        <v>178.75000000000003</v>
      </c>
      <c r="EK68" s="17">
        <f>EJ68*VLOOKUP('Données projet'!$B$15,Paramètres!$A$1:$I$89,3,0)*VLOOKUP('Données projet'!$B$15,Paramètres!$A$1:$I$89,5,0)</f>
        <v>170.09850000000003</v>
      </c>
      <c r="EL68" s="13">
        <f t="shared" si="45"/>
        <v>43.112083564879711</v>
      </c>
      <c r="EM68" s="20">
        <f t="shared" ref="EM68:EM131" si="73">(EK68+EL68)*0.475*44/12</f>
        <v>371.34176637549893</v>
      </c>
      <c r="EN68" s="59">
        <f t="shared" ref="EN68:EN131" si="74">EM68+(EE68+EF68)*44/12</f>
        <v>664.67509970883225</v>
      </c>
      <c r="EO68" s="59">
        <f ca="1">AVERAGE(OFFSET($EN$3,0,0,'Données projet'!$E$15+1,1))-AVERAGE(OFFSET($H$3,0,0,'Données projet'!$E$15+1,1))</f>
        <v>393.46715670823653</v>
      </c>
      <c r="EP68" s="59">
        <f t="shared" si="46"/>
        <v>266.16261355327214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549.43232095729741</v>
      </c>
      <c r="T69" s="59">
        <f t="shared" ref="T69:T132" si="88">$T$3</f>
        <v>280.26155987300996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6.1414859207839321</v>
      </c>
      <c r="AA69" s="21">
        <f>EXP(-LN(2)/25)*AA68+(1-EXP(-LN(2)/25))/(LN(2)/25)*Calculateur!V69*Calculateur!X69*VLOOKUP('Données projet'!$B$9,Paramètres!$A$1:$I$89,3,0)*0.475*44/12</f>
        <v>3.5226946392352714</v>
      </c>
      <c r="AB69" s="21">
        <f>EXP(-LN(2)/2)*AB68+(1-EXP(-LN(2)/2))/(LN(2)/2)*V69*Y69*VLOOKUP('Données projet'!$B$9,Paramètres!$A$1:$I$89,3,0)*0.475*44/12</f>
        <v>1.7185947423767093E-5</v>
      </c>
      <c r="AC69" s="22">
        <f t="shared" si="57"/>
        <v>9.6641977459666286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-6.7984728957526396E-14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348.62416478262719</v>
      </c>
      <c r="AO69" s="59">
        <f t="shared" ref="AO69:AO132" si="90">$AO$3</f>
        <v>371.70674704563288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6.4926983185470508</v>
      </c>
      <c r="AV69" s="21">
        <f>EXP(-LN(2)/25)*AV68+(1-EXP(-LN(2)/25))/(LN(2)/25)*Calculateur!AQ69*Calculateur!AS69*VLOOKUP('Données projet'!$B$10,Paramètres!$A$1:$I$89,3,0)*0.475*44/12</f>
        <v>4.4994702993646136</v>
      </c>
      <c r="AW69" s="21">
        <f>EXP(-LN(2)/2)*AW68+(1-EXP(-LN(2)/2))/(LN(2)/2)*AQ69*AT69*VLOOKUP('Données projet'!$B$10,Paramètres!$A$1:$I$89,3,0)*0.475*44/12</f>
        <v>4.7514171167279528E-5</v>
      </c>
      <c r="AX69" s="21">
        <f t="shared" si="60"/>
        <v>10.992216132082831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269.2</v>
      </c>
      <c r="BE69" s="13">
        <f>BD69*VLOOKUP('Données projet'!$B$11,Paramètres!$A$1:$I$89,3,0)*VLOOKUP('Données projet'!$B$11,Paramètres!$A$1:$I$89,5,0)</f>
        <v>243.57216</v>
      </c>
      <c r="BF69" s="13">
        <f t="shared" ref="BF69:BF132" si="91">EXP(-1.0587+0.8836*LN(BE69)+0.284)</f>
        <v>59.207435995642292</v>
      </c>
      <c r="BG69" s="20">
        <f t="shared" si="61"/>
        <v>527.34112969241028</v>
      </c>
      <c r="BH69" s="59">
        <f t="shared" si="62"/>
        <v>820.67446302574353</v>
      </c>
      <c r="BI69" s="59">
        <f ca="1">AVERAGE(OFFSET($BH$3,0,0,'Données projet'!$E$11+1,1))-AVERAGE(OFFSET($H$3,0,0,'Données projet'!$E$11+1,1))</f>
        <v>405.7176439604217</v>
      </c>
      <c r="BJ69" s="59">
        <f t="shared" ref="BJ69:BJ132" si="92">$BJ$3</f>
        <v>278.21741231699929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3.5825652042251277</v>
      </c>
      <c r="BQ69" s="21">
        <f>EXP(-LN(2)/25)*BQ68+(1-EXP(-LN(2)/25))/(LN(2)/25)*Calculateur!BL69*Calculateur!BN69*VLOOKUP('Données projet'!$B$11,Paramètres!$A$1:$I$89,3,0)*0.475*44/12</f>
        <v>3.4515466072290133</v>
      </c>
      <c r="BR69" s="21">
        <f>EXP(-LN(2)/2)*BR68+(1-EXP(-LN(2)/2))/(LN(2)/2)*BL69*BO69*VLOOKUP('Données projet'!$B$11,Paramètres!$A$1:$I$89,3,0)*0.475*44/12</f>
        <v>3.2557802541113684E-5</v>
      </c>
      <c r="BS69" s="22">
        <f t="shared" si="63"/>
        <v>7.0341443692566816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228.20000000000024</v>
      </c>
      <c r="BZ69" s="13">
        <f>BY69*VLOOKUP('Données projet'!$B$12,Paramètres!$A$1:$I$89,3,0)*VLOOKUP('Données projet'!$B$12,Paramètres!$A$1:$I$89,5,0)</f>
        <v>199.35552000000024</v>
      </c>
      <c r="CA69" s="13">
        <f t="shared" ref="CA69:CA132" si="93">EXP(-1.0587+0.8836*LN(BZ69)+0.284)</f>
        <v>49.602503932783272</v>
      </c>
      <c r="CB69" s="20">
        <f t="shared" si="64"/>
        <v>433.60189168293124</v>
      </c>
      <c r="CC69" s="59">
        <f t="shared" si="65"/>
        <v>726.93522501626455</v>
      </c>
      <c r="CD69" s="59">
        <f ca="1">AVERAGE(OFFSET($CC$3,0,0,'Données projet'!$E$12+1,1))-AVERAGE(OFFSET($H$3,0,0,'Données projet'!$E$12+1,1))</f>
        <v>321.23599968992932</v>
      </c>
      <c r="CE69" s="59">
        <f t="shared" ref="CE69:CE132" si="94">$CE$3</f>
        <v>388.05195847800502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1.7913481964134583</v>
      </c>
      <c r="CL69" s="21">
        <f>EXP(-LN(2)/25)*CL68+(1-EXP(-LN(2)/25))/(LN(2)/25)*Calculateur!CG69*Calculateur!CI69*VLOOKUP('Données projet'!$B$12,Paramètres!$A$1:$I$89,3,0)*0.475*44/12</f>
        <v>7.7765861449157434</v>
      </c>
      <c r="CM69" s="21">
        <f>EXP(-LN(2)/2)*CM68+(1-EXP(-LN(2)/2))/(LN(2)/2)*CG69*CJ69*VLOOKUP('Données projet'!$B$12,Paramètres!$A$1:$I$89,3,0)*0.475*44/12</f>
        <v>4.6016246657814753E-5</v>
      </c>
      <c r="CN69" s="22">
        <f t="shared" si="66"/>
        <v>9.5679803575758609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8.25</v>
      </c>
      <c r="CT69" s="12">
        <f>IF('Données projet'!$A$140&gt;35,CT68+CS69-DB68,IF(A69&lt;'Données projet'!$A$140,$CQ$205^A69,IF(A69='Données projet'!$A$140,'Données projet'!$B$140,CT68+CS69-DB68)))</f>
        <v>187.00000000000003</v>
      </c>
      <c r="CU69" s="17">
        <f>CT69*VLOOKUP('Données projet'!$B$13,Paramètres!$A$1:$I$89,3,0)*VLOOKUP('Données projet'!$B$13,Paramètres!$A$1:$I$89,5,0)</f>
        <v>180.86640000000003</v>
      </c>
      <c r="CV69" s="13">
        <f t="shared" ref="CV69:CV132" si="95">EXP(-1.0587+0.8836*LN(CU69)+0.284)</f>
        <v>45.514890302102152</v>
      </c>
      <c r="CW69" s="20">
        <f t="shared" si="67"/>
        <v>394.28074727616126</v>
      </c>
      <c r="CX69" s="59">
        <f t="shared" si="68"/>
        <v>687.61408060949452</v>
      </c>
      <c r="CY69" s="59">
        <f ca="1">AVERAGE(OFFSET($CX$3,0,0,'Données projet'!$E$13+1,1))-AVERAGE(OFFSET($H$3,0,0,'Données projet'!$E$13+1,1))</f>
        <v>399.24912109442175</v>
      </c>
      <c r="CZ69" s="59">
        <f t="shared" ref="CZ69:CZ132" si="96">$CZ$3</f>
        <v>269.83150082245305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8.25</v>
      </c>
      <c r="DO69" s="12">
        <f>IF('Données projet'!$A$166&gt;35,DO68+DN69-DW68,IF(A69&lt;'Données projet'!$A$166,$DL$205^A69,IF(A69='Données projet'!$A$166,'Données projet'!$B$166,DO68+DN69-DW68)))</f>
        <v>187.00000000000003</v>
      </c>
      <c r="DP69" s="17">
        <f>DO69*VLOOKUP('Données projet'!$B$14,Paramètres!$A$1:$I$89,3,0)*VLOOKUP('Données projet'!$B$14,Paramètres!$A$1:$I$89,5,0)</f>
        <v>201.2868</v>
      </c>
      <c r="DQ69" s="13">
        <f t="shared" ref="DQ69:DQ132" si="97">EXP(-1.0587+0.8836*LN(DP69)+0.284)</f>
        <v>50.026861773677616</v>
      </c>
      <c r="DR69" s="20">
        <f t="shared" si="70"/>
        <v>437.70462758915511</v>
      </c>
      <c r="DS69" s="59">
        <f t="shared" si="71"/>
        <v>731.03796092248842</v>
      </c>
      <c r="DT69" s="59">
        <f ca="1">AVERAGE(OFFSET($DS$3,0,0,'Données projet'!$E$14+1,1))-AVERAGE(OFFSET($H$3,0,0,'Données projet'!$E$14+1,1))</f>
        <v>439.66981240211362</v>
      </c>
      <c r="DU69" s="59">
        <f t="shared" ref="DU69:DU132" si="98">$DU$3</f>
        <v>295.47805371292458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8.25</v>
      </c>
      <c r="EJ69" s="12">
        <f>IF('Données projet'!$A$192&gt;35,EJ68+EI69-ER68,IF(A69&lt;'Données projet'!$A$192,$EG$205^A69,IF(A69='Données projet'!$A$192,'Données projet'!$B$192,EJ68+EI69-ER68)))</f>
        <v>187.00000000000003</v>
      </c>
      <c r="EK69" s="17">
        <f>EJ69*VLOOKUP('Données projet'!$B$15,Paramètres!$A$1:$I$89,3,0)*VLOOKUP('Données projet'!$B$15,Paramètres!$A$1:$I$89,5,0)</f>
        <v>177.94920000000005</v>
      </c>
      <c r="EL69" s="13">
        <f t="shared" ref="EL69:EL132" si="99">EXP(-1.0587+0.8836*LN(EK69)+0.284)</f>
        <v>44.865617113963758</v>
      </c>
      <c r="EM69" s="20">
        <f t="shared" si="73"/>
        <v>388.06913980682026</v>
      </c>
      <c r="EN69" s="59">
        <f t="shared" si="74"/>
        <v>681.40247314015357</v>
      </c>
      <c r="EO69" s="59">
        <f ca="1">AVERAGE(OFFSET($EN$3,0,0,'Données projet'!$E$15+1,1))-AVERAGE(OFFSET($H$3,0,0,'Données projet'!$E$15+1,1))</f>
        <v>393.46715670823653</v>
      </c>
      <c r="EP69" s="59">
        <f t="shared" ref="EP69:EP132" si="100">$EP$3</f>
        <v>266.16261355327214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549.43232095729741</v>
      </c>
      <c r="T70" s="59">
        <f t="shared" si="88"/>
        <v>280.26155987300996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6.0210551278138906</v>
      </c>
      <c r="AA70" s="21">
        <f>EXP(-LN(2)/25)*AA69+(1-EXP(-LN(2)/25))/(LN(2)/25)*Calculateur!V70*Calculateur!X70*VLOOKUP('Données projet'!$B$9,Paramètres!$A$1:$I$89,3,0)*0.475*44/12</f>
        <v>3.4263663690749229</v>
      </c>
      <c r="AB70" s="21">
        <f>EXP(-LN(2)/2)*AB69+(1-EXP(-LN(2)/2))/(LN(2)/2)*V70*Y70*VLOOKUP('Données projet'!$B$9,Paramètres!$A$1:$I$89,3,0)*0.475*44/12</f>
        <v>1.2152299964461188E-5</v>
      </c>
      <c r="AC70" s="22">
        <f t="shared" si="57"/>
        <v>9.4474336491887776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-6.7984728957526396E-14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348.62416478262719</v>
      </c>
      <c r="AO70" s="59">
        <f t="shared" si="90"/>
        <v>371.70674704563288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6.365380464675285</v>
      </c>
      <c r="AV70" s="21">
        <f>EXP(-LN(2)/25)*AV69+(1-EXP(-LN(2)/25))/(LN(2)/25)*Calculateur!AQ70*Calculateur!AS70*VLOOKUP('Données projet'!$B$10,Paramètres!$A$1:$I$89,3,0)*0.475*44/12</f>
        <v>4.3764320474116287</v>
      </c>
      <c r="AW70" s="21">
        <f>EXP(-LN(2)/2)*AW69+(1-EXP(-LN(2)/2))/(LN(2)/2)*AQ70*AT70*VLOOKUP('Données projet'!$B$10,Paramètres!$A$1:$I$89,3,0)*0.475*44/12</f>
        <v>3.359759263484169E-5</v>
      </c>
      <c r="AX70" s="21">
        <f t="shared" si="60"/>
        <v>10.741846109679548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277.39999999999998</v>
      </c>
      <c r="BE70" s="13">
        <f>BD70*VLOOKUP('Données projet'!$B$11,Paramètres!$A$1:$I$89,3,0)*VLOOKUP('Données projet'!$B$11,Paramètres!$A$1:$I$89,5,0)</f>
        <v>250.99151999999995</v>
      </c>
      <c r="BF70" s="13">
        <f t="shared" si="91"/>
        <v>60.798211000769406</v>
      </c>
      <c r="BG70" s="20">
        <f t="shared" si="61"/>
        <v>543.03378149300659</v>
      </c>
      <c r="BH70" s="59">
        <f t="shared" si="62"/>
        <v>836.36711482633996</v>
      </c>
      <c r="BI70" s="59">
        <f ca="1">AVERAGE(OFFSET($BH$3,0,0,'Données projet'!$E$11+1,1))-AVERAGE(OFFSET($H$3,0,0,'Données projet'!$E$11+1,1))</f>
        <v>405.7176439604217</v>
      </c>
      <c r="BJ70" s="59">
        <f t="shared" si="92"/>
        <v>278.21741231699929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3.5123132857192818</v>
      </c>
      <c r="BQ70" s="21">
        <f>EXP(-LN(2)/25)*BQ69+(1-EXP(-LN(2)/25))/(LN(2)/25)*Calculateur!BL70*Calculateur!BN70*VLOOKUP('Données projet'!$B$11,Paramètres!$A$1:$I$89,3,0)*0.475*44/12</f>
        <v>3.3571638837453883</v>
      </c>
      <c r="BR70" s="21">
        <f>EXP(-LN(2)/2)*BR69+(1-EXP(-LN(2)/2))/(LN(2)/2)*BL70*BO70*VLOOKUP('Données projet'!$B$11,Paramètres!$A$1:$I$89,3,0)*0.475*44/12</f>
        <v>2.3021842957354095E-5</v>
      </c>
      <c r="BS70" s="22">
        <f t="shared" si="63"/>
        <v>6.869500191307627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233.40000000000023</v>
      </c>
      <c r="BZ70" s="13">
        <f>BY70*VLOOKUP('Données projet'!$B$12,Paramètres!$A$1:$I$89,3,0)*VLOOKUP('Données projet'!$B$12,Paramètres!$A$1:$I$89,5,0)</f>
        <v>203.89824000000024</v>
      </c>
      <c r="CA70" s="13">
        <f t="shared" si="93"/>
        <v>50.599918019430255</v>
      </c>
      <c r="CB70" s="20">
        <f t="shared" si="64"/>
        <v>443.25095855050807</v>
      </c>
      <c r="CC70" s="59">
        <f t="shared" si="65"/>
        <v>736.58429188384139</v>
      </c>
      <c r="CD70" s="59">
        <f ca="1">AVERAGE(OFFSET($CC$3,0,0,'Données projet'!$E$12+1,1))-AVERAGE(OFFSET($H$3,0,0,'Données projet'!$E$12+1,1))</f>
        <v>321.23599968992932</v>
      </c>
      <c r="CE70" s="59">
        <f t="shared" si="94"/>
        <v>388.05195847800502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1.7562209508963036</v>
      </c>
      <c r="CL70" s="21">
        <f>EXP(-LN(2)/25)*CL69+(1-EXP(-LN(2)/25))/(LN(2)/25)*Calculateur!CG70*Calculateur!CI70*VLOOKUP('Données projet'!$B$12,Paramètres!$A$1:$I$89,3,0)*0.475*44/12</f>
        <v>7.5639349878301303</v>
      </c>
      <c r="CM70" s="21">
        <f>EXP(-LN(2)/2)*CM69+(1-EXP(-LN(2)/2))/(LN(2)/2)*CG70*CJ70*VLOOKUP('Données projet'!$B$12,Paramètres!$A$1:$I$89,3,0)*0.475*44/12</f>
        <v>3.2538400056493615E-5</v>
      </c>
      <c r="CN70" s="22">
        <f t="shared" si="66"/>
        <v>9.3201884771264893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8.25</v>
      </c>
      <c r="CT70" s="12">
        <f>IF('Données projet'!$A$140&gt;35,CT69+CS70-DB69,IF(A70&lt;'Données projet'!$A$140,$CQ$205^A70,IF(A70='Données projet'!$A$140,'Données projet'!$B$140,CT69+CS70-DB69)))</f>
        <v>195.25000000000003</v>
      </c>
      <c r="CU70" s="17">
        <f>CT70*VLOOKUP('Données projet'!$B$13,Paramètres!$A$1:$I$89,3,0)*VLOOKUP('Données projet'!$B$13,Paramètres!$A$1:$I$89,5,0)</f>
        <v>188.84580000000003</v>
      </c>
      <c r="CV70" s="13">
        <f t="shared" si="95"/>
        <v>47.284685196371136</v>
      </c>
      <c r="CW70" s="20">
        <f t="shared" si="67"/>
        <v>411.26059505034641</v>
      </c>
      <c r="CX70" s="59">
        <f t="shared" si="68"/>
        <v>704.59392838367967</v>
      </c>
      <c r="CY70" s="59">
        <f ca="1">AVERAGE(OFFSET($CX$3,0,0,'Données projet'!$E$13+1,1))-AVERAGE(OFFSET($H$3,0,0,'Données projet'!$E$13+1,1))</f>
        <v>399.24912109442175</v>
      </c>
      <c r="CZ70" s="59">
        <f t="shared" si="96"/>
        <v>269.83150082245305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8.25</v>
      </c>
      <c r="DO70" s="12">
        <f>IF('Données projet'!$A$166&gt;35,DO69+DN70-DW69,IF(A70&lt;'Données projet'!$A$166,$DL$205^A70,IF(A70='Données projet'!$A$166,'Données projet'!$B$166,DO69+DN70-DW69)))</f>
        <v>195.25000000000003</v>
      </c>
      <c r="DP70" s="17">
        <f>DO70*VLOOKUP('Données projet'!$B$14,Paramètres!$A$1:$I$89,3,0)*VLOOKUP('Données projet'!$B$14,Paramètres!$A$1:$I$89,5,0)</f>
        <v>210.1671</v>
      </c>
      <c r="DQ70" s="13">
        <f t="shared" si="97"/>
        <v>51.972099561920068</v>
      </c>
      <c r="DR70" s="20">
        <f t="shared" si="70"/>
        <v>456.55910590367739</v>
      </c>
      <c r="DS70" s="59">
        <f t="shared" si="71"/>
        <v>749.89243923701065</v>
      </c>
      <c r="DT70" s="59">
        <f ca="1">AVERAGE(OFFSET($DS$3,0,0,'Données projet'!$E$14+1,1))-AVERAGE(OFFSET($H$3,0,0,'Données projet'!$E$14+1,1))</f>
        <v>439.66981240211362</v>
      </c>
      <c r="DU70" s="59">
        <f t="shared" si="98"/>
        <v>295.47805371292458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8.25</v>
      </c>
      <c r="EJ70" s="12">
        <f>IF('Données projet'!$A$192&gt;35,EJ69+EI70-ER69,IF(A70&lt;'Données projet'!$A$192,$EG$205^A70,IF(A70='Données projet'!$A$192,'Données projet'!$B$192,EJ69+EI70-ER69)))</f>
        <v>195.25000000000003</v>
      </c>
      <c r="EK70" s="17">
        <f>EJ70*VLOOKUP('Données projet'!$B$15,Paramètres!$A$1:$I$89,3,0)*VLOOKUP('Données projet'!$B$15,Paramètres!$A$1:$I$89,5,0)</f>
        <v>185.79990000000004</v>
      </c>
      <c r="EL70" s="13">
        <f t="shared" si="99"/>
        <v>46.610165756605497</v>
      </c>
      <c r="EM70" s="20">
        <f t="shared" si="73"/>
        <v>404.78086452608801</v>
      </c>
      <c r="EN70" s="59">
        <f t="shared" si="74"/>
        <v>698.11419785942132</v>
      </c>
      <c r="EO70" s="59">
        <f ca="1">AVERAGE(OFFSET($EN$3,0,0,'Données projet'!$E$15+1,1))-AVERAGE(OFFSET($H$3,0,0,'Données projet'!$E$15+1,1))</f>
        <v>393.46715670823653</v>
      </c>
      <c r="EP70" s="59">
        <f t="shared" si="100"/>
        <v>266.16261355327214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549.43232095729741</v>
      </c>
      <c r="T71" s="59">
        <f t="shared" si="88"/>
        <v>280.26155987300996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5.9029859092384607</v>
      </c>
      <c r="AA71" s="21">
        <f>EXP(-LN(2)/25)*AA70+(1-EXP(-LN(2)/25))/(LN(2)/25)*Calculateur!V71*Calculateur!X71*VLOOKUP('Données projet'!$B$9,Paramètres!$A$1:$I$89,3,0)*0.475*44/12</f>
        <v>3.3326722005277927</v>
      </c>
      <c r="AB71" s="21">
        <f>EXP(-LN(2)/2)*AB70+(1-EXP(-LN(2)/2))/(LN(2)/2)*V71*Y71*VLOOKUP('Données projet'!$B$9,Paramètres!$A$1:$I$89,3,0)*0.475*44/12</f>
        <v>8.5929737118835466E-6</v>
      </c>
      <c r="AC71" s="22">
        <f t="shared" si="57"/>
        <v>9.2356667027399659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-6.7984728957526396E-14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348.62416478262719</v>
      </c>
      <c r="AO71" s="59">
        <f t="shared" si="90"/>
        <v>371.70674704563288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6.2405592362617215</v>
      </c>
      <c r="AV71" s="21">
        <f>EXP(-LN(2)/25)*AV70+(1-EXP(-LN(2)/25))/(LN(2)/25)*Calculateur!AQ71*Calculateur!AS71*VLOOKUP('Données projet'!$B$10,Paramètres!$A$1:$I$89,3,0)*0.475*44/12</f>
        <v>4.2567582829285993</v>
      </c>
      <c r="AW71" s="21">
        <f>EXP(-LN(2)/2)*AW70+(1-EXP(-LN(2)/2))/(LN(2)/2)*AQ71*AT71*VLOOKUP('Données projet'!$B$10,Paramètres!$A$1:$I$89,3,0)*0.475*44/12</f>
        <v>2.3757085583639764E-5</v>
      </c>
      <c r="AX71" s="21">
        <f t="shared" si="60"/>
        <v>10.497341276275906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285.59999999999997</v>
      </c>
      <c r="BE71" s="13">
        <f>BD71*VLOOKUP('Données projet'!$B$11,Paramètres!$A$1:$I$89,3,0)*VLOOKUP('Données projet'!$B$11,Paramètres!$A$1:$I$89,5,0)</f>
        <v>258.41087999999996</v>
      </c>
      <c r="BF71" s="13">
        <f t="shared" si="91"/>
        <v>62.383521020316756</v>
      </c>
      <c r="BG71" s="20">
        <f t="shared" si="61"/>
        <v>558.71691511038489</v>
      </c>
      <c r="BH71" s="59">
        <f t="shared" si="62"/>
        <v>852.05024844371815</v>
      </c>
      <c r="BI71" s="59">
        <f ca="1">AVERAGE(OFFSET($BH$3,0,0,'Données projet'!$E$11+1,1))-AVERAGE(OFFSET($H$3,0,0,'Données projet'!$E$11+1,1))</f>
        <v>405.7176439604217</v>
      </c>
      <c r="BJ71" s="59">
        <f t="shared" si="92"/>
        <v>278.21741231699929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3.4434389644858965</v>
      </c>
      <c r="BQ71" s="21">
        <f>EXP(-LN(2)/25)*BQ70+(1-EXP(-LN(2)/25))/(LN(2)/25)*Calculateur!BL71*Calculateur!BN71*VLOOKUP('Données projet'!$B$11,Paramètres!$A$1:$I$89,3,0)*0.475*44/12</f>
        <v>3.265362060798795</v>
      </c>
      <c r="BR71" s="21">
        <f>EXP(-LN(2)/2)*BR70+(1-EXP(-LN(2)/2))/(LN(2)/2)*BL71*BO71*VLOOKUP('Données projet'!$B$11,Paramètres!$A$1:$I$89,3,0)*0.475*44/12</f>
        <v>1.6278901270556842E-5</v>
      </c>
      <c r="BS71" s="22">
        <f t="shared" si="63"/>
        <v>6.7088173041859616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238.60000000000022</v>
      </c>
      <c r="BZ71" s="13">
        <f>BY71*VLOOKUP('Données projet'!$B$12,Paramètres!$A$1:$I$89,3,0)*VLOOKUP('Données projet'!$B$12,Paramètres!$A$1:$I$89,5,0)</f>
        <v>208.44096000000022</v>
      </c>
      <c r="CA71" s="13">
        <f t="shared" si="93"/>
        <v>51.594748621124261</v>
      </c>
      <c r="CB71" s="20">
        <f t="shared" si="64"/>
        <v>452.89552584845842</v>
      </c>
      <c r="CC71" s="59">
        <f t="shared" si="65"/>
        <v>746.22885918179168</v>
      </c>
      <c r="CD71" s="59">
        <f ca="1">AVERAGE(OFFSET($CC$3,0,0,'Données projet'!$E$12+1,1))-AVERAGE(OFFSET($H$3,0,0,'Données projet'!$E$12+1,1))</f>
        <v>321.23599968992932</v>
      </c>
      <c r="CE71" s="59">
        <f t="shared" si="94"/>
        <v>388.05195847800502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1.721782529238236</v>
      </c>
      <c r="CL71" s="21">
        <f>EXP(-LN(2)/25)*CL70+(1-EXP(-LN(2)/25))/(LN(2)/25)*Calculateur!CG71*Calculateur!CI71*VLOOKUP('Données projet'!$B$12,Paramètres!$A$1:$I$89,3,0)*0.475*44/12</f>
        <v>7.3570987878178622</v>
      </c>
      <c r="CM71" s="21">
        <f>EXP(-LN(2)/2)*CM70+(1-EXP(-LN(2)/2))/(LN(2)/2)*CG71*CJ71*VLOOKUP('Données projet'!$B$12,Paramètres!$A$1:$I$89,3,0)*0.475*44/12</f>
        <v>2.3008123328907376E-5</v>
      </c>
      <c r="CN71" s="22">
        <f t="shared" si="66"/>
        <v>9.0789043251794261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8.25</v>
      </c>
      <c r="CT71" s="12">
        <f>IF('Données projet'!$A$140&gt;35,CT70+CS71-DB70,IF(A71&lt;'Données projet'!$A$140,$CQ$205^A71,IF(A71='Données projet'!$A$140,'Données projet'!$B$140,CT70+CS71-DB70)))</f>
        <v>203.50000000000003</v>
      </c>
      <c r="CU71" s="17">
        <f>CT71*VLOOKUP('Données projet'!$B$13,Paramètres!$A$1:$I$89,3,0)*VLOOKUP('Données projet'!$B$13,Paramètres!$A$1:$I$89,5,0)</f>
        <v>196.82520000000002</v>
      </c>
      <c r="CV71" s="13">
        <f t="shared" si="95"/>
        <v>49.045794331964785</v>
      </c>
      <c r="CW71" s="20">
        <f t="shared" si="67"/>
        <v>428.22531512817204</v>
      </c>
      <c r="CX71" s="59">
        <f t="shared" si="68"/>
        <v>721.5586484615053</v>
      </c>
      <c r="CY71" s="59">
        <f ca="1">AVERAGE(OFFSET($CX$3,0,0,'Données projet'!$E$13+1,1))-AVERAGE(OFFSET($H$3,0,0,'Données projet'!$E$13+1,1))</f>
        <v>399.24912109442175</v>
      </c>
      <c r="CZ71" s="59">
        <f t="shared" si="96"/>
        <v>269.83150082245305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8.25</v>
      </c>
      <c r="DO71" s="12">
        <f>IF('Données projet'!$A$166&gt;35,DO70+DN71-DW70,IF(A71&lt;'Données projet'!$A$166,$DL$205^A71,IF(A71='Données projet'!$A$166,'Données projet'!$B$166,DO70+DN71-DW70)))</f>
        <v>203.50000000000003</v>
      </c>
      <c r="DP71" s="17">
        <f>DO71*VLOOKUP('Données projet'!$B$14,Paramètres!$A$1:$I$89,3,0)*VLOOKUP('Données projet'!$B$14,Paramètres!$A$1:$I$89,5,0)</f>
        <v>219.04740000000004</v>
      </c>
      <c r="DQ71" s="13">
        <f t="shared" si="97"/>
        <v>53.907790556887342</v>
      </c>
      <c r="DR71" s="20">
        <f t="shared" si="70"/>
        <v>475.39695688657889</v>
      </c>
      <c r="DS71" s="59">
        <f t="shared" si="71"/>
        <v>768.73029021991215</v>
      </c>
      <c r="DT71" s="59">
        <f ca="1">AVERAGE(OFFSET($DS$3,0,0,'Données projet'!$E$14+1,1))-AVERAGE(OFFSET($H$3,0,0,'Données projet'!$E$14+1,1))</f>
        <v>439.66981240211362</v>
      </c>
      <c r="DU71" s="59">
        <f t="shared" si="98"/>
        <v>295.47805371292458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8.25</v>
      </c>
      <c r="EJ71" s="12">
        <f>IF('Données projet'!$A$192&gt;35,EJ70+EI71-ER70,IF(A71&lt;'Données projet'!$A$192,$EG$205^A71,IF(A71='Données projet'!$A$192,'Données projet'!$B$192,EJ70+EI71-ER70)))</f>
        <v>203.50000000000003</v>
      </c>
      <c r="EK71" s="17">
        <f>EJ71*VLOOKUP('Données projet'!$B$15,Paramètres!$A$1:$I$89,3,0)*VLOOKUP('Données projet'!$B$15,Paramètres!$A$1:$I$89,5,0)</f>
        <v>193.65060000000003</v>
      </c>
      <c r="EL71" s="13">
        <f t="shared" si="99"/>
        <v>48.34615254354496</v>
      </c>
      <c r="EM71" s="20">
        <f t="shared" si="73"/>
        <v>421.47767734667417</v>
      </c>
      <c r="EN71" s="59">
        <f t="shared" si="74"/>
        <v>714.81101068000748</v>
      </c>
      <c r="EO71" s="59">
        <f ca="1">AVERAGE(OFFSET($EN$3,0,0,'Données projet'!$E$15+1,1))-AVERAGE(OFFSET($H$3,0,0,'Données projet'!$E$15+1,1))</f>
        <v>393.46715670823653</v>
      </c>
      <c r="EP71" s="59">
        <f t="shared" si="100"/>
        <v>266.16261355327214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549.43232095729741</v>
      </c>
      <c r="T72" s="59">
        <f t="shared" si="88"/>
        <v>280.26155987300996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5.7872319560241827</v>
      </c>
      <c r="AA72" s="21">
        <f>EXP(-LN(2)/25)*AA71+(1-EXP(-LN(2)/25))/(LN(2)/25)*Calculateur!V72*Calculateur!X72*VLOOKUP('Données projet'!$B$9,Paramètres!$A$1:$I$89,3,0)*0.475*44/12</f>
        <v>3.241540103946746</v>
      </c>
      <c r="AB72" s="21">
        <f>EXP(-LN(2)/2)*AB71+(1-EXP(-LN(2)/2))/(LN(2)/2)*V72*Y72*VLOOKUP('Données projet'!$B$9,Paramètres!$A$1:$I$89,3,0)*0.475*44/12</f>
        <v>6.0761499822305941E-6</v>
      </c>
      <c r="AC72" s="22">
        <f t="shared" si="57"/>
        <v>9.028778136120911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-6.7984728957526396E-14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348.62416478262719</v>
      </c>
      <c r="AO72" s="59">
        <f t="shared" si="90"/>
        <v>371.70674704563288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6.1181856760039155</v>
      </c>
      <c r="AV72" s="21">
        <f>EXP(-LN(2)/25)*AV71+(1-EXP(-LN(2)/25))/(LN(2)/25)*Calculateur!AQ72*Calculateur!AS72*VLOOKUP('Données projet'!$B$10,Paramètres!$A$1:$I$89,3,0)*0.475*44/12</f>
        <v>4.1403570038287274</v>
      </c>
      <c r="AW72" s="21">
        <f>EXP(-LN(2)/2)*AW71+(1-EXP(-LN(2)/2))/(LN(2)/2)*AQ72*AT72*VLOOKUP('Données projet'!$B$10,Paramètres!$A$1:$I$89,3,0)*0.475*44/12</f>
        <v>1.6798796317420845E-5</v>
      </c>
      <c r="AX72" s="21">
        <f t="shared" si="60"/>
        <v>10.25855947862896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293.79999999999995</v>
      </c>
      <c r="BE72" s="13">
        <f>BD72*VLOOKUP('Données projet'!$B$11,Paramètres!$A$1:$I$89,3,0)*VLOOKUP('Données projet'!$B$11,Paramètres!$A$1:$I$89,5,0)</f>
        <v>265.83023999999995</v>
      </c>
      <c r="BF72" s="13">
        <f t="shared" si="91"/>
        <v>63.963540982526439</v>
      </c>
      <c r="BG72" s="20">
        <f t="shared" si="61"/>
        <v>574.39083521123348</v>
      </c>
      <c r="BH72" s="59">
        <f t="shared" si="62"/>
        <v>867.72416854456674</v>
      </c>
      <c r="BI72" s="59">
        <f ca="1">AVERAGE(OFFSET($BH$3,0,0,'Données projet'!$E$11+1,1))-AVERAGE(OFFSET($H$3,0,0,'Données projet'!$E$11+1,1))</f>
        <v>405.7176439604217</v>
      </c>
      <c r="BJ72" s="59">
        <f t="shared" si="92"/>
        <v>278.21741231699929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3.3759152266827099</v>
      </c>
      <c r="BQ72" s="21">
        <f>EXP(-LN(2)/25)*BQ71+(1-EXP(-LN(2)/25))/(LN(2)/25)*Calculateur!BL72*Calculateur!BN72*VLOOKUP('Données projet'!$B$11,Paramètres!$A$1:$I$89,3,0)*0.475*44/12</f>
        <v>3.1760705635283242</v>
      </c>
      <c r="BR72" s="21">
        <f>EXP(-LN(2)/2)*BR71+(1-EXP(-LN(2)/2))/(LN(2)/2)*BL72*BO72*VLOOKUP('Données projet'!$B$11,Paramètres!$A$1:$I$89,3,0)*0.475*44/12</f>
        <v>1.1510921478677047E-5</v>
      </c>
      <c r="BS72" s="22">
        <f t="shared" si="63"/>
        <v>6.5519973011325137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243.80000000000021</v>
      </c>
      <c r="BZ72" s="13">
        <f>BY72*VLOOKUP('Données projet'!$B$12,Paramètres!$A$1:$I$89,3,0)*VLOOKUP('Données projet'!$B$12,Paramètres!$A$1:$I$89,5,0)</f>
        <v>212.98368000000022</v>
      </c>
      <c r="CA72" s="13">
        <f t="shared" si="93"/>
        <v>52.587058525970413</v>
      </c>
      <c r="CB72" s="20">
        <f t="shared" si="64"/>
        <v>462.53570293273214</v>
      </c>
      <c r="CC72" s="59">
        <f t="shared" si="65"/>
        <v>755.86903626606545</v>
      </c>
      <c r="CD72" s="59">
        <f ca="1">AVERAGE(OFFSET($CC$3,0,0,'Données projet'!$E$12+1,1))-AVERAGE(OFFSET($H$3,0,0,'Données projet'!$E$12+1,1))</f>
        <v>321.23599968992932</v>
      </c>
      <c r="CE72" s="59">
        <f t="shared" si="94"/>
        <v>388.05195847800502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1.68801942402352</v>
      </c>
      <c r="CL72" s="21">
        <f>EXP(-LN(2)/25)*CL71+(1-EXP(-LN(2)/25))/(LN(2)/25)*Calculateur!CG72*Calculateur!CI72*VLOOKUP('Données projet'!$B$12,Paramètres!$A$1:$I$89,3,0)*0.475*44/12</f>
        <v>7.1559185345719722</v>
      </c>
      <c r="CM72" s="21">
        <f>EXP(-LN(2)/2)*CM71+(1-EXP(-LN(2)/2))/(LN(2)/2)*CG72*CJ72*VLOOKUP('Données projet'!$B$12,Paramètres!$A$1:$I$89,3,0)*0.475*44/12</f>
        <v>1.6269200028246807E-5</v>
      </c>
      <c r="CN72" s="22">
        <f t="shared" si="66"/>
        <v>8.8439542277955212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8.25</v>
      </c>
      <c r="CT72" s="12">
        <f>IF('Données projet'!$A$140&gt;35,CT71+CS72-DB71,IF(A72&lt;'Données projet'!$A$140,$CQ$205^A72,IF(A72='Données projet'!$A$140,'Données projet'!$B$140,CT71+CS72-DB71)))</f>
        <v>211.75000000000003</v>
      </c>
      <c r="CU72" s="17">
        <f>CT72*VLOOKUP('Données projet'!$B$13,Paramètres!$A$1:$I$89,3,0)*VLOOKUP('Données projet'!$B$13,Paramètres!$A$1:$I$89,5,0)</f>
        <v>204.80460000000005</v>
      </c>
      <c r="CV72" s="13">
        <f t="shared" si="95"/>
        <v>50.798610114654437</v>
      </c>
      <c r="CW72" s="20">
        <f t="shared" si="67"/>
        <v>445.17559094968988</v>
      </c>
      <c r="CX72" s="59">
        <f t="shared" si="68"/>
        <v>738.50892428302313</v>
      </c>
      <c r="CY72" s="59">
        <f ca="1">AVERAGE(OFFSET($CX$3,0,0,'Données projet'!$E$13+1,1))-AVERAGE(OFFSET($H$3,0,0,'Données projet'!$E$13+1,1))</f>
        <v>399.24912109442175</v>
      </c>
      <c r="CZ72" s="59">
        <f t="shared" si="96"/>
        <v>269.83150082245305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8.25</v>
      </c>
      <c r="DO72" s="12">
        <f>IF('Données projet'!$A$166&gt;35,DO71+DN72-DW71,IF(A72&lt;'Données projet'!$A$166,$DL$205^A72,IF(A72='Données projet'!$A$166,'Données projet'!$B$166,DO71+DN72-DW71)))</f>
        <v>211.75000000000003</v>
      </c>
      <c r="DP72" s="17">
        <f>DO72*VLOOKUP('Données projet'!$B$14,Paramètres!$A$1:$I$89,3,0)*VLOOKUP('Données projet'!$B$14,Paramètres!$A$1:$I$89,5,0)</f>
        <v>227.92770000000004</v>
      </c>
      <c r="DQ72" s="13">
        <f t="shared" si="97"/>
        <v>55.834366064228249</v>
      </c>
      <c r="DR72" s="20">
        <f t="shared" si="70"/>
        <v>494.21893172853089</v>
      </c>
      <c r="DS72" s="59">
        <f t="shared" si="71"/>
        <v>787.5522650618642</v>
      </c>
      <c r="DT72" s="59">
        <f ca="1">AVERAGE(OFFSET($DS$3,0,0,'Données projet'!$E$14+1,1))-AVERAGE(OFFSET($H$3,0,0,'Données projet'!$E$14+1,1))</f>
        <v>439.66981240211362</v>
      </c>
      <c r="DU72" s="59">
        <f t="shared" si="98"/>
        <v>295.47805371292458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8.25</v>
      </c>
      <c r="EJ72" s="12">
        <f>IF('Données projet'!$A$192&gt;35,EJ71+EI72-ER71,IF(A72&lt;'Données projet'!$A$192,$EG$205^A72,IF(A72='Données projet'!$A$192,'Données projet'!$B$192,EJ71+EI72-ER71)))</f>
        <v>211.75000000000003</v>
      </c>
      <c r="EK72" s="17">
        <f>EJ72*VLOOKUP('Données projet'!$B$15,Paramètres!$A$1:$I$89,3,0)*VLOOKUP('Données projet'!$B$15,Paramètres!$A$1:$I$89,5,0)</f>
        <v>201.50130000000004</v>
      </c>
      <c r="EL72" s="13">
        <f t="shared" si="99"/>
        <v>50.073964282856885</v>
      </c>
      <c r="EM72" s="20">
        <f t="shared" si="73"/>
        <v>438.16025195930911</v>
      </c>
      <c r="EN72" s="59">
        <f t="shared" si="74"/>
        <v>731.49358529264236</v>
      </c>
      <c r="EO72" s="59">
        <f ca="1">AVERAGE(OFFSET($EN$3,0,0,'Données projet'!$E$15+1,1))-AVERAGE(OFFSET($H$3,0,0,'Données projet'!$E$15+1,1))</f>
        <v>393.46715670823653</v>
      </c>
      <c r="EP72" s="59">
        <f t="shared" si="100"/>
        <v>266.16261355327214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549.43232095729741</v>
      </c>
      <c r="T73" s="59">
        <f t="shared" si="88"/>
        <v>280.26155987300996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5.6737478672294968</v>
      </c>
      <c r="AA73" s="21">
        <f>EXP(-LN(2)/25)*AA72+(1-EXP(-LN(2)/25))/(LN(2)/25)*Calculateur!V73*Calculateur!X73*VLOOKUP('Données projet'!$B$9,Paramètres!$A$1:$I$89,3,0)*0.475*44/12</f>
        <v>3.1529000193391368</v>
      </c>
      <c r="AB73" s="21">
        <f>EXP(-LN(2)/2)*AB72+(1-EXP(-LN(2)/2))/(LN(2)/2)*V73*Y73*VLOOKUP('Données projet'!$B$9,Paramètres!$A$1:$I$89,3,0)*0.475*44/12</f>
        <v>4.2964868559417733E-6</v>
      </c>
      <c r="AC73" s="22">
        <f t="shared" si="57"/>
        <v>8.8266521830554883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-6.7984728957526396E-14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348.62416478262719</v>
      </c>
      <c r="AO73" s="59">
        <f t="shared" si="90"/>
        <v>371.70674704563288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5.9982117866222637</v>
      </c>
      <c r="AV73" s="21">
        <f>EXP(-LN(2)/25)*AV72+(1-EXP(-LN(2)/25))/(LN(2)/25)*Calculateur!AQ73*Calculateur!AS73*VLOOKUP('Données projet'!$B$10,Paramètres!$A$1:$I$89,3,0)*0.475*44/12</f>
        <v>4.027138723827119</v>
      </c>
      <c r="AW73" s="21">
        <f>EXP(-LN(2)/2)*AW72+(1-EXP(-LN(2)/2))/(LN(2)/2)*AQ73*AT73*VLOOKUP('Données projet'!$B$10,Paramètres!$A$1:$I$89,3,0)*0.475*44/12</f>
        <v>1.1878542791819882E-5</v>
      </c>
      <c r="AX73" s="21">
        <f t="shared" si="60"/>
        <v>10.025362388992173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301.99999999999994</v>
      </c>
      <c r="BE73" s="13">
        <f>BD73*VLOOKUP('Données projet'!$B$11,Paramètres!$A$1:$I$89,3,0)*VLOOKUP('Données projet'!$B$11,Paramètres!$A$1:$I$89,5,0)</f>
        <v>273.24959999999999</v>
      </c>
      <c r="BF73" s="13">
        <f t="shared" si="91"/>
        <v>65.538435495514321</v>
      </c>
      <c r="BG73" s="20">
        <f t="shared" si="61"/>
        <v>590.05582848802067</v>
      </c>
      <c r="BH73" s="59">
        <f t="shared" si="62"/>
        <v>883.38916182135404</v>
      </c>
      <c r="BI73" s="59">
        <f ca="1">AVERAGE(OFFSET($BH$3,0,0,'Données projet'!$E$11+1,1))-AVERAGE(OFFSET($H$3,0,0,'Données projet'!$E$11+1,1))</f>
        <v>405.7176439604217</v>
      </c>
      <c r="BJ73" s="59">
        <f t="shared" si="92"/>
        <v>278.21741231699929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3.3097155881924305</v>
      </c>
      <c r="BQ73" s="21">
        <f>EXP(-LN(2)/25)*BQ72+(1-EXP(-LN(2)/25))/(LN(2)/25)*Calculateur!BL73*Calculateur!BN73*VLOOKUP('Données projet'!$B$11,Paramètres!$A$1:$I$89,3,0)*0.475*44/12</f>
        <v>3.0892207469463502</v>
      </c>
      <c r="BR73" s="21">
        <f>EXP(-LN(2)/2)*BR72+(1-EXP(-LN(2)/2))/(LN(2)/2)*BL73*BO73*VLOOKUP('Données projet'!$B$11,Paramètres!$A$1:$I$89,3,0)*0.475*44/12</f>
        <v>8.1394506352784209E-6</v>
      </c>
      <c r="BS73" s="22">
        <f t="shared" si="63"/>
        <v>6.398944474589416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249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249.0000000000002</v>
      </c>
      <c r="BZ73" s="13">
        <f>BY73*VLOOKUP('Données projet'!$B$12,Paramètres!$A$1:$I$89,3,0)*VLOOKUP('Données projet'!$B$12,Paramètres!$A$1:$I$89,5,0)</f>
        <v>217.52640000000019</v>
      </c>
      <c r="CA73" s="13">
        <f t="shared" si="93"/>
        <v>53.576907690651304</v>
      </c>
      <c r="CB73" s="20">
        <f t="shared" si="64"/>
        <v>472.17159422788467</v>
      </c>
      <c r="CC73" s="59">
        <f t="shared" si="65"/>
        <v>765.50492756121798</v>
      </c>
      <c r="CD73" s="59">
        <f ca="1">AVERAGE(OFFSET($CC$3,0,0,'Données projet'!$E$12+1,1))-AVERAGE(OFFSET($H$3,0,0,'Données projet'!$E$12+1,1))</f>
        <v>321.23599968992932</v>
      </c>
      <c r="CE73" s="59">
        <f t="shared" si="94"/>
        <v>388.05195847800502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249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1.6549183927086037</v>
      </c>
      <c r="CL73" s="21">
        <f>EXP(-LN(2)/25)*CL72+(1-EXP(-LN(2)/25))/(LN(2)/25)*Calculateur!CG73*Calculateur!CI73*VLOOKUP('Données projet'!$B$12,Paramètres!$A$1:$I$89,3,0)*0.475*44/12</f>
        <v>6.960239565930701</v>
      </c>
      <c r="CM73" s="21">
        <f>EXP(-LN(2)/2)*CM72+(1-EXP(-LN(2)/2))/(LN(2)/2)*CG73*CJ73*VLOOKUP('Données projet'!$B$12,Paramètres!$A$1:$I$89,3,0)*0.475*44/12</f>
        <v>1.1504061664453688E-5</v>
      </c>
      <c r="CN73" s="22">
        <f t="shared" si="66"/>
        <v>8.6151694627009689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220</v>
      </c>
      <c r="CR73" s="12">
        <f>VLOOKUP(A73,'Données projet'!$A$139:$I$159,9,0)</f>
        <v>8.25</v>
      </c>
      <c r="CS73" s="12">
        <f t="array" ref="CS73">INDEX(CR:CR,MIN(IF(ISNUMBER(CR73:CR269),ROW(CR73:CR269),"")))</f>
        <v>8.25</v>
      </c>
      <c r="CT73" s="12">
        <f>IF('Données projet'!$A$140&gt;35,CT72+CS73-DB72,IF(A73&lt;'Données projet'!$A$140,$CQ$205^A73,IF(A73='Données projet'!$A$140,'Données projet'!$B$140,CT72+CS73-DB72)))</f>
        <v>220.00000000000003</v>
      </c>
      <c r="CU73" s="17">
        <f>CT73*VLOOKUP('Données projet'!$B$13,Paramètres!$A$1:$I$89,3,0)*VLOOKUP('Données projet'!$B$13,Paramètres!$A$1:$I$89,5,0)</f>
        <v>212.78400000000002</v>
      </c>
      <c r="CV73" s="13">
        <f t="shared" si="95"/>
        <v>52.543492641808065</v>
      </c>
      <c r="CW73" s="20">
        <f t="shared" si="67"/>
        <v>462.11204968448237</v>
      </c>
      <c r="CX73" s="59">
        <f t="shared" si="68"/>
        <v>755.44538301781563</v>
      </c>
      <c r="CY73" s="59">
        <f ca="1">AVERAGE(OFFSET($CX$3,0,0,'Données projet'!$E$13+1,1))-AVERAGE(OFFSET($H$3,0,0,'Données projet'!$E$13+1,1))</f>
        <v>399.24912109442175</v>
      </c>
      <c r="CZ73" s="59">
        <f t="shared" si="96"/>
        <v>269.83150082245305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53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220</v>
      </c>
      <c r="DM73" s="12">
        <f>VLOOKUP(A73,'Données projet'!$A$165:$I$185,9,0)</f>
        <v>8.25</v>
      </c>
      <c r="DN73" s="12">
        <f t="array" ref="DN73">INDEX(DM:DM,MIN(IF(ISNUMBER(DM73:DM269),ROW(DM73:DM269),"")))</f>
        <v>8.25</v>
      </c>
      <c r="DO73" s="12">
        <f>IF('Données projet'!$A$166&gt;35,DO72+DN73-DW72,IF(A73&lt;'Données projet'!$A$166,$DL$205^A73,IF(A73='Données projet'!$A$166,'Données projet'!$B$166,DO72+DN73-DW72)))</f>
        <v>220.00000000000003</v>
      </c>
      <c r="DP73" s="17">
        <f>DO73*VLOOKUP('Données projet'!$B$14,Paramètres!$A$1:$I$89,3,0)*VLOOKUP('Données projet'!$B$14,Paramètres!$A$1:$I$89,5,0)</f>
        <v>236.80800000000002</v>
      </c>
      <c r="DQ73" s="13">
        <f t="shared" si="97"/>
        <v>57.752221878398714</v>
      </c>
      <c r="DR73" s="20">
        <f t="shared" si="70"/>
        <v>513.02571977154446</v>
      </c>
      <c r="DS73" s="59">
        <f t="shared" si="71"/>
        <v>806.35905310487783</v>
      </c>
      <c r="DT73" s="59">
        <f ca="1">AVERAGE(OFFSET($DS$3,0,0,'Données projet'!$E$14+1,1))-AVERAGE(OFFSET($H$3,0,0,'Données projet'!$E$14+1,1))</f>
        <v>439.66981240211362</v>
      </c>
      <c r="DU73" s="59">
        <f t="shared" si="98"/>
        <v>295.47805371292458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53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220</v>
      </c>
      <c r="EH73" s="12">
        <f>VLOOKUP(A73,'Données projet'!$A$191:$I$211,9,0)</f>
        <v>8.25</v>
      </c>
      <c r="EI73" s="12">
        <f t="array" ref="EI73">INDEX(EH:EH,MIN(IF(ISNUMBER(EH73:EH269),ROW(EH73:EH269),"")))</f>
        <v>8.25</v>
      </c>
      <c r="EJ73" s="12">
        <f>IF('Données projet'!$A$192&gt;35,EJ72+EI73-ER72,IF(A73&lt;'Données projet'!$A$192,$EG$205^A73,IF(A73='Données projet'!$A$192,'Données projet'!$B$192,EJ72+EI73-ER72)))</f>
        <v>220.00000000000003</v>
      </c>
      <c r="EK73" s="17">
        <f>EJ73*VLOOKUP('Données projet'!$B$15,Paramètres!$A$1:$I$89,3,0)*VLOOKUP('Données projet'!$B$15,Paramètres!$A$1:$I$89,5,0)</f>
        <v>209.35200000000003</v>
      </c>
      <c r="EL73" s="13">
        <f t="shared" si="99"/>
        <v>51.79395593509436</v>
      </c>
      <c r="EM73" s="20">
        <f t="shared" si="73"/>
        <v>454.82920658695599</v>
      </c>
      <c r="EN73" s="59">
        <f t="shared" si="74"/>
        <v>748.1625399202893</v>
      </c>
      <c r="EO73" s="59">
        <f ca="1">AVERAGE(OFFSET($EN$3,0,0,'Données projet'!$E$15+1,1))-AVERAGE(OFFSET($H$3,0,0,'Données projet'!$E$15+1,1))</f>
        <v>393.46715670823653</v>
      </c>
      <c r="EP73" s="59">
        <f t="shared" si="100"/>
        <v>266.16261355327214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53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549.43232095729741</v>
      </c>
      <c r="T74" s="59">
        <f t="shared" si="88"/>
        <v>280.26155987300996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5.5624891321976149</v>
      </c>
      <c r="AA74" s="21">
        <f>EXP(-LN(2)/25)*AA73+(1-EXP(-LN(2)/25))/(LN(2)/25)*Calculateur!V74*Calculateur!X74*VLOOKUP('Données projet'!$B$9,Paramètres!$A$1:$I$89,3,0)*0.475*44/12</f>
        <v>3.066683802506502</v>
      </c>
      <c r="AB74" s="21">
        <f>EXP(-LN(2)/2)*AB73+(1-EXP(-LN(2)/2))/(LN(2)/2)*V74*Y74*VLOOKUP('Données projet'!$B$9,Paramètres!$A$1:$I$89,3,0)*0.475*44/12</f>
        <v>3.0380749911152971E-6</v>
      </c>
      <c r="AC74" s="22">
        <f t="shared" si="57"/>
        <v>8.6291759727791089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-6.7984728957526396E-14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348.62416478262719</v>
      </c>
      <c r="AO74" s="59">
        <f t="shared" si="90"/>
        <v>371.70674704563288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5.880590512034539</v>
      </c>
      <c r="AV74" s="21">
        <f>EXP(-LN(2)/25)*AV73+(1-EXP(-LN(2)/25))/(LN(2)/25)*Calculateur!AQ74*Calculateur!AS74*VLOOKUP('Données projet'!$B$10,Paramètres!$A$1:$I$89,3,0)*0.475*44/12</f>
        <v>3.9170164036460453</v>
      </c>
      <c r="AW74" s="21">
        <f>EXP(-LN(2)/2)*AW73+(1-EXP(-LN(2)/2))/(LN(2)/2)*AQ74*AT74*VLOOKUP('Données projet'!$B$10,Paramètres!$A$1:$I$89,3,0)*0.475*44/12</f>
        <v>8.3993981587104225E-6</v>
      </c>
      <c r="AX74" s="21">
        <f t="shared" si="60"/>
        <v>9.7976153150787422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281.59999999999997</v>
      </c>
      <c r="BE74" s="13">
        <f>BD74*VLOOKUP('Données projet'!$B$11,Paramètres!$A$1:$I$89,3,0)*VLOOKUP('Données projet'!$B$11,Paramètres!$A$1:$I$89,5,0)</f>
        <v>254.79167999999996</v>
      </c>
      <c r="BF74" s="13">
        <f t="shared" si="91"/>
        <v>61.610870508448471</v>
      </c>
      <c r="BG74" s="20">
        <f t="shared" si="61"/>
        <v>551.067775468881</v>
      </c>
      <c r="BH74" s="59">
        <f t="shared" si="62"/>
        <v>844.40110880221437</v>
      </c>
      <c r="BI74" s="59">
        <f ca="1">AVERAGE(OFFSET($BH$3,0,0,'Données projet'!$E$11+1,1))-AVERAGE(OFFSET($H$3,0,0,'Données projet'!$E$11+1,1))</f>
        <v>405.7176439604217</v>
      </c>
      <c r="BJ74" s="59">
        <f t="shared" si="92"/>
        <v>278.21741231699929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3.2448140842351529</v>
      </c>
      <c r="BQ74" s="21">
        <f>EXP(-LN(2)/25)*BQ73+(1-EXP(-LN(2)/25))/(LN(2)/25)*Calculateur!BL74*Calculateur!BN74*VLOOKUP('Données projet'!$B$11,Paramètres!$A$1:$I$89,3,0)*0.475*44/12</f>
        <v>3.0047458431660439</v>
      </c>
      <c r="BR74" s="21">
        <f>EXP(-LN(2)/2)*BR73+(1-EXP(-LN(2)/2))/(LN(2)/2)*BL74*BO74*VLOOKUP('Données projet'!$B$11,Paramètres!$A$1:$I$89,3,0)*0.475*44/12</f>
        <v>5.7554607393385237E-6</v>
      </c>
      <c r="BS74" s="22">
        <f t="shared" si="63"/>
        <v>6.2495656828619364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1.9895196601282805E-13</v>
      </c>
      <c r="BZ74" s="13">
        <f>BY74*VLOOKUP('Données projet'!$B$12,Paramètres!$A$1:$I$89,3,0)*VLOOKUP('Données projet'!$B$12,Paramètres!$A$1:$I$89,5,0)</f>
        <v>1.738044375088066E-13</v>
      </c>
      <c r="CA74" s="13">
        <f t="shared" si="93"/>
        <v>2.4483293633950478E-12</v>
      </c>
      <c r="CB74" s="20">
        <f t="shared" si="64"/>
        <v>4.566883036574213E-12</v>
      </c>
      <c r="CC74" s="59">
        <f t="shared" si="65"/>
        <v>293.33333333333786</v>
      </c>
      <c r="CD74" s="59">
        <f ca="1">AVERAGE(OFFSET($CC$3,0,0,'Données projet'!$E$12+1,1))-AVERAGE(OFFSET($H$3,0,0,'Données projet'!$E$12+1,1))</f>
        <v>321.23599968992932</v>
      </c>
      <c r="CE74" s="59">
        <f t="shared" si="94"/>
        <v>388.05195847800502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1.6224664524281376</v>
      </c>
      <c r="CL74" s="21">
        <f>EXP(-LN(2)/25)*CL73+(1-EXP(-LN(2)/25))/(LN(2)/25)*Calculateur!CG74*Calculateur!CI74*VLOOKUP('Données projet'!$B$12,Paramètres!$A$1:$I$89,3,0)*0.475*44/12</f>
        <v>6.7699114489772354</v>
      </c>
      <c r="CM74" s="21">
        <f>EXP(-LN(2)/2)*CM73+(1-EXP(-LN(2)/2))/(LN(2)/2)*CG74*CJ74*VLOOKUP('Données projet'!$B$12,Paramètres!$A$1:$I$89,3,0)*0.475*44/12</f>
        <v>8.1346000141234037E-6</v>
      </c>
      <c r="CN74" s="22">
        <f t="shared" si="66"/>
        <v>8.3923860360053872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7.5</v>
      </c>
      <c r="CT74" s="12">
        <f>IF('Données projet'!$A$140&gt;35,CT73+CS74-DB73,IF(A74&lt;'Données projet'!$A$140,$CQ$205^A74,IF(A74='Données projet'!$A$140,'Données projet'!$B$140,CT73+CS74-DB73)))</f>
        <v>174.50000000000003</v>
      </c>
      <c r="CU74" s="17">
        <f>CT74*VLOOKUP('Données projet'!$B$13,Paramètres!$A$1:$I$89,3,0)*VLOOKUP('Données projet'!$B$13,Paramètres!$A$1:$I$89,5,0)</f>
        <v>168.77640000000002</v>
      </c>
      <c r="CV74" s="13">
        <f t="shared" si="95"/>
        <v>42.815862781915129</v>
      </c>
      <c r="CW74" s="20">
        <f t="shared" si="67"/>
        <v>368.52319101183554</v>
      </c>
      <c r="CX74" s="59">
        <f t="shared" si="68"/>
        <v>661.85652434516885</v>
      </c>
      <c r="CY74" s="59">
        <f ca="1">AVERAGE(OFFSET($CX$3,0,0,'Données projet'!$E$13+1,1))-AVERAGE(OFFSET($H$3,0,0,'Données projet'!$E$13+1,1))</f>
        <v>399.24912109442175</v>
      </c>
      <c r="CZ74" s="59">
        <f t="shared" si="96"/>
        <v>269.83150082245305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7.5</v>
      </c>
      <c r="DO74" s="12">
        <f>IF('Données projet'!$A$166&gt;35,DO73+DN74-DW73,IF(A74&lt;'Données projet'!$A$166,$DL$205^A74,IF(A74='Données projet'!$A$166,'Données projet'!$B$166,DO73+DN74-DW73)))</f>
        <v>174.50000000000003</v>
      </c>
      <c r="DP74" s="17">
        <f>DO74*VLOOKUP('Données projet'!$B$14,Paramètres!$A$1:$I$89,3,0)*VLOOKUP('Données projet'!$B$14,Paramètres!$A$1:$I$89,5,0)</f>
        <v>187.83180000000004</v>
      </c>
      <c r="DQ74" s="13">
        <f t="shared" si="97"/>
        <v>47.060274887945674</v>
      </c>
      <c r="DR74" s="20">
        <f t="shared" si="70"/>
        <v>409.10369709650541</v>
      </c>
      <c r="DS74" s="59">
        <f t="shared" si="71"/>
        <v>702.43703042983873</v>
      </c>
      <c r="DT74" s="59">
        <f ca="1">AVERAGE(OFFSET($DS$3,0,0,'Données projet'!$E$14+1,1))-AVERAGE(OFFSET($H$3,0,0,'Données projet'!$E$14+1,1))</f>
        <v>439.66981240211362</v>
      </c>
      <c r="DU74" s="59">
        <f t="shared" si="98"/>
        <v>295.47805371292458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7.5</v>
      </c>
      <c r="EJ74" s="12">
        <f>IF('Données projet'!$A$192&gt;35,EJ73+EI74-ER73,IF(A74&lt;'Données projet'!$A$192,$EG$205^A74,IF(A74='Données projet'!$A$192,'Données projet'!$B$192,EJ73+EI74-ER73)))</f>
        <v>174.50000000000003</v>
      </c>
      <c r="EK74" s="17">
        <f>EJ74*VLOOKUP('Données projet'!$B$15,Paramètres!$A$1:$I$89,3,0)*VLOOKUP('Données projet'!$B$15,Paramètres!$A$1:$I$89,5,0)</f>
        <v>166.05420000000004</v>
      </c>
      <c r="EL74" s="13">
        <f t="shared" si="99"/>
        <v>42.20509141573595</v>
      </c>
      <c r="EM74" s="20">
        <f t="shared" si="73"/>
        <v>362.7182658824068</v>
      </c>
      <c r="EN74" s="59">
        <f t="shared" si="74"/>
        <v>656.05159921574011</v>
      </c>
      <c r="EO74" s="59">
        <f ca="1">AVERAGE(OFFSET($EN$3,0,0,'Données projet'!$E$15+1,1))-AVERAGE(OFFSET($H$3,0,0,'Données projet'!$E$15+1,1))</f>
        <v>393.46715670823653</v>
      </c>
      <c r="EP74" s="59">
        <f t="shared" si="100"/>
        <v>266.16261355327214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549.43232095729741</v>
      </c>
      <c r="T75" s="59">
        <f t="shared" si="88"/>
        <v>280.26155987300996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5.4534121130985804</v>
      </c>
      <c r="AA75" s="21">
        <f>EXP(-LN(2)/25)*AA74+(1-EXP(-LN(2)/25))/(LN(2)/25)*Calculateur!V75*Calculateur!X75*VLOOKUP('Données projet'!$B$9,Paramètres!$A$1:$I$89,3,0)*0.475*44/12</f>
        <v>2.9828251726570696</v>
      </c>
      <c r="AB75" s="21">
        <f>EXP(-LN(2)/2)*AB74+(1-EXP(-LN(2)/2))/(LN(2)/2)*V75*Y75*VLOOKUP('Données projet'!$B$9,Paramètres!$A$1:$I$89,3,0)*0.475*44/12</f>
        <v>2.1482434279708866E-6</v>
      </c>
      <c r="AC75" s="22">
        <f t="shared" si="57"/>
        <v>8.4362394339990789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-6.7984728957526396E-14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348.62416478262719</v>
      </c>
      <c r="AO75" s="59">
        <f t="shared" si="90"/>
        <v>371.70674704563288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5.765275718899586</v>
      </c>
      <c r="AV75" s="21">
        <f>EXP(-LN(2)/25)*AV74+(1-EXP(-LN(2)/25))/(LN(2)/25)*Calculateur!AQ75*Calculateur!AS75*VLOOKUP('Données projet'!$B$10,Paramètres!$A$1:$I$89,3,0)*0.475*44/12</f>
        <v>3.8099053841014041</v>
      </c>
      <c r="AW75" s="21">
        <f>EXP(-LN(2)/2)*AW74+(1-EXP(-LN(2)/2))/(LN(2)/2)*AQ75*AT75*VLOOKUP('Données projet'!$B$10,Paramètres!$A$1:$I$89,3,0)*0.475*44/12</f>
        <v>5.939271395909941E-6</v>
      </c>
      <c r="AX75" s="21">
        <f t="shared" si="60"/>
        <v>9.5751870422723862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289.2</v>
      </c>
      <c r="BE75" s="13">
        <f>BD75*VLOOKUP('Données projet'!$B$11,Paramètres!$A$1:$I$89,3,0)*VLOOKUP('Données projet'!$B$11,Paramètres!$A$1:$I$89,5,0)</f>
        <v>261.66816</v>
      </c>
      <c r="BF75" s="13">
        <f t="shared" si="91"/>
        <v>63.077829793082856</v>
      </c>
      <c r="BG75" s="20">
        <f t="shared" si="61"/>
        <v>565.5992655562859</v>
      </c>
      <c r="BH75" s="59">
        <f t="shared" si="62"/>
        <v>858.93259888961916</v>
      </c>
      <c r="BI75" s="59">
        <f ca="1">AVERAGE(OFFSET($BH$3,0,0,'Données projet'!$E$11+1,1))-AVERAGE(OFFSET($H$3,0,0,'Données projet'!$E$11+1,1))</f>
        <v>405.7176439604217</v>
      </c>
      <c r="BJ75" s="59">
        <f t="shared" si="92"/>
        <v>278.21741231699929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3.1811852591844691</v>
      </c>
      <c r="BQ75" s="21">
        <f>EXP(-LN(2)/25)*BQ74+(1-EXP(-LN(2)/25))/(LN(2)/25)*Calculateur!BL75*Calculateur!BN75*VLOOKUP('Données projet'!$B$11,Paramètres!$A$1:$I$89,3,0)*0.475*44/12</f>
        <v>2.922580910071952</v>
      </c>
      <c r="BR75" s="21">
        <f>EXP(-LN(2)/2)*BR74+(1-EXP(-LN(2)/2))/(LN(2)/2)*BL75*BO75*VLOOKUP('Données projet'!$B$11,Paramètres!$A$1:$I$89,3,0)*0.475*44/12</f>
        <v>4.0697253176392105E-6</v>
      </c>
      <c r="BS75" s="22">
        <f t="shared" si="63"/>
        <v>6.1037702389817383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1.9895196601282805E-13</v>
      </c>
      <c r="BZ75" s="13">
        <f>BY75*VLOOKUP('Données projet'!$B$12,Paramètres!$A$1:$I$89,3,0)*VLOOKUP('Données projet'!$B$12,Paramètres!$A$1:$I$89,5,0)</f>
        <v>1.738044375088066E-13</v>
      </c>
      <c r="CA75" s="13">
        <f t="shared" si="93"/>
        <v>2.4483293633950478E-12</v>
      </c>
      <c r="CB75" s="20">
        <f t="shared" si="64"/>
        <v>4.566883036574213E-12</v>
      </c>
      <c r="CC75" s="59">
        <f t="shared" si="65"/>
        <v>293.33333333333786</v>
      </c>
      <c r="CD75" s="59">
        <f ca="1">AVERAGE(OFFSET($CC$3,0,0,'Données projet'!$E$12+1,1))-AVERAGE(OFFSET($H$3,0,0,'Données projet'!$E$12+1,1))</f>
        <v>321.23599968992932</v>
      </c>
      <c r="CE75" s="59">
        <f t="shared" si="94"/>
        <v>388.05195847800502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1.5906508749028423</v>
      </c>
      <c r="CL75" s="21">
        <f>EXP(-LN(2)/25)*CL74+(1-EXP(-LN(2)/25))/(LN(2)/25)*Calculateur!CG75*Calculateur!CI75*VLOOKUP('Données projet'!$B$12,Paramètres!$A$1:$I$89,3,0)*0.475*44/12</f>
        <v>6.5847878643907825</v>
      </c>
      <c r="CM75" s="21">
        <f>EXP(-LN(2)/2)*CM74+(1-EXP(-LN(2)/2))/(LN(2)/2)*CG75*CJ75*VLOOKUP('Données projet'!$B$12,Paramètres!$A$1:$I$89,3,0)*0.475*44/12</f>
        <v>5.7520308322268441E-6</v>
      </c>
      <c r="CN75" s="22">
        <f t="shared" si="66"/>
        <v>8.1754444913244573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7.5</v>
      </c>
      <c r="CT75" s="12">
        <f>IF('Données projet'!$A$140&gt;35,CT74+CS75-DB74,IF(A75&lt;'Données projet'!$A$140,$CQ$205^A75,IF(A75='Données projet'!$A$140,'Données projet'!$B$140,CT74+CS75-DB74)))</f>
        <v>182.00000000000003</v>
      </c>
      <c r="CU75" s="17">
        <f>CT75*VLOOKUP('Données projet'!$B$13,Paramètres!$A$1:$I$89,3,0)*VLOOKUP('Données projet'!$B$13,Paramètres!$A$1:$I$89,5,0)</f>
        <v>176.03040000000004</v>
      </c>
      <c r="CV75" s="13">
        <f t="shared" si="95"/>
        <v>44.437880346232944</v>
      </c>
      <c r="CW75" s="20">
        <f t="shared" si="67"/>
        <v>383.98225493635573</v>
      </c>
      <c r="CX75" s="59">
        <f t="shared" si="68"/>
        <v>677.31558826968899</v>
      </c>
      <c r="CY75" s="59">
        <f ca="1">AVERAGE(OFFSET($CX$3,0,0,'Données projet'!$E$13+1,1))-AVERAGE(OFFSET($H$3,0,0,'Données projet'!$E$13+1,1))</f>
        <v>399.24912109442175</v>
      </c>
      <c r="CZ75" s="59">
        <f t="shared" si="96"/>
        <v>269.83150082245305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7.5</v>
      </c>
      <c r="DO75" s="12">
        <f>IF('Données projet'!$A$166&gt;35,DO74+DN75-DW74,IF(A75&lt;'Données projet'!$A$166,$DL$205^A75,IF(A75='Données projet'!$A$166,'Données projet'!$B$166,DO74+DN75-DW74)))</f>
        <v>182.00000000000003</v>
      </c>
      <c r="DP75" s="17">
        <f>DO75*VLOOKUP('Données projet'!$B$14,Paramètres!$A$1:$I$89,3,0)*VLOOKUP('Données projet'!$B$14,Paramètres!$A$1:$I$89,5,0)</f>
        <v>195.90480000000002</v>
      </c>
      <c r="DQ75" s="13">
        <f t="shared" si="97"/>
        <v>48.843085918490004</v>
      </c>
      <c r="DR75" s="20">
        <f t="shared" si="70"/>
        <v>426.26923464137013</v>
      </c>
      <c r="DS75" s="59">
        <f t="shared" si="71"/>
        <v>719.60256797470345</v>
      </c>
      <c r="DT75" s="59">
        <f ca="1">AVERAGE(OFFSET($DS$3,0,0,'Données projet'!$E$14+1,1))-AVERAGE(OFFSET($H$3,0,0,'Données projet'!$E$14+1,1))</f>
        <v>439.66981240211362</v>
      </c>
      <c r="DU75" s="59">
        <f t="shared" si="98"/>
        <v>295.47805371292458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7.5</v>
      </c>
      <c r="EJ75" s="12">
        <f>IF('Données projet'!$A$192&gt;35,EJ74+EI75-ER74,IF(A75&lt;'Données projet'!$A$192,$EG$205^A75,IF(A75='Données projet'!$A$192,'Données projet'!$B$192,EJ74+EI75-ER74)))</f>
        <v>182.00000000000003</v>
      </c>
      <c r="EK75" s="17">
        <f>EJ75*VLOOKUP('Données projet'!$B$15,Paramètres!$A$1:$I$89,3,0)*VLOOKUP('Données projet'!$B$15,Paramètres!$A$1:$I$89,5,0)</f>
        <v>173.19120000000001</v>
      </c>
      <c r="EL75" s="13">
        <f t="shared" si="99"/>
        <v>43.803970782681198</v>
      </c>
      <c r="EM75" s="20">
        <f t="shared" si="73"/>
        <v>377.93325577983643</v>
      </c>
      <c r="EN75" s="59">
        <f t="shared" si="74"/>
        <v>671.26658911316974</v>
      </c>
      <c r="EO75" s="59">
        <f ca="1">AVERAGE(OFFSET($EN$3,0,0,'Données projet'!$E$15+1,1))-AVERAGE(OFFSET($H$3,0,0,'Données projet'!$E$15+1,1))</f>
        <v>393.46715670823653</v>
      </c>
      <c r="EP75" s="59">
        <f t="shared" si="100"/>
        <v>266.16261355327214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549.43232095729741</v>
      </c>
      <c r="T76" s="59">
        <f t="shared" si="88"/>
        <v>280.26155987300996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5.3464740278136658</v>
      </c>
      <c r="AA76" s="21">
        <f>EXP(-LN(2)/25)*AA75+(1-EXP(-LN(2)/25))/(LN(2)/25)*Calculateur!V76*Calculateur!X76*VLOOKUP('Données projet'!$B$9,Paramètres!$A$1:$I$89,3,0)*0.475*44/12</f>
        <v>2.9012596614508035</v>
      </c>
      <c r="AB76" s="21">
        <f>EXP(-LN(2)/2)*AB75+(1-EXP(-LN(2)/2))/(LN(2)/2)*V76*Y76*VLOOKUP('Données projet'!$B$9,Paramètres!$A$1:$I$89,3,0)*0.475*44/12</f>
        <v>1.5190374955576485E-6</v>
      </c>
      <c r="AC76" s="22">
        <f t="shared" si="57"/>
        <v>8.2477352083019646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-6.7984728957526396E-14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348.62416478262719</v>
      </c>
      <c r="AO76" s="59">
        <f t="shared" si="90"/>
        <v>371.70674704563288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5.6522221785229307</v>
      </c>
      <c r="AV76" s="21">
        <f>EXP(-LN(2)/25)*AV75+(1-EXP(-LN(2)/25))/(LN(2)/25)*Calculateur!AQ76*Calculateur!AS76*VLOOKUP('Données projet'!$B$10,Paramètres!$A$1:$I$89,3,0)*0.475*44/12</f>
        <v>3.7057233210189349</v>
      </c>
      <c r="AW76" s="21">
        <f>EXP(-LN(2)/2)*AW75+(1-EXP(-LN(2)/2))/(LN(2)/2)*AQ76*AT76*VLOOKUP('Données projet'!$B$10,Paramètres!$A$1:$I$89,3,0)*0.475*44/12</f>
        <v>4.1996990793552113E-6</v>
      </c>
      <c r="AX76" s="21">
        <f t="shared" si="60"/>
        <v>9.3579496992409457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296.8</v>
      </c>
      <c r="BE76" s="13">
        <f>BD76*VLOOKUP('Données projet'!$B$11,Paramètres!$A$1:$I$89,3,0)*VLOOKUP('Données projet'!$B$11,Paramètres!$A$1:$I$89,5,0)</f>
        <v>268.54464000000002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873.45628456578811</v>
      </c>
      <c r="BI76" s="59">
        <f ca="1">AVERAGE(OFFSET($BH$3,0,0,'Données projet'!$E$11+1,1))-AVERAGE(OFFSET($H$3,0,0,'Données projet'!$E$11+1,1))</f>
        <v>405.7176439604217</v>
      </c>
      <c r="BJ76" s="59">
        <f t="shared" si="92"/>
        <v>278.21741231699929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3.1188041565832778</v>
      </c>
      <c r="BQ76" s="21">
        <f>EXP(-LN(2)/25)*BQ75+(1-EXP(-LN(2)/25))/(LN(2)/25)*Calculateur!BL76*Calculateur!BN76*VLOOKUP('Données projet'!$B$11,Paramètres!$A$1:$I$89,3,0)*0.475*44/12</f>
        <v>2.8426627813941838</v>
      </c>
      <c r="BR76" s="21">
        <f>EXP(-LN(2)/2)*BR75+(1-EXP(-LN(2)/2))/(LN(2)/2)*BL76*BO76*VLOOKUP('Données projet'!$B$11,Paramètres!$A$1:$I$89,3,0)*0.475*44/12</f>
        <v>2.8777303696692618E-6</v>
      </c>
      <c r="BS76" s="22">
        <f t="shared" si="63"/>
        <v>5.9614698157078312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1.9895196601282805E-13</v>
      </c>
      <c r="BZ76" s="13">
        <f>BY76*VLOOKUP('Données projet'!$B$12,Paramètres!$A$1:$I$89,3,0)*VLOOKUP('Données projet'!$B$12,Paramètres!$A$1:$I$89,5,0)</f>
        <v>1.738044375088066E-13</v>
      </c>
      <c r="CA76" s="13">
        <f t="shared" si="93"/>
        <v>2.4483293633950478E-12</v>
      </c>
      <c r="CB76" s="20">
        <f t="shared" si="64"/>
        <v>4.566883036574213E-12</v>
      </c>
      <c r="CC76" s="59">
        <f t="shared" si="65"/>
        <v>293.33333333333786</v>
      </c>
      <c r="CD76" s="59">
        <f ca="1">AVERAGE(OFFSET($CC$3,0,0,'Données projet'!$E$12+1,1))-AVERAGE(OFFSET($H$3,0,0,'Données projet'!$E$12+1,1))</f>
        <v>321.23599968992932</v>
      </c>
      <c r="CE76" s="59">
        <f t="shared" si="94"/>
        <v>388.05195847800502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1.5594591814472318</v>
      </c>
      <c r="CL76" s="21">
        <f>EXP(-LN(2)/25)*CL75+(1-EXP(-LN(2)/25))/(LN(2)/25)*Calculateur!CG76*Calculateur!CI76*VLOOKUP('Données projet'!$B$12,Paramètres!$A$1:$I$89,3,0)*0.475*44/12</f>
        <v>6.4047264939600721</v>
      </c>
      <c r="CM76" s="21">
        <f>EXP(-LN(2)/2)*CM75+(1-EXP(-LN(2)/2))/(LN(2)/2)*CG76*CJ76*VLOOKUP('Données projet'!$B$12,Paramètres!$A$1:$I$89,3,0)*0.475*44/12</f>
        <v>4.0673000070617018E-6</v>
      </c>
      <c r="CN76" s="22">
        <f t="shared" si="66"/>
        <v>7.9641897427073109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7.5</v>
      </c>
      <c r="CT76" s="12">
        <f>IF('Données projet'!$A$140&gt;35,CT75+CS76-DB75,IF(A76&lt;'Données projet'!$A$140,$CQ$205^A76,IF(A76='Données projet'!$A$140,'Données projet'!$B$140,CT75+CS76-DB75)))</f>
        <v>189.50000000000003</v>
      </c>
      <c r="CU76" s="17">
        <f>CT76*VLOOKUP('Données projet'!$B$13,Paramètres!$A$1:$I$89,3,0)*VLOOKUP('Données projet'!$B$13,Paramètres!$A$1:$I$89,5,0)</f>
        <v>183.28440000000003</v>
      </c>
      <c r="CV76" s="13">
        <f t="shared" si="95"/>
        <v>46.052133883030692</v>
      </c>
      <c r="CW76" s="20">
        <f t="shared" si="67"/>
        <v>399.42779651294518</v>
      </c>
      <c r="CX76" s="59">
        <f t="shared" si="68"/>
        <v>692.76112984627844</v>
      </c>
      <c r="CY76" s="59">
        <f ca="1">AVERAGE(OFFSET($CX$3,0,0,'Données projet'!$E$13+1,1))-AVERAGE(OFFSET($H$3,0,0,'Données projet'!$E$13+1,1))</f>
        <v>399.24912109442175</v>
      </c>
      <c r="CZ76" s="59">
        <f t="shared" si="96"/>
        <v>269.83150082245305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7.5</v>
      </c>
      <c r="DO76" s="12">
        <f>IF('Données projet'!$A$166&gt;35,DO75+DN76-DW75,IF(A76&lt;'Données projet'!$A$166,$DL$205^A76,IF(A76='Données projet'!$A$166,'Données projet'!$B$166,DO75+DN76-DW75)))</f>
        <v>189.50000000000003</v>
      </c>
      <c r="DP76" s="17">
        <f>DO76*VLOOKUP('Données projet'!$B$14,Paramètres!$A$1:$I$89,3,0)*VLOOKUP('Données projet'!$B$14,Paramètres!$A$1:$I$89,5,0)</f>
        <v>203.9778</v>
      </c>
      <c r="DQ76" s="13">
        <f t="shared" si="97"/>
        <v>50.617363259752175</v>
      </c>
      <c r="DR76" s="20">
        <f t="shared" si="70"/>
        <v>443.4199093440684</v>
      </c>
      <c r="DS76" s="59">
        <f t="shared" si="71"/>
        <v>736.75324267740166</v>
      </c>
      <c r="DT76" s="59">
        <f ca="1">AVERAGE(OFFSET($DS$3,0,0,'Données projet'!$E$14+1,1))-AVERAGE(OFFSET($H$3,0,0,'Données projet'!$E$14+1,1))</f>
        <v>439.66981240211362</v>
      </c>
      <c r="DU76" s="59">
        <f t="shared" si="98"/>
        <v>295.47805371292458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7.5</v>
      </c>
      <c r="EJ76" s="12">
        <f>IF('Données projet'!$A$192&gt;35,EJ75+EI76-ER75,IF(A76&lt;'Données projet'!$A$192,$EG$205^A76,IF(A76='Données projet'!$A$192,'Données projet'!$B$192,EJ75+EI76-ER75)))</f>
        <v>189.50000000000003</v>
      </c>
      <c r="EK76" s="17">
        <f>EJ76*VLOOKUP('Données projet'!$B$15,Paramètres!$A$1:$I$89,3,0)*VLOOKUP('Données projet'!$B$15,Paramètres!$A$1:$I$89,5,0)</f>
        <v>180.32820000000004</v>
      </c>
      <c r="EL76" s="13">
        <f t="shared" si="99"/>
        <v>45.395196876518106</v>
      </c>
      <c r="EM76" s="20">
        <f t="shared" si="73"/>
        <v>393.1349162266024</v>
      </c>
      <c r="EN76" s="59">
        <f t="shared" si="74"/>
        <v>686.46824955993566</v>
      </c>
      <c r="EO76" s="59">
        <f ca="1">AVERAGE(OFFSET($EN$3,0,0,'Données projet'!$E$15+1,1))-AVERAGE(OFFSET($H$3,0,0,'Données projet'!$E$15+1,1))</f>
        <v>393.46715670823653</v>
      </c>
      <c r="EP76" s="59">
        <f t="shared" si="100"/>
        <v>266.16261355327214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549.43232095729741</v>
      </c>
      <c r="T77" s="59">
        <f t="shared" si="88"/>
        <v>280.26155987300996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5.2416329331553975</v>
      </c>
      <c r="AA77" s="21">
        <f>EXP(-LN(2)/25)*AA76+(1-EXP(-LN(2)/25))/(LN(2)/25)*Calculateur!V77*Calculateur!X77*VLOOKUP('Données projet'!$B$9,Paramètres!$A$1:$I$89,3,0)*0.475*44/12</f>
        <v>2.8219245634378165</v>
      </c>
      <c r="AB77" s="21">
        <f>EXP(-LN(2)/2)*AB76+(1-EXP(-LN(2)/2))/(LN(2)/2)*V77*Y77*VLOOKUP('Données projet'!$B$9,Paramètres!$A$1:$I$89,3,0)*0.475*44/12</f>
        <v>1.0741217139854433E-6</v>
      </c>
      <c r="AC77" s="22">
        <f t="shared" si="57"/>
        <v>8.0635585707149282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-6.7984728957526396E-14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348.62416478262719</v>
      </c>
      <c r="AO77" s="59">
        <f t="shared" si="90"/>
        <v>371.70674704563288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5.5413855491172113</v>
      </c>
      <c r="AV77" s="21">
        <f>EXP(-LN(2)/25)*AV76+(1-EXP(-LN(2)/25))/(LN(2)/25)*Calculateur!AQ77*Calculateur!AS77*VLOOKUP('Données projet'!$B$10,Paramètres!$A$1:$I$89,3,0)*0.475*44/12</f>
        <v>3.6043901219301522</v>
      </c>
      <c r="AW77" s="21">
        <f>EXP(-LN(2)/2)*AW76+(1-EXP(-LN(2)/2))/(LN(2)/2)*AQ77*AT77*VLOOKUP('Données projet'!$B$10,Paramètres!$A$1:$I$89,3,0)*0.475*44/12</f>
        <v>2.9696356979549705E-6</v>
      </c>
      <c r="AX77" s="21">
        <f t="shared" si="60"/>
        <v>9.1457786406830621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304.40000000000003</v>
      </c>
      <c r="BE77" s="13">
        <f>BD77*VLOOKUP('Données projet'!$B$11,Paramètres!$A$1:$I$89,3,0)*VLOOKUP('Données projet'!$B$11,Paramètres!$A$1:$I$89,5,0)</f>
        <v>275.42112000000003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887.97238865302188</v>
      </c>
      <c r="BI77" s="59">
        <f ca="1">AVERAGE(OFFSET($BH$3,0,0,'Données projet'!$E$11+1,1))-AVERAGE(OFFSET($H$3,0,0,'Données projet'!$E$11+1,1))</f>
        <v>405.7176439604217</v>
      </c>
      <c r="BJ77" s="59">
        <f t="shared" si="92"/>
        <v>278.21741231699929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3.0576463093553805</v>
      </c>
      <c r="BQ77" s="21">
        <f>EXP(-LN(2)/25)*BQ76+(1-EXP(-LN(2)/25))/(LN(2)/25)*Calculateur!BL77*Calculateur!BN77*VLOOKUP('Données projet'!$B$11,Paramètres!$A$1:$I$89,3,0)*0.475*44/12</f>
        <v>2.7649300181478211</v>
      </c>
      <c r="BR77" s="21">
        <f>EXP(-LN(2)/2)*BR76+(1-EXP(-LN(2)/2))/(LN(2)/2)*BL77*BO77*VLOOKUP('Données projet'!$B$11,Paramètres!$A$1:$I$89,3,0)*0.475*44/12</f>
        <v>2.0348626588196052E-6</v>
      </c>
      <c r="BS77" s="22">
        <f t="shared" si="63"/>
        <v>5.82257836236586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1.9895196601282805E-13</v>
      </c>
      <c r="BZ77" s="13">
        <f>BY77*VLOOKUP('Données projet'!$B$12,Paramètres!$A$1:$I$89,3,0)*VLOOKUP('Données projet'!$B$12,Paramètres!$A$1:$I$89,5,0)</f>
        <v>1.738044375088066E-13</v>
      </c>
      <c r="CA77" s="13">
        <f t="shared" si="93"/>
        <v>2.4483293633950478E-12</v>
      </c>
      <c r="CB77" s="20">
        <f t="shared" si="64"/>
        <v>4.566883036574213E-12</v>
      </c>
      <c r="CC77" s="59">
        <f t="shared" si="65"/>
        <v>293.33333333333786</v>
      </c>
      <c r="CD77" s="59">
        <f ca="1">AVERAGE(OFFSET($CC$3,0,0,'Données projet'!$E$12+1,1))-AVERAGE(OFFSET($H$3,0,0,'Données projet'!$E$12+1,1))</f>
        <v>321.23599968992932</v>
      </c>
      <c r="CE77" s="59">
        <f t="shared" si="94"/>
        <v>388.05195847800502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1.5288791380752313</v>
      </c>
      <c r="CL77" s="21">
        <f>EXP(-LN(2)/25)*CL76+(1-EXP(-LN(2)/25))/(LN(2)/25)*Calculateur!CG77*Calculateur!CI77*VLOOKUP('Données projet'!$B$12,Paramètres!$A$1:$I$89,3,0)*0.475*44/12</f>
        <v>6.2295889111728062</v>
      </c>
      <c r="CM77" s="21">
        <f>EXP(-LN(2)/2)*CM76+(1-EXP(-LN(2)/2))/(LN(2)/2)*CG77*CJ77*VLOOKUP('Données projet'!$B$12,Paramètres!$A$1:$I$89,3,0)*0.475*44/12</f>
        <v>2.876015416113422E-6</v>
      </c>
      <c r="CN77" s="22">
        <f t="shared" si="66"/>
        <v>7.7584709252634534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7.5</v>
      </c>
      <c r="CT77" s="12">
        <f>IF('Données projet'!$A$140&gt;35,CT76+CS77-DB76,IF(A77&lt;'Données projet'!$A$140,$CQ$205^A77,IF(A77='Données projet'!$A$140,'Données projet'!$B$140,CT76+CS77-DB76)))</f>
        <v>197.00000000000003</v>
      </c>
      <c r="CU77" s="17">
        <f>CT77*VLOOKUP('Données projet'!$B$13,Paramètres!$A$1:$I$89,3,0)*VLOOKUP('Données projet'!$B$13,Paramètres!$A$1:$I$89,5,0)</f>
        <v>190.53840000000002</v>
      </c>
      <c r="CV77" s="13">
        <f t="shared" si="95"/>
        <v>47.658965836673829</v>
      </c>
      <c r="CW77" s="20">
        <f t="shared" si="67"/>
        <v>414.86041216554025</v>
      </c>
      <c r="CX77" s="59">
        <f t="shared" si="68"/>
        <v>708.19374549887357</v>
      </c>
      <c r="CY77" s="59">
        <f ca="1">AVERAGE(OFFSET($CX$3,0,0,'Données projet'!$E$13+1,1))-AVERAGE(OFFSET($H$3,0,0,'Données projet'!$E$13+1,1))</f>
        <v>399.24912109442175</v>
      </c>
      <c r="CZ77" s="59">
        <f t="shared" si="96"/>
        <v>269.83150082245305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7.5</v>
      </c>
      <c r="DO77" s="12">
        <f>IF('Données projet'!$A$166&gt;35,DO76+DN77-DW76,IF(A77&lt;'Données projet'!$A$166,$DL$205^A77,IF(A77='Données projet'!$A$166,'Données projet'!$B$166,DO76+DN77-DW76)))</f>
        <v>197.00000000000003</v>
      </c>
      <c r="DP77" s="17">
        <f>DO77*VLOOKUP('Données projet'!$B$14,Paramètres!$A$1:$I$89,3,0)*VLOOKUP('Données projet'!$B$14,Paramètres!$A$1:$I$89,5,0)</f>
        <v>212.05080000000001</v>
      </c>
      <c r="DQ77" s="13">
        <f t="shared" si="97"/>
        <v>52.383483303212302</v>
      </c>
      <c r="DR77" s="20">
        <f t="shared" si="70"/>
        <v>460.55637675309475</v>
      </c>
      <c r="DS77" s="59">
        <f t="shared" si="71"/>
        <v>753.88971008642807</v>
      </c>
      <c r="DT77" s="59">
        <f ca="1">AVERAGE(OFFSET($DS$3,0,0,'Données projet'!$E$14+1,1))-AVERAGE(OFFSET($H$3,0,0,'Données projet'!$E$14+1,1))</f>
        <v>439.66981240211362</v>
      </c>
      <c r="DU77" s="59">
        <f t="shared" si="98"/>
        <v>295.47805371292458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7.5</v>
      </c>
      <c r="EJ77" s="12">
        <f>IF('Données projet'!$A$192&gt;35,EJ76+EI77-ER76,IF(A77&lt;'Données projet'!$A$192,$EG$205^A77,IF(A77='Données projet'!$A$192,'Données projet'!$B$192,EJ76+EI77-ER76)))</f>
        <v>197.00000000000003</v>
      </c>
      <c r="EK77" s="17">
        <f>EJ77*VLOOKUP('Données projet'!$B$15,Paramètres!$A$1:$I$89,3,0)*VLOOKUP('Données projet'!$B$15,Paramètres!$A$1:$I$89,5,0)</f>
        <v>187.46520000000004</v>
      </c>
      <c r="EL77" s="13">
        <f t="shared" si="99"/>
        <v>46.979107256618605</v>
      </c>
      <c r="EM77" s="20">
        <f t="shared" si="73"/>
        <v>408.32383513861078</v>
      </c>
      <c r="EN77" s="59">
        <f t="shared" si="74"/>
        <v>701.65716847194403</v>
      </c>
      <c r="EO77" s="59">
        <f ca="1">AVERAGE(OFFSET($EN$3,0,0,'Données projet'!$E$15+1,1))-AVERAGE(OFFSET($H$3,0,0,'Données projet'!$E$15+1,1))</f>
        <v>393.46715670823653</v>
      </c>
      <c r="EP77" s="59">
        <f t="shared" si="100"/>
        <v>266.16261355327214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549.43232095729741</v>
      </c>
      <c r="T78" s="59">
        <f t="shared" si="88"/>
        <v>280.26155987300996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5.1388477084166242</v>
      </c>
      <c r="AA78" s="21">
        <f>EXP(-LN(2)/25)*AA77+(1-EXP(-LN(2)/25))/(LN(2)/25)*Calculateur!V78*Calculateur!X78*VLOOKUP('Données projet'!$B$9,Paramètres!$A$1:$I$89,3,0)*0.475*44/12</f>
        <v>2.7447588878520461</v>
      </c>
      <c r="AB78" s="21">
        <f>EXP(-LN(2)/2)*AB77+(1-EXP(-LN(2)/2))/(LN(2)/2)*V78*Y78*VLOOKUP('Données projet'!$B$9,Paramètres!$A$1:$I$89,3,0)*0.475*44/12</f>
        <v>7.5951874777882426E-7</v>
      </c>
      <c r="AC78" s="22">
        <f t="shared" si="57"/>
        <v>7.8836073557874178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-6.7984728957526396E-14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348.62416478262719</v>
      </c>
      <c r="AO78" s="59">
        <f t="shared" si="90"/>
        <v>371.70674704563288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5.4327223584104694</v>
      </c>
      <c r="AV78" s="21">
        <f>EXP(-LN(2)/25)*AV77+(1-EXP(-LN(2)/25))/(LN(2)/25)*Calculateur!AQ78*Calculateur!AS78*VLOOKUP('Données projet'!$B$10,Paramètres!$A$1:$I$89,3,0)*0.475*44/12</f>
        <v>3.5058278844993338</v>
      </c>
      <c r="AW78" s="21">
        <f>EXP(-LN(2)/2)*AW77+(1-EXP(-LN(2)/2))/(LN(2)/2)*AQ78*AT78*VLOOKUP('Données projet'!$B$10,Paramètres!$A$1:$I$89,3,0)*0.475*44/12</f>
        <v>2.0998495396776056E-6</v>
      </c>
      <c r="AX78" s="21">
        <f t="shared" si="60"/>
        <v>8.9385523427593441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312.00000000000006</v>
      </c>
      <c r="BE78" s="13">
        <f>BD78*VLOOKUP('Données projet'!$B$11,Paramètres!$A$1:$I$89,3,0)*VLOOKUP('Données projet'!$B$11,Paramètres!$A$1:$I$89,5,0)</f>
        <v>282.29760000000005</v>
      </c>
      <c r="BF78" s="13">
        <f t="shared" si="91"/>
        <v>67.452326629470178</v>
      </c>
      <c r="BG78" s="20">
        <f t="shared" si="61"/>
        <v>609.14778887966054</v>
      </c>
      <c r="BH78" s="59">
        <f t="shared" si="62"/>
        <v>902.4811222129938</v>
      </c>
      <c r="BI78" s="59">
        <f ca="1">AVERAGE(OFFSET($BH$3,0,0,'Données projet'!$E$11+1,1))-AVERAGE(OFFSET($H$3,0,0,'Données projet'!$E$11+1,1))</f>
        <v>405.7176439604217</v>
      </c>
      <c r="BJ78" s="59">
        <f t="shared" si="92"/>
        <v>278.21741231699929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2.9976877302090186</v>
      </c>
      <c r="BQ78" s="21">
        <f>EXP(-LN(2)/25)*BQ77+(1-EXP(-LN(2)/25))/(LN(2)/25)*Calculateur!BL78*Calculateur!BN78*VLOOKUP('Données projet'!$B$11,Paramètres!$A$1:$I$89,3,0)*0.475*44/12</f>
        <v>2.6893228614002185</v>
      </c>
      <c r="BR78" s="21">
        <f>EXP(-LN(2)/2)*BR77+(1-EXP(-LN(2)/2))/(LN(2)/2)*BL78*BO78*VLOOKUP('Données projet'!$B$11,Paramètres!$A$1:$I$89,3,0)*0.475*44/12</f>
        <v>1.4388651848346309E-6</v>
      </c>
      <c r="BS78" s="22">
        <f t="shared" si="63"/>
        <v>5.6870120304744223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1.9895196601282805E-13</v>
      </c>
      <c r="BZ78" s="13">
        <f>BY78*VLOOKUP('Données projet'!$B$12,Paramètres!$A$1:$I$89,3,0)*VLOOKUP('Données projet'!$B$12,Paramètres!$A$1:$I$89,5,0)</f>
        <v>1.738044375088066E-13</v>
      </c>
      <c r="CA78" s="13">
        <f t="shared" si="93"/>
        <v>2.4483293633950478E-12</v>
      </c>
      <c r="CB78" s="20">
        <f t="shared" si="64"/>
        <v>4.566883036574213E-12</v>
      </c>
      <c r="CC78" s="59">
        <f t="shared" si="65"/>
        <v>293.33333333333786</v>
      </c>
      <c r="CD78" s="59">
        <f ca="1">AVERAGE(OFFSET($CC$3,0,0,'Données projet'!$E$12+1,1))-AVERAGE(OFFSET($H$3,0,0,'Données projet'!$E$12+1,1))</f>
        <v>321.23599968992932</v>
      </c>
      <c r="CE78" s="59">
        <f t="shared" si="94"/>
        <v>388.05195847800502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1.4988987507017713</v>
      </c>
      <c r="CL78" s="21">
        <f>EXP(-LN(2)/25)*CL77+(1-EXP(-LN(2)/25))/(LN(2)/25)*Calculateur!CG78*Calculateur!CI78*VLOOKUP('Données projet'!$B$12,Paramètres!$A$1:$I$89,3,0)*0.475*44/12</f>
        <v>6.0592404747969431</v>
      </c>
      <c r="CM78" s="21">
        <f>EXP(-LN(2)/2)*CM77+(1-EXP(-LN(2)/2))/(LN(2)/2)*CG78*CJ78*VLOOKUP('Données projet'!$B$12,Paramètres!$A$1:$I$89,3,0)*0.475*44/12</f>
        <v>2.0336500035308509E-6</v>
      </c>
      <c r="CN78" s="22">
        <f t="shared" si="66"/>
        <v>7.5581412591487185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7.5</v>
      </c>
      <c r="CT78" s="12">
        <f>IF('Données projet'!$A$140&gt;35,CT77+CS78-DB77,IF(A78&lt;'Données projet'!$A$140,$CQ$205^A78,IF(A78='Données projet'!$A$140,'Données projet'!$B$140,CT77+CS78-DB77)))</f>
        <v>204.50000000000003</v>
      </c>
      <c r="CU78" s="17">
        <f>CT78*VLOOKUP('Données projet'!$B$13,Paramètres!$A$1:$I$89,3,0)*VLOOKUP('Données projet'!$B$13,Paramètres!$A$1:$I$89,5,0)</f>
        <v>197.79240000000004</v>
      </c>
      <c r="CV78" s="13">
        <f t="shared" si="95"/>
        <v>49.258691100257572</v>
      </c>
      <c r="CW78" s="20">
        <f t="shared" si="67"/>
        <v>430.28065033294865</v>
      </c>
      <c r="CX78" s="59">
        <f t="shared" si="68"/>
        <v>723.61398366628191</v>
      </c>
      <c r="CY78" s="59">
        <f ca="1">AVERAGE(OFFSET($CX$3,0,0,'Données projet'!$E$13+1,1))-AVERAGE(OFFSET($H$3,0,0,'Données projet'!$E$13+1,1))</f>
        <v>399.24912109442175</v>
      </c>
      <c r="CZ78" s="59">
        <f t="shared" si="96"/>
        <v>269.83150082245305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7.5</v>
      </c>
      <c r="DO78" s="12">
        <f>IF('Données projet'!$A$166&gt;35,DO77+DN78-DW77,IF(A78&lt;'Données projet'!$A$166,$DL$205^A78,IF(A78='Données projet'!$A$166,'Données projet'!$B$166,DO77+DN78-DW77)))</f>
        <v>204.50000000000003</v>
      </c>
      <c r="DP78" s="17">
        <f>DO78*VLOOKUP('Données projet'!$B$14,Paramètres!$A$1:$I$89,3,0)*VLOOKUP('Données projet'!$B$14,Paramètres!$A$1:$I$89,5,0)</f>
        <v>220.12380000000005</v>
      </c>
      <c r="DQ78" s="13">
        <f t="shared" si="97"/>
        <v>54.141792157874484</v>
      </c>
      <c r="DR78" s="20">
        <f t="shared" si="70"/>
        <v>477.67923967496478</v>
      </c>
      <c r="DS78" s="59">
        <f t="shared" si="71"/>
        <v>771.01257300829809</v>
      </c>
      <c r="DT78" s="59">
        <f ca="1">AVERAGE(OFFSET($DS$3,0,0,'Données projet'!$E$14+1,1))-AVERAGE(OFFSET($H$3,0,0,'Données projet'!$E$14+1,1))</f>
        <v>439.66981240211362</v>
      </c>
      <c r="DU78" s="59">
        <f t="shared" si="98"/>
        <v>295.47805371292458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7.5</v>
      </c>
      <c r="EJ78" s="12">
        <f>IF('Données projet'!$A$192&gt;35,EJ77+EI78-ER77,IF(A78&lt;'Données projet'!$A$192,$EG$205^A78,IF(A78='Données projet'!$A$192,'Données projet'!$B$192,EJ77+EI78-ER77)))</f>
        <v>204.50000000000003</v>
      </c>
      <c r="EK78" s="17">
        <f>EJ78*VLOOKUP('Données projet'!$B$15,Paramètres!$A$1:$I$89,3,0)*VLOOKUP('Données projet'!$B$15,Paramètres!$A$1:$I$89,5,0)</f>
        <v>194.60220000000004</v>
      </c>
      <c r="EL78" s="13">
        <f t="shared" si="99"/>
        <v>48.556012324105239</v>
      </c>
      <c r="EM78" s="20">
        <f t="shared" si="73"/>
        <v>423.50055313115007</v>
      </c>
      <c r="EN78" s="59">
        <f t="shared" si="74"/>
        <v>716.83388646448338</v>
      </c>
      <c r="EO78" s="59">
        <f ca="1">AVERAGE(OFFSET($EN$3,0,0,'Données projet'!$E$15+1,1))-AVERAGE(OFFSET($H$3,0,0,'Données projet'!$E$15+1,1))</f>
        <v>393.46715670823653</v>
      </c>
      <c r="EP78" s="59">
        <f t="shared" si="100"/>
        <v>266.16261355327214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549.43232095729741</v>
      </c>
      <c r="T79" s="59">
        <f t="shared" si="88"/>
        <v>280.26155987300996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5.0380780392421816</v>
      </c>
      <c r="AA79" s="21">
        <f>EXP(-LN(2)/25)*AA78+(1-EXP(-LN(2)/25))/(LN(2)/25)*Calculateur!V79*Calculateur!X79*VLOOKUP('Données projet'!$B$9,Paramètres!$A$1:$I$89,3,0)*0.475*44/12</f>
        <v>2.6697033117231355</v>
      </c>
      <c r="AB79" s="21">
        <f>EXP(-LN(2)/2)*AB78+(1-EXP(-LN(2)/2))/(LN(2)/2)*V79*Y79*VLOOKUP('Données projet'!$B$9,Paramètres!$A$1:$I$89,3,0)*0.475*44/12</f>
        <v>5.3706085699272166E-7</v>
      </c>
      <c r="AC79" s="22">
        <f t="shared" si="57"/>
        <v>7.7077818880261741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-6.7984728957526396E-14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348.62416478262719</v>
      </c>
      <c r="AO79" s="59">
        <f t="shared" si="90"/>
        <v>371.70674704563288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5.3261899865954847</v>
      </c>
      <c r="AV79" s="21">
        <f>EXP(-LN(2)/25)*AV78+(1-EXP(-LN(2)/25))/(LN(2)/25)*Calculateur!AQ79*Calculateur!AS79*VLOOKUP('Données projet'!$B$10,Paramètres!$A$1:$I$89,3,0)*0.475*44/12</f>
        <v>3.4099608366342236</v>
      </c>
      <c r="AW79" s="21">
        <f>EXP(-LN(2)/2)*AW78+(1-EXP(-LN(2)/2))/(LN(2)/2)*AQ79*AT79*VLOOKUP('Données projet'!$B$10,Paramètres!$A$1:$I$89,3,0)*0.475*44/12</f>
        <v>1.4848178489774852E-6</v>
      </c>
      <c r="AX79" s="21">
        <f t="shared" si="60"/>
        <v>8.7361523080475578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291.20000000000005</v>
      </c>
      <c r="BE79" s="13">
        <f>BD79*VLOOKUP('Données projet'!$B$11,Paramètres!$A$1:$I$89,3,0)*VLOOKUP('Données projet'!$B$11,Paramètres!$A$1:$I$89,5,0)</f>
        <v>263.47776000000005</v>
      </c>
      <c r="BF79" s="13">
        <f t="shared" si="91"/>
        <v>63.46312159763346</v>
      </c>
      <c r="BG79" s="20">
        <f t="shared" si="61"/>
        <v>569.42203544921165</v>
      </c>
      <c r="BH79" s="59">
        <f t="shared" si="62"/>
        <v>862.75536878254502</v>
      </c>
      <c r="BI79" s="59">
        <f ca="1">AVERAGE(OFFSET($BH$3,0,0,'Données projet'!$E$11+1,1))-AVERAGE(OFFSET($H$3,0,0,'Données projet'!$E$11+1,1))</f>
        <v>405.7176439604217</v>
      </c>
      <c r="BJ79" s="59">
        <f t="shared" si="92"/>
        <v>278.21741231699929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2.9389049022285949</v>
      </c>
      <c r="BQ79" s="21">
        <f>EXP(-LN(2)/25)*BQ78+(1-EXP(-LN(2)/25))/(LN(2)/25)*Calculateur!BL79*Calculateur!BN79*VLOOKUP('Données projet'!$B$11,Paramètres!$A$1:$I$89,3,0)*0.475*44/12</f>
        <v>2.6157831863298866</v>
      </c>
      <c r="BR79" s="21">
        <f>EXP(-LN(2)/2)*BR78+(1-EXP(-LN(2)/2))/(LN(2)/2)*BL79*BO79*VLOOKUP('Données projet'!$B$11,Paramètres!$A$1:$I$89,3,0)*0.475*44/12</f>
        <v>1.0174313294098026E-6</v>
      </c>
      <c r="BS79" s="22">
        <f t="shared" si="63"/>
        <v>5.5546891059898114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1.9895196601282805E-13</v>
      </c>
      <c r="BZ79" s="13">
        <f>BY79*VLOOKUP('Données projet'!$B$12,Paramètres!$A$1:$I$89,3,0)*VLOOKUP('Données projet'!$B$12,Paramètres!$A$1:$I$89,5,0)</f>
        <v>1.738044375088066E-13</v>
      </c>
      <c r="CA79" s="13">
        <f t="shared" si="93"/>
        <v>2.4483293633950478E-12</v>
      </c>
      <c r="CB79" s="20">
        <f t="shared" si="64"/>
        <v>4.566883036574213E-12</v>
      </c>
      <c r="CC79" s="59">
        <f t="shared" si="65"/>
        <v>293.33333333333786</v>
      </c>
      <c r="CD79" s="59">
        <f ca="1">AVERAGE(OFFSET($CC$3,0,0,'Données projet'!$E$12+1,1))-AVERAGE(OFFSET($H$3,0,0,'Données projet'!$E$12+1,1))</f>
        <v>321.23599968992932</v>
      </c>
      <c r="CE79" s="59">
        <f t="shared" si="94"/>
        <v>388.05195847800502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1.4695062604384739</v>
      </c>
      <c r="CL79" s="21">
        <f>EXP(-LN(2)/25)*CL78+(1-EXP(-LN(2)/25))/(LN(2)/25)*Calculateur!CG79*Calculateur!CI79*VLOOKUP('Données projet'!$B$12,Paramètres!$A$1:$I$89,3,0)*0.475*44/12</f>
        <v>5.8935502253720129</v>
      </c>
      <c r="CM79" s="21">
        <f>EXP(-LN(2)/2)*CM78+(1-EXP(-LN(2)/2))/(LN(2)/2)*CG79*CJ79*VLOOKUP('Données projet'!$B$12,Paramètres!$A$1:$I$89,3,0)*0.475*44/12</f>
        <v>1.438007708056711E-6</v>
      </c>
      <c r="CN79" s="22">
        <f t="shared" si="66"/>
        <v>7.3630579238181957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7.5</v>
      </c>
      <c r="CT79" s="12">
        <f>IF('Données projet'!$A$140&gt;35,CT78+CS79-DB78,IF(A79&lt;'Données projet'!$A$140,$CQ$205^A79,IF(A79='Données projet'!$A$140,'Données projet'!$B$140,CT78+CS79-DB78)))</f>
        <v>212.00000000000003</v>
      </c>
      <c r="CU79" s="17">
        <f>CT79*VLOOKUP('Données projet'!$B$13,Paramètres!$A$1:$I$89,3,0)*VLOOKUP('Données projet'!$B$13,Paramètres!$A$1:$I$89,5,0)</f>
        <v>205.04640000000003</v>
      </c>
      <c r="CV79" s="13">
        <f t="shared" si="95"/>
        <v>50.851600160721752</v>
      </c>
      <c r="CW79" s="20">
        <f t="shared" si="67"/>
        <v>445.68901694659036</v>
      </c>
      <c r="CX79" s="59">
        <f t="shared" si="68"/>
        <v>739.02235027992367</v>
      </c>
      <c r="CY79" s="59">
        <f ca="1">AVERAGE(OFFSET($CX$3,0,0,'Données projet'!$E$13+1,1))-AVERAGE(OFFSET($H$3,0,0,'Données projet'!$E$13+1,1))</f>
        <v>399.24912109442175</v>
      </c>
      <c r="CZ79" s="59">
        <f t="shared" si="96"/>
        <v>269.83150082245305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7.5</v>
      </c>
      <c r="DO79" s="12">
        <f>IF('Données projet'!$A$166&gt;35,DO78+DN79-DW78,IF(A79&lt;'Données projet'!$A$166,$DL$205^A79,IF(A79='Données projet'!$A$166,'Données projet'!$B$166,DO78+DN79-DW78)))</f>
        <v>212.00000000000003</v>
      </c>
      <c r="DP79" s="17">
        <f>DO79*VLOOKUP('Données projet'!$B$14,Paramètres!$A$1:$I$89,3,0)*VLOOKUP('Données projet'!$B$14,Paramètres!$A$1:$I$89,5,0)</f>
        <v>228.1968</v>
      </c>
      <c r="DQ79" s="13">
        <f t="shared" si="97"/>
        <v>55.892609107162002</v>
      </c>
      <c r="DR79" s="20">
        <f t="shared" si="70"/>
        <v>494.78905419497386</v>
      </c>
      <c r="DS79" s="59">
        <f t="shared" si="71"/>
        <v>788.12238752830717</v>
      </c>
      <c r="DT79" s="59">
        <f ca="1">AVERAGE(OFFSET($DS$3,0,0,'Données projet'!$E$14+1,1))-AVERAGE(OFFSET($H$3,0,0,'Données projet'!$E$14+1,1))</f>
        <v>439.66981240211362</v>
      </c>
      <c r="DU79" s="59">
        <f t="shared" si="98"/>
        <v>295.47805371292458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7.5</v>
      </c>
      <c r="EJ79" s="12">
        <f>IF('Données projet'!$A$192&gt;35,EJ78+EI79-ER78,IF(A79&lt;'Données projet'!$A$192,$EG$205^A79,IF(A79='Données projet'!$A$192,'Données projet'!$B$192,EJ78+EI79-ER78)))</f>
        <v>212.00000000000003</v>
      </c>
      <c r="EK79" s="17">
        <f>EJ79*VLOOKUP('Données projet'!$B$15,Paramètres!$A$1:$I$89,3,0)*VLOOKUP('Données projet'!$B$15,Paramètres!$A$1:$I$89,5,0)</f>
        <v>201.73920000000004</v>
      </c>
      <c r="EL79" s="13">
        <f t="shared" si="99"/>
        <v>50.126198422100714</v>
      </c>
      <c r="EM79" s="20">
        <f t="shared" si="73"/>
        <v>438.66556891849217</v>
      </c>
      <c r="EN79" s="59">
        <f t="shared" si="74"/>
        <v>731.99890225182548</v>
      </c>
      <c r="EO79" s="59">
        <f ca="1">AVERAGE(OFFSET($EN$3,0,0,'Données projet'!$E$15+1,1))-AVERAGE(OFFSET($H$3,0,0,'Données projet'!$E$15+1,1))</f>
        <v>393.46715670823653</v>
      </c>
      <c r="EP79" s="59">
        <f t="shared" si="100"/>
        <v>266.16261355327214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549.43232095729741</v>
      </c>
      <c r="T80" s="59">
        <f t="shared" si="88"/>
        <v>280.26155987300996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4.9392844018168205</v>
      </c>
      <c r="AA80" s="21">
        <f>EXP(-LN(2)/25)*AA79+(1-EXP(-LN(2)/25))/(LN(2)/25)*Calculateur!V80*Calculateur!X80*VLOOKUP('Données projet'!$B$9,Paramètres!$A$1:$I$89,3,0)*0.475*44/12</f>
        <v>2.596700134270471</v>
      </c>
      <c r="AB80" s="21">
        <f>EXP(-LN(2)/2)*AB79+(1-EXP(-LN(2)/2))/(LN(2)/2)*V80*Y80*VLOOKUP('Données projet'!$B$9,Paramètres!$A$1:$I$89,3,0)*0.475*44/12</f>
        <v>3.7975937388941213E-7</v>
      </c>
      <c r="AC80" s="22">
        <f t="shared" si="57"/>
        <v>7.5359849158466652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348.62416478262719</v>
      </c>
      <c r="AO80" s="59">
        <f t="shared" si="90"/>
        <v>371.70674704563288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5.2217466496134612</v>
      </c>
      <c r="AV80" s="21">
        <f>EXP(-LN(2)/25)*AV79+(1-EXP(-LN(2)/25))/(LN(2)/25)*Calculateur!AQ80*Calculateur!AS80*VLOOKUP('Données projet'!$B$10,Paramètres!$A$1:$I$89,3,0)*0.475*44/12</f>
        <v>3.316715278234414</v>
      </c>
      <c r="AW80" s="21">
        <f>EXP(-LN(2)/2)*AW79+(1-EXP(-LN(2)/2))/(LN(2)/2)*AQ80*AT80*VLOOKUP('Données projet'!$B$10,Paramètres!$A$1:$I$89,3,0)*0.475*44/12</f>
        <v>1.0499247698388028E-6</v>
      </c>
      <c r="AX80" s="21">
        <f t="shared" si="60"/>
        <v>8.5384629777726442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298.40000000000003</v>
      </c>
      <c r="BE80" s="13">
        <f>BD80*VLOOKUP('Données projet'!$B$11,Paramètres!$A$1:$I$89,3,0)*VLOOKUP('Données projet'!$B$11,Paramètres!$A$1:$I$89,5,0)</f>
        <v>269.99232000000001</v>
      </c>
      <c r="BF80" s="13">
        <f t="shared" si="91"/>
        <v>64.847639395310296</v>
      </c>
      <c r="BG80" s="20">
        <f t="shared" si="61"/>
        <v>583.17959594683214</v>
      </c>
      <c r="BH80" s="59">
        <f t="shared" si="62"/>
        <v>876.51292928016551</v>
      </c>
      <c r="BI80" s="59">
        <f ca="1">AVERAGE(OFFSET($BH$3,0,0,'Données projet'!$E$11+1,1))-AVERAGE(OFFSET($H$3,0,0,'Données projet'!$E$11+1,1))</f>
        <v>405.7176439604217</v>
      </c>
      <c r="BJ80" s="59">
        <f t="shared" si="92"/>
        <v>278.21741231699929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2.8812747696508825</v>
      </c>
      <c r="BQ80" s="21">
        <f>EXP(-LN(2)/25)*BQ79+(1-EXP(-LN(2)/25))/(LN(2)/25)*Calculateur!BL80*Calculateur!BN80*VLOOKUP('Données projet'!$B$11,Paramètres!$A$1:$I$89,3,0)*0.475*44/12</f>
        <v>2.5442544575416366</v>
      </c>
      <c r="BR80" s="21">
        <f>EXP(-LN(2)/2)*BR79+(1-EXP(-LN(2)/2))/(LN(2)/2)*BL80*BO80*VLOOKUP('Données projet'!$B$11,Paramètres!$A$1:$I$89,3,0)*0.475*44/12</f>
        <v>7.1943259241731546E-7</v>
      </c>
      <c r="BS80" s="22">
        <f t="shared" si="63"/>
        <v>5.4255299466251117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1.9895196601282805E-13</v>
      </c>
      <c r="BZ80" s="13">
        <f>BY80*VLOOKUP('Données projet'!$B$12,Paramètres!$A$1:$I$89,3,0)*VLOOKUP('Données projet'!$B$12,Paramètres!$A$1:$I$89,5,0)</f>
        <v>1.738044375088066E-13</v>
      </c>
      <c r="CA80" s="13">
        <f t="shared" si="93"/>
        <v>2.4483293633950478E-12</v>
      </c>
      <c r="CB80" s="20">
        <f t="shared" si="64"/>
        <v>4.566883036574213E-12</v>
      </c>
      <c r="CC80" s="59">
        <f t="shared" si="65"/>
        <v>293.33333333333786</v>
      </c>
      <c r="CD80" s="59">
        <f ca="1">AVERAGE(OFFSET($CC$3,0,0,'Données projet'!$E$12+1,1))-AVERAGE(OFFSET($H$3,0,0,'Données projet'!$E$12+1,1))</f>
        <v>321.23599968992932</v>
      </c>
      <c r="CE80" s="59">
        <f t="shared" si="94"/>
        <v>388.05195847800502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1.4406901389815909</v>
      </c>
      <c r="CL80" s="21">
        <f>EXP(-LN(2)/25)*CL79+(1-EXP(-LN(2)/25))/(LN(2)/25)*Calculateur!CG80*Calculateur!CI80*VLOOKUP('Données projet'!$B$12,Paramètres!$A$1:$I$89,3,0)*0.475*44/12</f>
        <v>5.732390784530879</v>
      </c>
      <c r="CM80" s="21">
        <f>EXP(-LN(2)/2)*CM79+(1-EXP(-LN(2)/2))/(LN(2)/2)*CG80*CJ80*VLOOKUP('Données projet'!$B$12,Paramètres!$A$1:$I$89,3,0)*0.475*44/12</f>
        <v>1.0168250017654255E-6</v>
      </c>
      <c r="CN80" s="22">
        <f t="shared" si="66"/>
        <v>7.1730819403374717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7.5</v>
      </c>
      <c r="CT80" s="12">
        <f>IF('Données projet'!$A$140&gt;35,CT79+CS80-DB79,IF(A80&lt;'Données projet'!$A$140,$CQ$205^A80,IF(A80='Données projet'!$A$140,'Données projet'!$B$140,CT79+CS80-DB79)))</f>
        <v>219.50000000000003</v>
      </c>
      <c r="CU80" s="17">
        <f>CT80*VLOOKUP('Données projet'!$B$13,Paramètres!$A$1:$I$89,3,0)*VLOOKUP('Données projet'!$B$13,Paramètres!$A$1:$I$89,5,0)</f>
        <v>212.30040000000002</v>
      </c>
      <c r="CV80" s="13">
        <f t="shared" si="95"/>
        <v>52.437961786396215</v>
      </c>
      <c r="CW80" s="20">
        <f t="shared" si="67"/>
        <v>461.08598011130675</v>
      </c>
      <c r="CX80" s="59">
        <f t="shared" si="68"/>
        <v>754.41931344464001</v>
      </c>
      <c r="CY80" s="59">
        <f ca="1">AVERAGE(OFFSET($CX$3,0,0,'Données projet'!$E$13+1,1))-AVERAGE(OFFSET($H$3,0,0,'Données projet'!$E$13+1,1))</f>
        <v>399.24912109442175</v>
      </c>
      <c r="CZ80" s="59">
        <f t="shared" si="96"/>
        <v>269.83150082245305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7.5</v>
      </c>
      <c r="DO80" s="12">
        <f>IF('Données projet'!$A$166&gt;35,DO79+DN80-DW79,IF(A80&lt;'Données projet'!$A$166,$DL$205^A80,IF(A80='Données projet'!$A$166,'Données projet'!$B$166,DO79+DN80-DW79)))</f>
        <v>219.50000000000003</v>
      </c>
      <c r="DP80" s="17">
        <f>DO80*VLOOKUP('Données projet'!$B$14,Paramètres!$A$1:$I$89,3,0)*VLOOKUP('Données projet'!$B$14,Paramètres!$A$1:$I$89,5,0)</f>
        <v>236.26980000000003</v>
      </c>
      <c r="DQ80" s="13">
        <f t="shared" si="97"/>
        <v>57.636229562883841</v>
      </c>
      <c r="DR80" s="20">
        <f t="shared" si="70"/>
        <v>511.88633482202277</v>
      </c>
      <c r="DS80" s="59">
        <f t="shared" si="71"/>
        <v>805.21966815535609</v>
      </c>
      <c r="DT80" s="59">
        <f ca="1">AVERAGE(OFFSET($DS$3,0,0,'Données projet'!$E$14+1,1))-AVERAGE(OFFSET($H$3,0,0,'Données projet'!$E$14+1,1))</f>
        <v>439.66981240211362</v>
      </c>
      <c r="DU80" s="59">
        <f t="shared" si="98"/>
        <v>295.47805371292458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7.5</v>
      </c>
      <c r="EJ80" s="12">
        <f>IF('Données projet'!$A$192&gt;35,EJ79+EI80-ER79,IF(A80&lt;'Données projet'!$A$192,$EG$205^A80,IF(A80='Données projet'!$A$192,'Données projet'!$B$192,EJ79+EI80-ER79)))</f>
        <v>219.50000000000003</v>
      </c>
      <c r="EK80" s="17">
        <f>EJ80*VLOOKUP('Données projet'!$B$15,Paramètres!$A$1:$I$89,3,0)*VLOOKUP('Données projet'!$B$15,Paramètres!$A$1:$I$89,5,0)</f>
        <v>208.87620000000001</v>
      </c>
      <c r="EL80" s="13">
        <f t="shared" si="99"/>
        <v>51.689930484935289</v>
      </c>
      <c r="EM80" s="20">
        <f t="shared" si="73"/>
        <v>453.81934392792891</v>
      </c>
      <c r="EN80" s="59">
        <f t="shared" si="74"/>
        <v>747.15267726126217</v>
      </c>
      <c r="EO80" s="59">
        <f ca="1">AVERAGE(OFFSET($EN$3,0,0,'Données projet'!$E$15+1,1))-AVERAGE(OFFSET($H$3,0,0,'Données projet'!$E$15+1,1))</f>
        <v>393.46715670823653</v>
      </c>
      <c r="EP80" s="59">
        <f t="shared" si="100"/>
        <v>266.16261355327214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549.43232095729741</v>
      </c>
      <c r="T81" s="59">
        <f t="shared" si="88"/>
        <v>280.26155987300996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4.8424280473632013</v>
      </c>
      <c r="AA81" s="21">
        <f>EXP(-LN(2)/25)*AA80+(1-EXP(-LN(2)/25))/(LN(2)/25)*Calculateur!V81*Calculateur!X81*VLOOKUP('Données projet'!$B$9,Paramètres!$A$1:$I$89,3,0)*0.475*44/12</f>
        <v>2.5256932325443198</v>
      </c>
      <c r="AB81" s="21">
        <f>EXP(-LN(2)/2)*AB80+(1-EXP(-LN(2)/2))/(LN(2)/2)*V81*Y81*VLOOKUP('Données projet'!$B$9,Paramètres!$A$1:$I$89,3,0)*0.475*44/12</f>
        <v>2.6853042849636083E-7</v>
      </c>
      <c r="AC81" s="22">
        <f t="shared" si="57"/>
        <v>7.3681215484379496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348.62416478262719</v>
      </c>
      <c r="AO81" s="59">
        <f t="shared" si="90"/>
        <v>371.70674704563288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5.1193513827655099</v>
      </c>
      <c r="AV81" s="21">
        <f>EXP(-LN(2)/25)*AV80+(1-EXP(-LN(2)/25))/(LN(2)/25)*Calculateur!AQ81*Calculateur!AS81*VLOOKUP('Données projet'!$B$10,Paramètres!$A$1:$I$89,3,0)*0.475*44/12</f>
        <v>3.2260195245326178</v>
      </c>
      <c r="AW81" s="21">
        <f>EXP(-LN(2)/2)*AW80+(1-EXP(-LN(2)/2))/(LN(2)/2)*AQ81*AT81*VLOOKUP('Données projet'!$B$10,Paramètres!$A$1:$I$89,3,0)*0.475*44/12</f>
        <v>7.4240892448874262E-7</v>
      </c>
      <c r="AX81" s="21">
        <f t="shared" si="60"/>
        <v>8.3453716497070509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305.60000000000002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890.26372606671134</v>
      </c>
      <c r="BI81" s="59">
        <f ca="1">AVERAGE(OFFSET($BH$3,0,0,'Données projet'!$E$11+1,1))-AVERAGE(OFFSET($H$3,0,0,'Données projet'!$E$11+1,1))</f>
        <v>405.7176439604217</v>
      </c>
      <c r="BJ81" s="59">
        <f t="shared" si="92"/>
        <v>278.21741231699929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2.824774728822109</v>
      </c>
      <c r="BQ81" s="21">
        <f>EXP(-LN(2)/25)*BQ80+(1-EXP(-LN(2)/25))/(LN(2)/25)*Calculateur!BL81*Calculateur!BN81*VLOOKUP('Données projet'!$B$11,Paramètres!$A$1:$I$89,3,0)*0.475*44/12</f>
        <v>2.4746816856036338</v>
      </c>
      <c r="BR81" s="21">
        <f>EXP(-LN(2)/2)*BR80+(1-EXP(-LN(2)/2))/(LN(2)/2)*BL81*BO81*VLOOKUP('Données projet'!$B$11,Paramètres!$A$1:$I$89,3,0)*0.475*44/12</f>
        <v>5.0871566470490131E-7</v>
      </c>
      <c r="BS81" s="22">
        <f t="shared" si="63"/>
        <v>5.2994569231414079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1.9895196601282805E-13</v>
      </c>
      <c r="BZ81" s="13">
        <f>BY81*VLOOKUP('Données projet'!$B$12,Paramètres!$A$1:$I$89,3,0)*VLOOKUP('Données projet'!$B$12,Paramètres!$A$1:$I$89,5,0)</f>
        <v>1.738044375088066E-13</v>
      </c>
      <c r="CA81" s="13">
        <f t="shared" si="93"/>
        <v>2.4483293633950478E-12</v>
      </c>
      <c r="CB81" s="20">
        <f t="shared" si="64"/>
        <v>4.566883036574213E-12</v>
      </c>
      <c r="CC81" s="59">
        <f t="shared" si="65"/>
        <v>293.33333333333786</v>
      </c>
      <c r="CD81" s="59">
        <f ca="1">AVERAGE(OFFSET($CC$3,0,0,'Données projet'!$E$12+1,1))-AVERAGE(OFFSET($H$3,0,0,'Données projet'!$E$12+1,1))</f>
        <v>321.23599968992932</v>
      </c>
      <c r="CE81" s="59">
        <f t="shared" si="94"/>
        <v>388.05195847800502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1.4124390840903789</v>
      </c>
      <c r="CL81" s="21">
        <f>EXP(-LN(2)/25)*CL80+(1-EXP(-LN(2)/25))/(LN(2)/25)*Calculateur!CG81*Calculateur!CI81*VLOOKUP('Données projet'!$B$12,Paramètres!$A$1:$I$89,3,0)*0.475*44/12</f>
        <v>5.5756382570745524</v>
      </c>
      <c r="CM81" s="21">
        <f>EXP(-LN(2)/2)*CM80+(1-EXP(-LN(2)/2))/(LN(2)/2)*CG81*CJ81*VLOOKUP('Données projet'!$B$12,Paramètres!$A$1:$I$89,3,0)*0.475*44/12</f>
        <v>7.1900385402835551E-7</v>
      </c>
      <c r="CN81" s="22">
        <f t="shared" si="66"/>
        <v>6.9880780601687853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>
        <f>VLOOKUP(A81,'Données projet'!$A$139:$I$159,2,0)</f>
        <v>227</v>
      </c>
      <c r="CR81" s="12">
        <f>VLOOKUP(A81,'Données projet'!$A$139:$I$159,9,0)</f>
        <v>7.5</v>
      </c>
      <c r="CS81" s="12">
        <f t="array" ref="CS81">INDEX(CR:CR,MIN(IF(ISNUMBER(CR81:CR277),ROW(CR81:CR277),"")))</f>
        <v>7.5</v>
      </c>
      <c r="CT81" s="12">
        <f>IF('Données projet'!$A$140&gt;35,CT80+CS81-DB80,IF(A81&lt;'Données projet'!$A$140,$CQ$205^A81,IF(A81='Données projet'!$A$140,'Données projet'!$B$140,CT80+CS81-DB80)))</f>
        <v>227.00000000000003</v>
      </c>
      <c r="CU81" s="17">
        <f>CT81*VLOOKUP('Données projet'!$B$13,Paramètres!$A$1:$I$89,3,0)*VLOOKUP('Données projet'!$B$13,Paramètres!$A$1:$I$89,5,0)</f>
        <v>219.55440000000002</v>
      </c>
      <c r="CV81" s="13">
        <f t="shared" si="95"/>
        <v>54.018025336908551</v>
      </c>
      <c r="CW81" s="20">
        <f t="shared" si="67"/>
        <v>476.47197412844912</v>
      </c>
      <c r="CX81" s="59">
        <f t="shared" si="68"/>
        <v>769.80530746178238</v>
      </c>
      <c r="CY81" s="59">
        <f ca="1">AVERAGE(OFFSET($CX$3,0,0,'Données projet'!$E$13+1,1))-AVERAGE(OFFSET($H$3,0,0,'Données projet'!$E$13+1,1))</f>
        <v>399.24912109442175</v>
      </c>
      <c r="CZ81" s="59">
        <f t="shared" si="96"/>
        <v>269.83150082245305</v>
      </c>
      <c r="DA81" s="15">
        <f>IF(ISNA(VLOOKUP(A81,'Données projet'!$A$139:$I$159,3,0)),0,VLOOKUP(A81,'Données projet'!$A$139:$I$159,3,0))</f>
        <v>7</v>
      </c>
      <c r="DB81" s="15">
        <f>IF(ISNA(VLOOKUP(A81,'Données projet'!$A$139:$I$159,4,0)),0,VLOOKUP(A81,'Données projet'!$A$139:$I$159,4,0))</f>
        <v>42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>
        <f>VLOOKUP(A81,'Données projet'!$A$165:$I$185,2,0)</f>
        <v>227</v>
      </c>
      <c r="DM81" s="12">
        <f>VLOOKUP(A81,'Données projet'!$A$165:$I$185,9,0)</f>
        <v>7.5</v>
      </c>
      <c r="DN81" s="12">
        <f t="array" ref="DN81">INDEX(DM:DM,MIN(IF(ISNUMBER(DM81:DM277),ROW(DM81:DM277),"")))</f>
        <v>7.5</v>
      </c>
      <c r="DO81" s="12">
        <f>IF('Données projet'!$A$166&gt;35,DO80+DN81-DW80,IF(A81&lt;'Données projet'!$A$166,$DL$205^A81,IF(A81='Données projet'!$A$166,'Données projet'!$B$166,DO80+DN81-DW80)))</f>
        <v>227.00000000000003</v>
      </c>
      <c r="DP81" s="17">
        <f>DO81*VLOOKUP('Données projet'!$B$14,Paramètres!$A$1:$I$89,3,0)*VLOOKUP('Données projet'!$B$14,Paramètres!$A$1:$I$89,5,0)</f>
        <v>244.34280000000001</v>
      </c>
      <c r="DQ81" s="13">
        <f t="shared" si="97"/>
        <v>59.372927604128073</v>
      </c>
      <c r="DR81" s="20">
        <f t="shared" si="70"/>
        <v>528.97155891052296</v>
      </c>
      <c r="DS81" s="59">
        <f t="shared" si="71"/>
        <v>822.30489224385633</v>
      </c>
      <c r="DT81" s="59">
        <f ca="1">AVERAGE(OFFSET($DS$3,0,0,'Données projet'!$E$14+1,1))-AVERAGE(OFFSET($H$3,0,0,'Données projet'!$E$14+1,1))</f>
        <v>439.66981240211362</v>
      </c>
      <c r="DU81" s="59">
        <f t="shared" si="98"/>
        <v>295.47805371292458</v>
      </c>
      <c r="DV81" s="15">
        <f>IF(ISNA(VLOOKUP(A81,'Données projet'!$A$165:$I$185,3,0)),0,VLOOKUP(A81,'Données projet'!$A$165:$I$185,3,0))</f>
        <v>7</v>
      </c>
      <c r="DW81" s="15">
        <f>IF(ISNA(VLOOKUP(A81,'Données projet'!$A$165:$I$185,4,0)),0,VLOOKUP(A81,'Données projet'!$A$165:$I$185,4,0))</f>
        <v>42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>
        <f>VLOOKUP(A81,'Données projet'!$A$191:$I$211,2,0)</f>
        <v>227</v>
      </c>
      <c r="EH81" s="12">
        <f>VLOOKUP(A81,'Données projet'!$A$191:$I$211,9,0)</f>
        <v>7.5</v>
      </c>
      <c r="EI81" s="12">
        <f t="array" ref="EI81">INDEX(EH:EH,MIN(IF(ISNUMBER(EH81:EH277),ROW(EH81:EH277),"")))</f>
        <v>7.5</v>
      </c>
      <c r="EJ81" s="12">
        <f>IF('Données projet'!$A$192&gt;35,EJ80+EI81-ER80,IF(A81&lt;'Données projet'!$A$192,$EG$205^A81,IF(A81='Données projet'!$A$192,'Données projet'!$B$192,EJ80+EI81-ER80)))</f>
        <v>227.00000000000003</v>
      </c>
      <c r="EK81" s="17">
        <f>EJ81*VLOOKUP('Données projet'!$B$15,Paramètres!$A$1:$I$89,3,0)*VLOOKUP('Données projet'!$B$15,Paramètres!$A$1:$I$89,5,0)</f>
        <v>216.01320000000004</v>
      </c>
      <c r="EL81" s="13">
        <f t="shared" si="99"/>
        <v>53.247454315103504</v>
      </c>
      <c r="EM81" s="20">
        <f t="shared" si="73"/>
        <v>468.96230626547191</v>
      </c>
      <c r="EN81" s="59">
        <f t="shared" si="74"/>
        <v>762.29563959880522</v>
      </c>
      <c r="EO81" s="59">
        <f ca="1">AVERAGE(OFFSET($EN$3,0,0,'Données projet'!$E$15+1,1))-AVERAGE(OFFSET($H$3,0,0,'Données projet'!$E$15+1,1))</f>
        <v>393.46715670823653</v>
      </c>
      <c r="EP81" s="59">
        <f t="shared" si="100"/>
        <v>266.16261355327214</v>
      </c>
      <c r="EQ81" s="15">
        <f>IF(ISNA(VLOOKUP(A81,'Données projet'!$A$191:$I$211,3,0)),0,VLOOKUP(A81,'Données projet'!$A$191:$I$211,3,0))</f>
        <v>7</v>
      </c>
      <c r="ER81" s="15">
        <f>IF(ISNA(VLOOKUP(A81,'Données projet'!$A$191:$I$211,4,0)),0,VLOOKUP(A81,'Données projet'!$A$191:$I$211,4,0))</f>
        <v>42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549.43232095729741</v>
      </c>
      <c r="T82" s="59">
        <f t="shared" si="88"/>
        <v>280.26155987300996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4.7474709869438749</v>
      </c>
      <c r="AA82" s="21">
        <f>EXP(-LN(2)/25)*AA81+(1-EXP(-LN(2)/25))/(LN(2)/25)*Calculateur!V82*Calculateur!X82*VLOOKUP('Données projet'!$B$9,Paramètres!$A$1:$I$89,3,0)*0.475*44/12</f>
        <v>2.4566280182799609</v>
      </c>
      <c r="AB82" s="21">
        <f>EXP(-LN(2)/2)*AB81+(1-EXP(-LN(2)/2))/(LN(2)/2)*V82*Y82*VLOOKUP('Données projet'!$B$9,Paramètres!$A$1:$I$89,3,0)*0.475*44/12</f>
        <v>1.8987968694470607E-7</v>
      </c>
      <c r="AC82" s="22">
        <f t="shared" si="57"/>
        <v>7.2040991951035229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348.62416478262719</v>
      </c>
      <c r="AO82" s="59">
        <f t="shared" si="90"/>
        <v>371.70674704563288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5.0189640246455012</v>
      </c>
      <c r="AV82" s="21">
        <f>EXP(-LN(2)/25)*AV81+(1-EXP(-LN(2)/25))/(LN(2)/25)*Calculateur!AQ82*Calculateur!AS82*VLOOKUP('Données projet'!$B$10,Paramètres!$A$1:$I$89,3,0)*0.475*44/12</f>
        <v>3.1378038509852795</v>
      </c>
      <c r="AW82" s="21">
        <f>EXP(-LN(2)/2)*AW81+(1-EXP(-LN(2)/2))/(LN(2)/2)*AQ82*AT82*VLOOKUP('Données projet'!$B$10,Paramètres!$A$1:$I$89,3,0)*0.475*44/12</f>
        <v>5.2496238491940141E-7</v>
      </c>
      <c r="AX82" s="21">
        <f t="shared" si="60"/>
        <v>8.1567684005931653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312.8</v>
      </c>
      <c r="BE82" s="13">
        <f>BD82*VLOOKUP('Données projet'!$B$11,Paramètres!$A$1:$I$89,3,0)*VLOOKUP('Données projet'!$B$11,Paramètres!$A$1:$I$89,5,0)</f>
        <v>283.02144000000004</v>
      </c>
      <c r="BF82" s="13">
        <f t="shared" si="91"/>
        <v>67.605126603830598</v>
      </c>
      <c r="BG82" s="20">
        <f t="shared" si="61"/>
        <v>610.67460350167164</v>
      </c>
      <c r="BH82" s="59">
        <f t="shared" si="62"/>
        <v>904.00793683500501</v>
      </c>
      <c r="BI82" s="59">
        <f ca="1">AVERAGE(OFFSET($BH$3,0,0,'Données projet'!$E$11+1,1))-AVERAGE(OFFSET($H$3,0,0,'Données projet'!$E$11+1,1))</f>
        <v>405.7176439604217</v>
      </c>
      <c r="BJ82" s="59">
        <f t="shared" si="92"/>
        <v>278.21741231699929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2.7693826193323656</v>
      </c>
      <c r="BQ82" s="21">
        <f>EXP(-LN(2)/25)*BQ81+(1-EXP(-LN(2)/25))/(LN(2)/25)*Calculateur!BL82*Calculateur!BN82*VLOOKUP('Données projet'!$B$11,Paramètres!$A$1:$I$89,3,0)*0.475*44/12</f>
        <v>2.4070113847729484</v>
      </c>
      <c r="BR82" s="21">
        <f>EXP(-LN(2)/2)*BR81+(1-EXP(-LN(2)/2))/(LN(2)/2)*BL82*BO82*VLOOKUP('Données projet'!$B$11,Paramètres!$A$1:$I$89,3,0)*0.475*44/12</f>
        <v>3.5971629620865773E-7</v>
      </c>
      <c r="BS82" s="22">
        <f t="shared" si="63"/>
        <v>5.1763943638216094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1.9895196601282805E-13</v>
      </c>
      <c r="BZ82" s="13">
        <f>BY82*VLOOKUP('Données projet'!$B$12,Paramètres!$A$1:$I$89,3,0)*VLOOKUP('Données projet'!$B$12,Paramètres!$A$1:$I$89,5,0)</f>
        <v>1.738044375088066E-13</v>
      </c>
      <c r="CA82" s="13">
        <f t="shared" si="93"/>
        <v>2.4483293633950478E-12</v>
      </c>
      <c r="CB82" s="20">
        <f t="shared" si="64"/>
        <v>4.566883036574213E-12</v>
      </c>
      <c r="CC82" s="59">
        <f t="shared" si="65"/>
        <v>293.33333333333786</v>
      </c>
      <c r="CD82" s="59">
        <f ca="1">AVERAGE(OFFSET($CC$3,0,0,'Données projet'!$E$12+1,1))-AVERAGE(OFFSET($H$3,0,0,'Données projet'!$E$12+1,1))</f>
        <v>321.23599968992932</v>
      </c>
      <c r="CE82" s="59">
        <f t="shared" si="94"/>
        <v>388.05195847800502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1.3847420151541414</v>
      </c>
      <c r="CL82" s="21">
        <f>EXP(-LN(2)/25)*CL81+(1-EXP(-LN(2)/25))/(LN(2)/25)*Calculateur!CG82*Calculateur!CI82*VLOOKUP('Données projet'!$B$12,Paramètres!$A$1:$I$89,3,0)*0.475*44/12</f>
        <v>5.4231721357247764</v>
      </c>
      <c r="CM82" s="21">
        <f>EXP(-LN(2)/2)*CM81+(1-EXP(-LN(2)/2))/(LN(2)/2)*CG82*CJ82*VLOOKUP('Données projet'!$B$12,Paramètres!$A$1:$I$89,3,0)*0.475*44/12</f>
        <v>5.0841250088271273E-7</v>
      </c>
      <c r="CN82" s="22">
        <f t="shared" si="66"/>
        <v>6.8079146592914181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6.4444444444444446</v>
      </c>
      <c r="CT82" s="12">
        <f>IF('Données projet'!$A$140&gt;35,CT81+CS82-DB81,IF(A82&lt;'Données projet'!$A$140,$CQ$205^A82,IF(A82='Données projet'!$A$140,'Données projet'!$B$140,CT81+CS82-DB81)))</f>
        <v>191.44444444444449</v>
      </c>
      <c r="CU82" s="17">
        <f>CT82*VLOOKUP('Données projet'!$B$13,Paramètres!$A$1:$I$89,3,0)*VLOOKUP('Données projet'!$B$13,Paramètres!$A$1:$I$89,5,0)</f>
        <v>185.16506666666672</v>
      </c>
      <c r="CV82" s="13">
        <f t="shared" si="95"/>
        <v>46.469419431531492</v>
      </c>
      <c r="CW82" s="20">
        <f t="shared" si="67"/>
        <v>403.43006328769519</v>
      </c>
      <c r="CX82" s="59">
        <f t="shared" si="68"/>
        <v>696.76339662102851</v>
      </c>
      <c r="CY82" s="59">
        <f ca="1">AVERAGE(OFFSET($CX$3,0,0,'Données projet'!$E$13+1,1))-AVERAGE(OFFSET($H$3,0,0,'Données projet'!$E$13+1,1))</f>
        <v>399.24912109442175</v>
      </c>
      <c r="CZ82" s="59">
        <f t="shared" si="96"/>
        <v>269.83150082245305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6.4444444444444446</v>
      </c>
      <c r="DO82" s="12">
        <f>IF('Données projet'!$A$166&gt;35,DO81+DN82-DW81,IF(A82&lt;'Données projet'!$A$166,$DL$205^A82,IF(A82='Données projet'!$A$166,'Données projet'!$B$166,DO81+DN82-DW81)))</f>
        <v>191.44444444444449</v>
      </c>
      <c r="DP82" s="17">
        <f>DO82*VLOOKUP('Données projet'!$B$14,Paramètres!$A$1:$I$89,3,0)*VLOOKUP('Données projet'!$B$14,Paramètres!$A$1:$I$89,5,0)</f>
        <v>206.07080000000005</v>
      </c>
      <c r="DQ82" s="13">
        <f t="shared" si="97"/>
        <v>51.076015061754575</v>
      </c>
      <c r="DR82" s="20">
        <f t="shared" si="70"/>
        <v>447.86403623255592</v>
      </c>
      <c r="DS82" s="59">
        <f t="shared" si="71"/>
        <v>741.19736956588918</v>
      </c>
      <c r="DT82" s="59">
        <f ca="1">AVERAGE(OFFSET($DS$3,0,0,'Données projet'!$E$14+1,1))-AVERAGE(OFFSET($H$3,0,0,'Données projet'!$E$14+1,1))</f>
        <v>439.66981240211362</v>
      </c>
      <c r="DU82" s="59">
        <f t="shared" si="98"/>
        <v>295.47805371292458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6.4444444444444446</v>
      </c>
      <c r="EJ82" s="12">
        <f>IF('Données projet'!$A$192&gt;35,EJ81+EI82-ER81,IF(A82&lt;'Données projet'!$A$192,$EG$205^A82,IF(A82='Données projet'!$A$192,'Données projet'!$B$192,EJ81+EI82-ER81)))</f>
        <v>191.44444444444449</v>
      </c>
      <c r="EK82" s="17">
        <f>EJ82*VLOOKUP('Données projet'!$B$15,Paramètres!$A$1:$I$89,3,0)*VLOOKUP('Données projet'!$B$15,Paramètres!$A$1:$I$89,5,0)</f>
        <v>182.17853333333338</v>
      </c>
      <c r="EL82" s="13">
        <f t="shared" si="99"/>
        <v>45.806529816616667</v>
      </c>
      <c r="EM82" s="20">
        <f t="shared" si="73"/>
        <v>397.07398498616294</v>
      </c>
      <c r="EN82" s="59">
        <f t="shared" si="74"/>
        <v>690.4073183194962</v>
      </c>
      <c r="EO82" s="59">
        <f ca="1">AVERAGE(OFFSET($EN$3,0,0,'Données projet'!$E$15+1,1))-AVERAGE(OFFSET($H$3,0,0,'Données projet'!$E$15+1,1))</f>
        <v>393.46715670823653</v>
      </c>
      <c r="EP82" s="59">
        <f t="shared" si="100"/>
        <v>266.16261355327214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549.43232095729741</v>
      </c>
      <c r="T83" s="59">
        <f t="shared" si="88"/>
        <v>280.26155987300996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4.6543759765612842</v>
      </c>
      <c r="AA83" s="21">
        <f>EXP(-LN(2)/25)*AA82+(1-EXP(-LN(2)/25))/(LN(2)/25)*Calculateur!V83*Calculateur!X83*VLOOKUP('Données projet'!$B$9,Paramètres!$A$1:$I$89,3,0)*0.475*44/12</f>
        <v>2.3894513959316428</v>
      </c>
      <c r="AB83" s="21">
        <f>EXP(-LN(2)/2)*AB82+(1-EXP(-LN(2)/2))/(LN(2)/2)*V83*Y83*VLOOKUP('Données projet'!$B$9,Paramètres!$A$1:$I$89,3,0)*0.475*44/12</f>
        <v>1.3426521424818042E-7</v>
      </c>
      <c r="AC83" s="22">
        <f t="shared" si="57"/>
        <v>7.0438275067581415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348.62416478262719</v>
      </c>
      <c r="AO83" s="59">
        <f t="shared" si="90"/>
        <v>371.70674704563288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4.9205452013879833</v>
      </c>
      <c r="AV83" s="21">
        <f>EXP(-LN(2)/25)*AV82+(1-EXP(-LN(2)/25))/(LN(2)/25)*Calculateur!AQ83*Calculateur!AS83*VLOOKUP('Données projet'!$B$10,Paramètres!$A$1:$I$89,3,0)*0.475*44/12</f>
        <v>3.0520004396701541</v>
      </c>
      <c r="AW83" s="21">
        <f>EXP(-LN(2)/2)*AW82+(1-EXP(-LN(2)/2))/(LN(2)/2)*AQ83*AT83*VLOOKUP('Données projet'!$B$10,Paramètres!$A$1:$I$89,3,0)*0.475*44/12</f>
        <v>3.7120446224437131E-7</v>
      </c>
      <c r="AX83" s="21">
        <f t="shared" si="60"/>
        <v>7.9725460122625993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320</v>
      </c>
      <c r="BE83" s="13">
        <f>BD83*VLOOKUP('Données projet'!$B$11,Paramètres!$A$1:$I$89,3,0)*VLOOKUP('Données projet'!$B$11,Paramètres!$A$1:$I$89,5,0)</f>
        <v>289.536</v>
      </c>
      <c r="BF83" s="13">
        <f t="shared" si="91"/>
        <v>68.97829509904436</v>
      </c>
      <c r="BG83" s="20">
        <f t="shared" si="61"/>
        <v>624.41239729750225</v>
      </c>
      <c r="BH83" s="59">
        <f t="shared" si="62"/>
        <v>917.74573063083562</v>
      </c>
      <c r="BI83" s="59">
        <f ca="1">AVERAGE(OFFSET($BH$3,0,0,'Données projet'!$E$11+1,1))-AVERAGE(OFFSET($H$3,0,0,'Données projet'!$E$11+1,1))</f>
        <v>405.7176439604217</v>
      </c>
      <c r="BJ83" s="59">
        <f t="shared" si="92"/>
        <v>278.21741231699929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2.7150767153238653</v>
      </c>
      <c r="BQ83" s="21">
        <f>EXP(-LN(2)/25)*BQ82+(1-EXP(-LN(2)/25))/(LN(2)/25)*Calculateur!BL83*Calculateur!BN83*VLOOKUP('Données projet'!$B$11,Paramètres!$A$1:$I$89,3,0)*0.475*44/12</f>
        <v>2.3411915318771048</v>
      </c>
      <c r="BR83" s="21">
        <f>EXP(-LN(2)/2)*BR82+(1-EXP(-LN(2)/2))/(LN(2)/2)*BL83*BO83*VLOOKUP('Données projet'!$B$11,Paramètres!$A$1:$I$89,3,0)*0.475*44/12</f>
        <v>2.5435783235245065E-7</v>
      </c>
      <c r="BS83" s="22">
        <f t="shared" si="63"/>
        <v>5.0562685015588027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1.9895196601282805E-13</v>
      </c>
      <c r="BZ83" s="13">
        <f>BY83*VLOOKUP('Données projet'!$B$12,Paramètres!$A$1:$I$89,3,0)*VLOOKUP('Données projet'!$B$12,Paramètres!$A$1:$I$89,5,0)</f>
        <v>1.738044375088066E-13</v>
      </c>
      <c r="CA83" s="13">
        <f t="shared" si="93"/>
        <v>2.4483293633950478E-12</v>
      </c>
      <c r="CB83" s="20">
        <f t="shared" si="64"/>
        <v>4.566883036574213E-12</v>
      </c>
      <c r="CC83" s="59">
        <f t="shared" si="65"/>
        <v>293.33333333333786</v>
      </c>
      <c r="CD83" s="59">
        <f ca="1">AVERAGE(OFFSET($CC$3,0,0,'Données projet'!$E$12+1,1))-AVERAGE(OFFSET($H$3,0,0,'Données projet'!$E$12+1,1))</f>
        <v>321.23599968992932</v>
      </c>
      <c r="CE83" s="59">
        <f t="shared" si="94"/>
        <v>388.05195847800502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1.3575880688461996</v>
      </c>
      <c r="CL83" s="21">
        <f>EXP(-LN(2)/25)*CL82+(1-EXP(-LN(2)/25))/(LN(2)/25)*Calculateur!CG83*Calculateur!CI83*VLOOKUP('Données projet'!$B$12,Paramètres!$A$1:$I$89,3,0)*0.475*44/12</f>
        <v>5.2748752084811548</v>
      </c>
      <c r="CM83" s="21">
        <f>EXP(-LN(2)/2)*CM82+(1-EXP(-LN(2)/2))/(LN(2)/2)*CG83*CJ83*VLOOKUP('Données projet'!$B$12,Paramètres!$A$1:$I$89,3,0)*0.475*44/12</f>
        <v>3.5950192701417776E-7</v>
      </c>
      <c r="CN83" s="22">
        <f t="shared" si="66"/>
        <v>6.6324636368292813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6.4444444444444446</v>
      </c>
      <c r="CT83" s="12">
        <f>IF('Données projet'!$A$140&gt;35,CT82+CS83-DB82,IF(A83&lt;'Données projet'!$A$140,$CQ$205^A83,IF(A83='Données projet'!$A$140,'Données projet'!$B$140,CT82+CS83-DB82)))</f>
        <v>197.88888888888894</v>
      </c>
      <c r="CU83" s="17">
        <f>CT83*VLOOKUP('Données projet'!$B$13,Paramètres!$A$1:$I$89,3,0)*VLOOKUP('Données projet'!$B$13,Paramètres!$A$1:$I$89,5,0)</f>
        <v>191.39813333333339</v>
      </c>
      <c r="CV83" s="13">
        <f t="shared" si="95"/>
        <v>47.848928259801426</v>
      </c>
      <c r="CW83" s="20">
        <f t="shared" si="67"/>
        <v>416.68863227470979</v>
      </c>
      <c r="CX83" s="59">
        <f t="shared" si="68"/>
        <v>710.02196560804305</v>
      </c>
      <c r="CY83" s="59">
        <f ca="1">AVERAGE(OFFSET($CX$3,0,0,'Données projet'!$E$13+1,1))-AVERAGE(OFFSET($H$3,0,0,'Données projet'!$E$13+1,1))</f>
        <v>399.24912109442175</v>
      </c>
      <c r="CZ83" s="59">
        <f t="shared" si="96"/>
        <v>269.83150082245305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6.4444444444444446</v>
      </c>
      <c r="DO83" s="12">
        <f>IF('Données projet'!$A$166&gt;35,DO82+DN83-DW82,IF(A83&lt;'Données projet'!$A$166,$DL$205^A83,IF(A83='Données projet'!$A$166,'Données projet'!$B$166,DO82+DN83-DW82)))</f>
        <v>197.88888888888894</v>
      </c>
      <c r="DP83" s="17">
        <f>DO83*VLOOKUP('Données projet'!$B$14,Paramètres!$A$1:$I$89,3,0)*VLOOKUP('Données projet'!$B$14,Paramètres!$A$1:$I$89,5,0)</f>
        <v>213.00760000000002</v>
      </c>
      <c r="DQ83" s="13">
        <f t="shared" si="97"/>
        <v>52.592277036887637</v>
      </c>
      <c r="DR83" s="20">
        <f t="shared" si="70"/>
        <v>462.58645250591263</v>
      </c>
      <c r="DS83" s="59">
        <f t="shared" si="71"/>
        <v>755.91978583924595</v>
      </c>
      <c r="DT83" s="59">
        <f ca="1">AVERAGE(OFFSET($DS$3,0,0,'Données projet'!$E$14+1,1))-AVERAGE(OFFSET($H$3,0,0,'Données projet'!$E$14+1,1))</f>
        <v>439.66981240211362</v>
      </c>
      <c r="DU83" s="59">
        <f t="shared" si="98"/>
        <v>295.47805371292458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6.4444444444444446</v>
      </c>
      <c r="EJ83" s="12">
        <f>IF('Données projet'!$A$192&gt;35,EJ82+EI83-ER82,IF(A83&lt;'Données projet'!$A$192,$EG$205^A83,IF(A83='Données projet'!$A$192,'Données projet'!$B$192,EJ82+EI83-ER82)))</f>
        <v>197.88888888888894</v>
      </c>
      <c r="EK83" s="17">
        <f>EJ83*VLOOKUP('Données projet'!$B$15,Paramètres!$A$1:$I$89,3,0)*VLOOKUP('Données projet'!$B$15,Paramètres!$A$1:$I$89,5,0)</f>
        <v>188.31106666666673</v>
      </c>
      <c r="EL83" s="13">
        <f t="shared" si="99"/>
        <v>47.166359852099212</v>
      </c>
      <c r="EM83" s="20">
        <f t="shared" si="73"/>
        <v>410.123184520184</v>
      </c>
      <c r="EN83" s="59">
        <f t="shared" si="74"/>
        <v>703.45651785351731</v>
      </c>
      <c r="EO83" s="59">
        <f ca="1">AVERAGE(OFFSET($EN$3,0,0,'Données projet'!$E$15+1,1))-AVERAGE(OFFSET($H$3,0,0,'Données projet'!$E$15+1,1))</f>
        <v>393.46715670823653</v>
      </c>
      <c r="EP83" s="59">
        <f t="shared" si="100"/>
        <v>266.16261355327214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549.43232095729741</v>
      </c>
      <c r="T84" s="59">
        <f t="shared" si="88"/>
        <v>280.26155987300996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4.563106502549946</v>
      </c>
      <c r="AA84" s="21">
        <f>EXP(-LN(2)/25)*AA83+(1-EXP(-LN(2)/25))/(LN(2)/25)*Calculateur!V84*Calculateur!X84*VLOOKUP('Données projet'!$B$9,Paramètres!$A$1:$I$89,3,0)*0.475*44/12</f>
        <v>2.3241117218541043</v>
      </c>
      <c r="AB84" s="21">
        <f>EXP(-LN(2)/2)*AB83+(1-EXP(-LN(2)/2))/(LN(2)/2)*V84*Y84*VLOOKUP('Données projet'!$B$9,Paramètres!$A$1:$I$89,3,0)*0.475*44/12</f>
        <v>9.4939843472353033E-8</v>
      </c>
      <c r="AC84" s="22">
        <f t="shared" si="57"/>
        <v>6.8872183193438934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348.62416478262719</v>
      </c>
      <c r="AO84" s="59">
        <f t="shared" si="90"/>
        <v>371.70674704563288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4.8240563112249903</v>
      </c>
      <c r="AV84" s="21">
        <f>EXP(-LN(2)/25)*AV83+(1-EXP(-LN(2)/25))/(LN(2)/25)*Calculateur!AQ84*Calculateur!AS84*VLOOKUP('Données projet'!$B$10,Paramètres!$A$1:$I$89,3,0)*0.475*44/12</f>
        <v>2.968543327149646</v>
      </c>
      <c r="AW84" s="21">
        <f>EXP(-LN(2)/2)*AW83+(1-EXP(-LN(2)/2))/(LN(2)/2)*AQ84*AT84*VLOOKUP('Données projet'!$B$10,Paramètres!$A$1:$I$89,3,0)*0.475*44/12</f>
        <v>2.624811924597007E-7</v>
      </c>
      <c r="AX84" s="21">
        <f t="shared" si="60"/>
        <v>7.7925999008558282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6.8</v>
      </c>
      <c r="BD84" s="12">
        <f>IF('Données projet'!$A$88&gt;35,BD83+BC84-BL83,IF(A84&lt;'Données projet'!$A$88,$BA$205^A84,IF(A84='Données projet'!$A$88,'Données projet'!$B$88,BD83+BC84-BL83)))</f>
        <v>298.8</v>
      </c>
      <c r="BE84" s="13">
        <f>BD84*VLOOKUP('Données projet'!$B$11,Paramètres!$A$1:$I$89,3,0)*VLOOKUP('Données projet'!$B$11,Paramètres!$A$1:$I$89,5,0)</f>
        <v>270.35424</v>
      </c>
      <c r="BF84" s="13">
        <f t="shared" si="91"/>
        <v>64.924442218534367</v>
      </c>
      <c r="BG84" s="20">
        <f t="shared" si="61"/>
        <v>583.94370486394735</v>
      </c>
      <c r="BH84" s="59">
        <f t="shared" si="62"/>
        <v>877.27703819728072</v>
      </c>
      <c r="BI84" s="59">
        <f ca="1">AVERAGE(OFFSET($BH$3,0,0,'Données projet'!$E$11+1,1))-AVERAGE(OFFSET($H$3,0,0,'Données projet'!$E$11+1,1))</f>
        <v>405.7176439604217</v>
      </c>
      <c r="BJ84" s="59">
        <f t="shared" si="92"/>
        <v>278.21741231699929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2.6618357169696409</v>
      </c>
      <c r="BQ84" s="21">
        <f>EXP(-LN(2)/25)*BQ83+(1-EXP(-LN(2)/25))/(LN(2)/25)*Calculateur!BL84*Calculateur!BN84*VLOOKUP('Données projet'!$B$11,Paramètres!$A$1:$I$89,3,0)*0.475*44/12</f>
        <v>2.2771715263200134</v>
      </c>
      <c r="BR84" s="21">
        <f>EXP(-LN(2)/2)*BR83+(1-EXP(-LN(2)/2))/(LN(2)/2)*BL84*BO84*VLOOKUP('Données projet'!$B$11,Paramètres!$A$1:$I$89,3,0)*0.475*44/12</f>
        <v>1.7985814810432887E-7</v>
      </c>
      <c r="BS84" s="22">
        <f t="shared" si="63"/>
        <v>4.9390074231478023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1.9895196601282805E-13</v>
      </c>
      <c r="BZ84" s="13">
        <f>BY84*VLOOKUP('Données projet'!$B$12,Paramètres!$A$1:$I$89,3,0)*VLOOKUP('Données projet'!$B$12,Paramètres!$A$1:$I$89,5,0)</f>
        <v>1.738044375088066E-13</v>
      </c>
      <c r="CA84" s="13">
        <f t="shared" si="93"/>
        <v>2.4483293633950478E-12</v>
      </c>
      <c r="CB84" s="20">
        <f t="shared" si="64"/>
        <v>4.566883036574213E-12</v>
      </c>
      <c r="CC84" s="59">
        <f t="shared" si="65"/>
        <v>293.33333333333786</v>
      </c>
      <c r="CD84" s="59">
        <f ca="1">AVERAGE(OFFSET($CC$3,0,0,'Données projet'!$E$12+1,1))-AVERAGE(OFFSET($H$3,0,0,'Données projet'!$E$12+1,1))</f>
        <v>321.23599968992932</v>
      </c>
      <c r="CE84" s="59">
        <f t="shared" si="94"/>
        <v>388.05195847800502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1.3309665948630849</v>
      </c>
      <c r="CL84" s="21">
        <f>EXP(-LN(2)/25)*CL83+(1-EXP(-LN(2)/25))/(LN(2)/25)*Calculateur!CG84*Calculateur!CI84*VLOOKUP('Données projet'!$B$12,Paramètres!$A$1:$I$89,3,0)*0.475*44/12</f>
        <v>5.130633468511606</v>
      </c>
      <c r="CM84" s="21">
        <f>EXP(-LN(2)/2)*CM83+(1-EXP(-LN(2)/2))/(LN(2)/2)*CG84*CJ84*VLOOKUP('Données projet'!$B$12,Paramètres!$A$1:$I$89,3,0)*0.475*44/12</f>
        <v>2.5420625044135636E-7</v>
      </c>
      <c r="CN84" s="22">
        <f t="shared" si="66"/>
        <v>6.4616003175809418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6.4444444444444446</v>
      </c>
      <c r="CT84" s="12">
        <f>IF('Données projet'!$A$140&gt;35,CT83+CS84-DB83,IF(A84&lt;'Données projet'!$A$140,$CQ$205^A84,IF(A84='Données projet'!$A$140,'Données projet'!$B$140,CT83+CS84-DB83)))</f>
        <v>204.3333333333334</v>
      </c>
      <c r="CU84" s="17">
        <f>CT84*VLOOKUP('Données projet'!$B$13,Paramètres!$A$1:$I$89,3,0)*VLOOKUP('Données projet'!$B$13,Paramètres!$A$1:$I$89,5,0)</f>
        <v>197.63120000000006</v>
      </c>
      <c r="CV84" s="13">
        <f t="shared" si="95"/>
        <v>49.223216736286389</v>
      </c>
      <c r="CW84" s="20">
        <f t="shared" si="67"/>
        <v>429.93810914903224</v>
      </c>
      <c r="CX84" s="59">
        <f t="shared" si="68"/>
        <v>723.2714424823655</v>
      </c>
      <c r="CY84" s="59">
        <f ca="1">AVERAGE(OFFSET($CX$3,0,0,'Données projet'!$E$13+1,1))-AVERAGE(OFFSET($H$3,0,0,'Données projet'!$E$13+1,1))</f>
        <v>399.24912109442175</v>
      </c>
      <c r="CZ84" s="59">
        <f t="shared" si="96"/>
        <v>269.83150082245305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6.4444444444444446</v>
      </c>
      <c r="DO84" s="12">
        <f>IF('Données projet'!$A$166&gt;35,DO83+DN84-DW83,IF(A84&lt;'Données projet'!$A$166,$DL$205^A84,IF(A84='Données projet'!$A$166,'Données projet'!$B$166,DO83+DN84-DW83)))</f>
        <v>204.3333333333334</v>
      </c>
      <c r="DP84" s="17">
        <f>DO84*VLOOKUP('Données projet'!$B$14,Paramètres!$A$1:$I$89,3,0)*VLOOKUP('Données projet'!$B$14,Paramètres!$A$1:$I$89,5,0)</f>
        <v>219.94440000000006</v>
      </c>
      <c r="DQ84" s="13">
        <f t="shared" si="97"/>
        <v>54.102801157542146</v>
      </c>
      <c r="DR84" s="20">
        <f t="shared" si="70"/>
        <v>477.29887534938598</v>
      </c>
      <c r="DS84" s="59">
        <f t="shared" si="71"/>
        <v>770.63220868271924</v>
      </c>
      <c r="DT84" s="59">
        <f ca="1">AVERAGE(OFFSET($DS$3,0,0,'Données projet'!$E$14+1,1))-AVERAGE(OFFSET($H$3,0,0,'Données projet'!$E$14+1,1))</f>
        <v>439.66981240211362</v>
      </c>
      <c r="DU84" s="59">
        <f t="shared" si="98"/>
        <v>295.47805371292458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6.4444444444444446</v>
      </c>
      <c r="EJ84" s="12">
        <f>IF('Données projet'!$A$192&gt;35,EJ83+EI84-ER83,IF(A84&lt;'Données projet'!$A$192,$EG$205^A84,IF(A84='Données projet'!$A$192,'Données projet'!$B$192,EJ83+EI84-ER83)))</f>
        <v>204.3333333333334</v>
      </c>
      <c r="EK84" s="17">
        <f>EJ84*VLOOKUP('Données projet'!$B$15,Paramètres!$A$1:$I$89,3,0)*VLOOKUP('Données projet'!$B$15,Paramètres!$A$1:$I$89,5,0)</f>
        <v>194.44360000000006</v>
      </c>
      <c r="EL84" s="13">
        <f t="shared" si="99"/>
        <v>48.521044004490967</v>
      </c>
      <c r="EM84" s="20">
        <f t="shared" si="73"/>
        <v>423.16342164115514</v>
      </c>
      <c r="EN84" s="59">
        <f t="shared" si="74"/>
        <v>716.49675497448845</v>
      </c>
      <c r="EO84" s="59">
        <f ca="1">AVERAGE(OFFSET($EN$3,0,0,'Données projet'!$E$15+1,1))-AVERAGE(OFFSET($H$3,0,0,'Données projet'!$E$15+1,1))</f>
        <v>393.46715670823653</v>
      </c>
      <c r="EP84" s="59">
        <f t="shared" si="100"/>
        <v>266.16261355327214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549.43232095729741</v>
      </c>
      <c r="T85" s="59">
        <f t="shared" si="88"/>
        <v>280.26155987300996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4.4736267672550882</v>
      </c>
      <c r="AA85" s="21">
        <f>EXP(-LN(2)/25)*AA84+(1-EXP(-LN(2)/25))/(LN(2)/25)*Calculateur!V85*Calculateur!X85*VLOOKUP('Données projet'!$B$9,Paramètres!$A$1:$I$89,3,0)*0.475*44/12</f>
        <v>2.26055876460028</v>
      </c>
      <c r="AB85" s="21">
        <f>EXP(-LN(2)/2)*AB84+(1-EXP(-LN(2)/2))/(LN(2)/2)*V85*Y85*VLOOKUP('Données projet'!$B$9,Paramètres!$A$1:$I$89,3,0)*0.475*44/12</f>
        <v>6.7132607124090208E-8</v>
      </c>
      <c r="AC85" s="22">
        <f t="shared" si="57"/>
        <v>6.7341855989879758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348.62416478262719</v>
      </c>
      <c r="AO85" s="59">
        <f t="shared" si="90"/>
        <v>371.70674704563288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4.7294595093456815</v>
      </c>
      <c r="AV85" s="21">
        <f>EXP(-LN(2)/25)*AV84+(1-EXP(-LN(2)/25))/(LN(2)/25)*Calculateur!AQ85*Calculateur!AS85*VLOOKUP('Données projet'!$B$10,Paramètres!$A$1:$I$89,3,0)*0.475*44/12</f>
        <v>2.8873683537598298</v>
      </c>
      <c r="AW85" s="21">
        <f>EXP(-LN(2)/2)*AW84+(1-EXP(-LN(2)/2))/(LN(2)/2)*AQ85*AT85*VLOOKUP('Données projet'!$B$10,Paramètres!$A$1:$I$89,3,0)*0.475*44/12</f>
        <v>1.8560223112218565E-7</v>
      </c>
      <c r="AX85" s="21">
        <f t="shared" si="60"/>
        <v>7.6168280487077427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6.8</v>
      </c>
      <c r="BD85" s="12">
        <f>IF('Données projet'!$A$88&gt;35,BD84+BC85-BL84,IF(A85&lt;'Données projet'!$A$88,$BA$205^A85,IF(A85='Données projet'!$A$88,'Données projet'!$B$88,BD84+BC85-BL84)))</f>
        <v>305.60000000000002</v>
      </c>
      <c r="BE85" s="13">
        <f>BD85*VLOOKUP('Données projet'!$B$11,Paramètres!$A$1:$I$89,3,0)*VLOOKUP('Données projet'!$B$11,Paramètres!$A$1:$I$89,5,0)</f>
        <v>276.50687999999997</v>
      </c>
      <c r="BF85" s="13">
        <f t="shared" si="91"/>
        <v>66.228273722513677</v>
      </c>
      <c r="BG85" s="20">
        <f t="shared" si="61"/>
        <v>596.93039273337797</v>
      </c>
      <c r="BH85" s="59">
        <f t="shared" si="62"/>
        <v>890.26372606671134</v>
      </c>
      <c r="BI85" s="59">
        <f ca="1">AVERAGE(OFFSET($BH$3,0,0,'Données projet'!$E$11+1,1))-AVERAGE(OFFSET($H$3,0,0,'Données projet'!$E$11+1,1))</f>
        <v>405.7176439604217</v>
      </c>
      <c r="BJ85" s="59">
        <f t="shared" si="92"/>
        <v>278.21741231699929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2.6096387421193405</v>
      </c>
      <c r="BQ85" s="21">
        <f>EXP(-LN(2)/25)*BQ84+(1-EXP(-LN(2)/25))/(LN(2)/25)*Calculateur!BL85*Calculateur!BN85*VLOOKUP('Données projet'!$B$11,Paramètres!$A$1:$I$89,3,0)*0.475*44/12</f>
        <v>2.2149021511815468</v>
      </c>
      <c r="BR85" s="21">
        <f>EXP(-LN(2)/2)*BR84+(1-EXP(-LN(2)/2))/(LN(2)/2)*BL85*BO85*VLOOKUP('Données projet'!$B$11,Paramètres!$A$1:$I$89,3,0)*0.475*44/12</f>
        <v>1.2717891617622533E-7</v>
      </c>
      <c r="BS85" s="22">
        <f t="shared" si="63"/>
        <v>4.8245410204798036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1.9895196601282805E-13</v>
      </c>
      <c r="BZ85" s="13">
        <f>BY85*VLOOKUP('Données projet'!$B$12,Paramètres!$A$1:$I$89,3,0)*VLOOKUP('Données projet'!$B$12,Paramètres!$A$1:$I$89,5,0)</f>
        <v>1.738044375088066E-13</v>
      </c>
      <c r="CA85" s="13">
        <f t="shared" si="93"/>
        <v>2.4483293633950478E-12</v>
      </c>
      <c r="CB85" s="20">
        <f t="shared" si="64"/>
        <v>4.566883036574213E-12</v>
      </c>
      <c r="CC85" s="59">
        <f t="shared" si="65"/>
        <v>293.33333333333786</v>
      </c>
      <c r="CD85" s="59">
        <f ca="1">AVERAGE(OFFSET($CC$3,0,0,'Données projet'!$E$12+1,1))-AVERAGE(OFFSET($H$3,0,0,'Données projet'!$E$12+1,1))</f>
        <v>321.23599968992932</v>
      </c>
      <c r="CE85" s="59">
        <f t="shared" si="94"/>
        <v>388.05195847800502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1.3048671517472832</v>
      </c>
      <c r="CL85" s="21">
        <f>EXP(-LN(2)/25)*CL84+(1-EXP(-LN(2)/25))/(LN(2)/25)*Calculateur!CG85*Calculateur!CI85*VLOOKUP('Données projet'!$B$12,Paramètres!$A$1:$I$89,3,0)*0.475*44/12</f>
        <v>4.9903360265068679</v>
      </c>
      <c r="CM85" s="21">
        <f>EXP(-LN(2)/2)*CM84+(1-EXP(-LN(2)/2))/(LN(2)/2)*CG85*CJ85*VLOOKUP('Données projet'!$B$12,Paramètres!$A$1:$I$89,3,0)*0.475*44/12</f>
        <v>1.7975096350708888E-7</v>
      </c>
      <c r="CN85" s="22">
        <f t="shared" si="66"/>
        <v>6.2952033580051143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6.4444444444444446</v>
      </c>
      <c r="CT85" s="12">
        <f>IF('Données projet'!$A$140&gt;35,CT84+CS85-DB84,IF(A85&lt;'Données projet'!$A$140,$CQ$205^A85,IF(A85='Données projet'!$A$140,'Données projet'!$B$140,CT84+CS85-DB84)))</f>
        <v>210.77777777777786</v>
      </c>
      <c r="CU85" s="17">
        <f>CT85*VLOOKUP('Données projet'!$B$13,Paramètres!$A$1:$I$89,3,0)*VLOOKUP('Données projet'!$B$13,Paramètres!$A$1:$I$89,5,0)</f>
        <v>203.86426666666674</v>
      </c>
      <c r="CV85" s="13">
        <f t="shared" si="95"/>
        <v>50.592468394369057</v>
      </c>
      <c r="CW85" s="20">
        <f t="shared" si="67"/>
        <v>443.17881356463732</v>
      </c>
      <c r="CX85" s="59">
        <f t="shared" si="68"/>
        <v>736.51214689797064</v>
      </c>
      <c r="CY85" s="59">
        <f ca="1">AVERAGE(OFFSET($CX$3,0,0,'Données projet'!$E$13+1,1))-AVERAGE(OFFSET($H$3,0,0,'Données projet'!$E$13+1,1))</f>
        <v>399.24912109442175</v>
      </c>
      <c r="CZ85" s="59">
        <f t="shared" si="96"/>
        <v>269.83150082245305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6.4444444444444446</v>
      </c>
      <c r="DO85" s="12">
        <f>IF('Données projet'!$A$166&gt;35,DO84+DN85-DW84,IF(A85&lt;'Données projet'!$A$166,$DL$205^A85,IF(A85='Données projet'!$A$166,'Données projet'!$B$166,DO84+DN85-DW84)))</f>
        <v>210.77777777777786</v>
      </c>
      <c r="DP85" s="17">
        <f>DO85*VLOOKUP('Données projet'!$B$14,Paramètres!$A$1:$I$89,3,0)*VLOOKUP('Données projet'!$B$14,Paramètres!$A$1:$I$89,5,0)</f>
        <v>226.88120000000006</v>
      </c>
      <c r="DQ85" s="13">
        <f t="shared" si="97"/>
        <v>55.607789151089321</v>
      </c>
      <c r="DR85" s="20">
        <f t="shared" si="70"/>
        <v>492.001656104814</v>
      </c>
      <c r="DS85" s="59">
        <f t="shared" si="71"/>
        <v>785.33498943814732</v>
      </c>
      <c r="DT85" s="59">
        <f ca="1">AVERAGE(OFFSET($DS$3,0,0,'Données projet'!$E$14+1,1))-AVERAGE(OFFSET($H$3,0,0,'Données projet'!$E$14+1,1))</f>
        <v>439.66981240211362</v>
      </c>
      <c r="DU85" s="59">
        <f t="shared" si="98"/>
        <v>295.47805371292458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6.4444444444444446</v>
      </c>
      <c r="EJ85" s="12">
        <f>IF('Données projet'!$A$192&gt;35,EJ84+EI85-ER84,IF(A85&lt;'Données projet'!$A$192,$EG$205^A85,IF(A85='Données projet'!$A$192,'Données projet'!$B$192,EJ84+EI85-ER84)))</f>
        <v>210.77777777777786</v>
      </c>
      <c r="EK85" s="17">
        <f>EJ85*VLOOKUP('Données projet'!$B$15,Paramètres!$A$1:$I$89,3,0)*VLOOKUP('Données projet'!$B$15,Paramètres!$A$1:$I$89,5,0)</f>
        <v>200.57613333333339</v>
      </c>
      <c r="EL85" s="13">
        <f t="shared" si="99"/>
        <v>49.870763189057691</v>
      </c>
      <c r="EM85" s="20">
        <f t="shared" si="73"/>
        <v>436.19501144316445</v>
      </c>
      <c r="EN85" s="59">
        <f t="shared" si="74"/>
        <v>729.52834477649776</v>
      </c>
      <c r="EO85" s="59">
        <f ca="1">AVERAGE(OFFSET($EN$3,0,0,'Données projet'!$E$15+1,1))-AVERAGE(OFFSET($H$3,0,0,'Données projet'!$E$15+1,1))</f>
        <v>393.46715670823653</v>
      </c>
      <c r="EP85" s="59">
        <f t="shared" si="100"/>
        <v>266.16261355327214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549.43232095729741</v>
      </c>
      <c r="T86" s="59">
        <f t="shared" si="88"/>
        <v>280.26155987300996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4.3859016749921125</v>
      </c>
      <c r="AA86" s="21">
        <f>EXP(-LN(2)/25)*AA85+(1-EXP(-LN(2)/25))/(LN(2)/25)*Calculateur!V86*Calculateur!X86*VLOOKUP('Données projet'!$B$9,Paramètres!$A$1:$I$89,3,0)*0.475*44/12</f>
        <v>2.1987436663046664</v>
      </c>
      <c r="AB86" s="21">
        <f>EXP(-LN(2)/2)*AB85+(1-EXP(-LN(2)/2))/(LN(2)/2)*V86*Y86*VLOOKUP('Données projet'!$B$9,Paramètres!$A$1:$I$89,3,0)*0.475*44/12</f>
        <v>4.7469921736176517E-8</v>
      </c>
      <c r="AC86" s="22">
        <f t="shared" si="57"/>
        <v>6.5846453887667007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348.62416478262719</v>
      </c>
      <c r="AO86" s="59">
        <f t="shared" si="90"/>
        <v>371.70674704563288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4.6367176930528746</v>
      </c>
      <c r="AV86" s="21">
        <f>EXP(-LN(2)/25)*AV85+(1-EXP(-LN(2)/25))/(LN(2)/25)*Calculateur!AQ86*Calculateur!AS86*VLOOKUP('Données projet'!$B$10,Paramètres!$A$1:$I$89,3,0)*0.475*44/12</f>
        <v>2.8084131142861648</v>
      </c>
      <c r="AW86" s="21">
        <f>EXP(-LN(2)/2)*AW85+(1-EXP(-LN(2)/2))/(LN(2)/2)*AQ86*AT86*VLOOKUP('Données projet'!$B$10,Paramètres!$A$1:$I$89,3,0)*0.475*44/12</f>
        <v>1.3124059622985035E-7</v>
      </c>
      <c r="AX86" s="21">
        <f t="shared" si="60"/>
        <v>7.4451309385796351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6.8</v>
      </c>
      <c r="BD86" s="12">
        <f>IF('Données projet'!$A$88&gt;35,BD85+BC86-BL85,IF(A86&lt;'Données projet'!$A$88,$BA$205^A86,IF(A86='Données projet'!$A$88,'Données projet'!$B$88,BD85+BC86-BL85)))</f>
        <v>312.40000000000003</v>
      </c>
      <c r="BE86" s="13">
        <f>BD86*VLOOKUP('Données projet'!$B$11,Paramètres!$A$1:$I$89,3,0)*VLOOKUP('Données projet'!$B$11,Paramètres!$A$1:$I$89,5,0)</f>
        <v>282.65952000000004</v>
      </c>
      <c r="BF86" s="13">
        <f t="shared" si="91"/>
        <v>67.528732309967324</v>
      </c>
      <c r="BG86" s="20">
        <f t="shared" si="61"/>
        <v>609.91120610652649</v>
      </c>
      <c r="BH86" s="59">
        <f t="shared" si="62"/>
        <v>903.24453943985986</v>
      </c>
      <c r="BI86" s="59">
        <f ca="1">AVERAGE(OFFSET($BH$3,0,0,'Données projet'!$E$11+1,1))-AVERAGE(OFFSET($H$3,0,0,'Données projet'!$E$11+1,1))</f>
        <v>405.7176439604217</v>
      </c>
      <c r="BJ86" s="59">
        <f t="shared" si="92"/>
        <v>278.21741231699929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2.5584653181088433</v>
      </c>
      <c r="BQ86" s="21">
        <f>EXP(-LN(2)/25)*BQ85+(1-EXP(-LN(2)/25))/(LN(2)/25)*Calculateur!BL86*Calculateur!BN86*VLOOKUP('Données projet'!$B$11,Paramètres!$A$1:$I$89,3,0)*0.475*44/12</f>
        <v>2.1543355353808455</v>
      </c>
      <c r="BR86" s="21">
        <f>EXP(-LN(2)/2)*BR85+(1-EXP(-LN(2)/2))/(LN(2)/2)*BL86*BO86*VLOOKUP('Données projet'!$B$11,Paramètres!$A$1:$I$89,3,0)*0.475*44/12</f>
        <v>8.9929074052164433E-8</v>
      </c>
      <c r="BS86" s="22">
        <f t="shared" si="63"/>
        <v>4.7128009434187632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1.9895196601282805E-13</v>
      </c>
      <c r="BZ86" s="13">
        <f>BY86*VLOOKUP('Données projet'!$B$12,Paramètres!$A$1:$I$89,3,0)*VLOOKUP('Données projet'!$B$12,Paramètres!$A$1:$I$89,5,0)</f>
        <v>1.738044375088066E-13</v>
      </c>
      <c r="CA86" s="13">
        <f t="shared" si="93"/>
        <v>2.4483293633950478E-12</v>
      </c>
      <c r="CB86" s="20">
        <f t="shared" si="64"/>
        <v>4.566883036574213E-12</v>
      </c>
      <c r="CC86" s="59">
        <f t="shared" si="65"/>
        <v>293.33333333333786</v>
      </c>
      <c r="CD86" s="59">
        <f ca="1">AVERAGE(OFFSET($CC$3,0,0,'Données projet'!$E$12+1,1))-AVERAGE(OFFSET($H$3,0,0,'Données projet'!$E$12+1,1))</f>
        <v>321.23599968992932</v>
      </c>
      <c r="CE86" s="59">
        <f t="shared" si="94"/>
        <v>388.05195847800502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1.279279502791894</v>
      </c>
      <c r="CL86" s="21">
        <f>EXP(-LN(2)/25)*CL85+(1-EXP(-LN(2)/25))/(LN(2)/25)*Calculateur!CG86*Calculateur!CI86*VLOOKUP('Données projet'!$B$12,Paramètres!$A$1:$I$89,3,0)*0.475*44/12</f>
        <v>4.8538750254316714</v>
      </c>
      <c r="CM86" s="21">
        <f>EXP(-LN(2)/2)*CM85+(1-EXP(-LN(2)/2))/(LN(2)/2)*CG86*CJ86*VLOOKUP('Données projet'!$B$12,Paramètres!$A$1:$I$89,3,0)*0.475*44/12</f>
        <v>1.2710312522067818E-7</v>
      </c>
      <c r="CN86" s="22">
        <f t="shared" si="66"/>
        <v>6.1331546553266909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6.4444444444444446</v>
      </c>
      <c r="CT86" s="12">
        <f>IF('Données projet'!$A$140&gt;35,CT85+CS86-DB85,IF(A86&lt;'Données projet'!$A$140,$CQ$205^A86,IF(A86='Données projet'!$A$140,'Données projet'!$B$140,CT85+CS86-DB85)))</f>
        <v>217.22222222222231</v>
      </c>
      <c r="CU86" s="17">
        <f>CT86*VLOOKUP('Données projet'!$B$13,Paramètres!$A$1:$I$89,3,0)*VLOOKUP('Données projet'!$B$13,Paramètres!$A$1:$I$89,5,0)</f>
        <v>210.09733333333344</v>
      </c>
      <c r="CV86" s="13">
        <f t="shared" si="95"/>
        <v>51.956854906846807</v>
      </c>
      <c r="CW86" s="20">
        <f t="shared" si="67"/>
        <v>456.41104451831387</v>
      </c>
      <c r="CX86" s="59">
        <f t="shared" si="68"/>
        <v>749.74437785164719</v>
      </c>
      <c r="CY86" s="59">
        <f ca="1">AVERAGE(OFFSET($CX$3,0,0,'Données projet'!$E$13+1,1))-AVERAGE(OFFSET($H$3,0,0,'Données projet'!$E$13+1,1))</f>
        <v>399.24912109442175</v>
      </c>
      <c r="CZ86" s="59">
        <f t="shared" si="96"/>
        <v>269.83150082245305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6.4444444444444446</v>
      </c>
      <c r="DO86" s="12">
        <f>IF('Données projet'!$A$166&gt;35,DO85+DN86-DW85,IF(A86&lt;'Données projet'!$A$166,$DL$205^A86,IF(A86='Données projet'!$A$166,'Données projet'!$B$166,DO85+DN86-DW85)))</f>
        <v>217.22222222222231</v>
      </c>
      <c r="DP86" s="17">
        <f>DO86*VLOOKUP('Données projet'!$B$14,Paramètres!$A$1:$I$89,3,0)*VLOOKUP('Données projet'!$B$14,Paramètres!$A$1:$I$89,5,0)</f>
        <v>233.8180000000001</v>
      </c>
      <c r="DQ86" s="13">
        <f t="shared" si="97"/>
        <v>57.107429708554143</v>
      </c>
      <c r="DR86" s="20">
        <f t="shared" si="70"/>
        <v>506.69512340906527</v>
      </c>
      <c r="DS86" s="59">
        <f t="shared" si="71"/>
        <v>800.02845674239859</v>
      </c>
      <c r="DT86" s="59">
        <f ca="1">AVERAGE(OFFSET($DS$3,0,0,'Données projet'!$E$14+1,1))-AVERAGE(OFFSET($H$3,0,0,'Données projet'!$E$14+1,1))</f>
        <v>439.66981240211362</v>
      </c>
      <c r="DU86" s="59">
        <f t="shared" si="98"/>
        <v>295.47805371292458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6.4444444444444446</v>
      </c>
      <c r="EJ86" s="12">
        <f>IF('Données projet'!$A$192&gt;35,EJ85+EI86-ER85,IF(A86&lt;'Données projet'!$A$192,$EG$205^A86,IF(A86='Données projet'!$A$192,'Données projet'!$B$192,EJ85+EI86-ER85)))</f>
        <v>217.22222222222231</v>
      </c>
      <c r="EK86" s="17">
        <f>EJ86*VLOOKUP('Données projet'!$B$15,Paramètres!$A$1:$I$89,3,0)*VLOOKUP('Données projet'!$B$15,Paramètres!$A$1:$I$89,5,0)</f>
        <v>206.70866666666677</v>
      </c>
      <c r="EL86" s="13">
        <f t="shared" si="99"/>
        <v>51.215686629671936</v>
      </c>
      <c r="EM86" s="20">
        <f t="shared" si="73"/>
        <v>449.2182486577899</v>
      </c>
      <c r="EN86" s="59">
        <f t="shared" si="74"/>
        <v>742.55158199112316</v>
      </c>
      <c r="EO86" s="59">
        <f ca="1">AVERAGE(OFFSET($EN$3,0,0,'Données projet'!$E$15+1,1))-AVERAGE(OFFSET($H$3,0,0,'Données projet'!$E$15+1,1))</f>
        <v>393.46715670823653</v>
      </c>
      <c r="EP86" s="59">
        <f t="shared" si="100"/>
        <v>266.16261355327214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549.43232095729741</v>
      </c>
      <c r="T87" s="59">
        <f t="shared" si="88"/>
        <v>280.26155987300996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4.2998968182813915</v>
      </c>
      <c r="AA87" s="21">
        <f>EXP(-LN(2)/25)*AA86+(1-EXP(-LN(2)/25))/(LN(2)/25)*Calculateur!V87*Calculateur!X87*VLOOKUP('Données projet'!$B$9,Paramètres!$A$1:$I$89,3,0)*0.475*44/12</f>
        <v>2.1386189051226614</v>
      </c>
      <c r="AB87" s="21">
        <f>EXP(-LN(2)/2)*AB86+(1-EXP(-LN(2)/2))/(LN(2)/2)*V87*Y87*VLOOKUP('Données projet'!$B$9,Paramètres!$A$1:$I$89,3,0)*0.475*44/12</f>
        <v>3.3566303562045104E-8</v>
      </c>
      <c r="AC87" s="22">
        <f t="shared" si="57"/>
        <v>6.4385157569703564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348.62416478262719</v>
      </c>
      <c r="AO87" s="59">
        <f t="shared" si="90"/>
        <v>371.70674704563288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4.5457944872106468</v>
      </c>
      <c r="AV87" s="21">
        <f>EXP(-LN(2)/25)*AV86+(1-EXP(-LN(2)/25))/(LN(2)/25)*Calculateur!AQ87*Calculateur!AS87*VLOOKUP('Données projet'!$B$10,Paramètres!$A$1:$I$89,3,0)*0.475*44/12</f>
        <v>2.7316169099879826</v>
      </c>
      <c r="AW87" s="21">
        <f>EXP(-LN(2)/2)*AW86+(1-EXP(-LN(2)/2))/(LN(2)/2)*AQ87*AT87*VLOOKUP('Données projet'!$B$10,Paramètres!$A$1:$I$89,3,0)*0.475*44/12</f>
        <v>9.2801115561092827E-8</v>
      </c>
      <c r="AX87" s="21">
        <f t="shared" si="60"/>
        <v>7.2774114899997446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6.8</v>
      </c>
      <c r="BD87" s="12">
        <f>IF('Données projet'!$A$88&gt;35,BD86+BC87-BL86,IF(A87&lt;'Données projet'!$A$88,$BA$205^A87,IF(A87='Données projet'!$A$88,'Données projet'!$B$88,BD86+BC87-BL86)))</f>
        <v>319.20000000000005</v>
      </c>
      <c r="BE87" s="13">
        <f>BD87*VLOOKUP('Données projet'!$B$11,Paramètres!$A$1:$I$89,3,0)*VLOOKUP('Données projet'!$B$11,Paramètres!$A$1:$I$89,5,0)</f>
        <v>288.81216000000006</v>
      </c>
      <c r="BF87" s="13">
        <f t="shared" si="91"/>
        <v>68.825899854238159</v>
      </c>
      <c r="BG87" s="20">
        <f t="shared" si="61"/>
        <v>622.88628757946492</v>
      </c>
      <c r="BH87" s="59">
        <f t="shared" si="62"/>
        <v>916.21962091279829</v>
      </c>
      <c r="BI87" s="59">
        <f ca="1">AVERAGE(OFFSET($BH$3,0,0,'Données projet'!$E$11+1,1))-AVERAGE(OFFSET($H$3,0,0,'Données projet'!$E$11+1,1))</f>
        <v>405.7176439604217</v>
      </c>
      <c r="BJ87" s="59">
        <f t="shared" si="92"/>
        <v>278.21741231699929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2.5082953737304852</v>
      </c>
      <c r="BQ87" s="21">
        <f>EXP(-LN(2)/25)*BQ86+(1-EXP(-LN(2)/25))/(LN(2)/25)*Calculateur!BL87*Calculateur!BN87*VLOOKUP('Données projet'!$B$11,Paramètres!$A$1:$I$89,3,0)*0.475*44/12</f>
        <v>2.0954251168742744</v>
      </c>
      <c r="BR87" s="21">
        <f>EXP(-LN(2)/2)*BR86+(1-EXP(-LN(2)/2))/(LN(2)/2)*BL87*BO87*VLOOKUP('Données projet'!$B$11,Paramètres!$A$1:$I$89,3,0)*0.475*44/12</f>
        <v>6.3589458088112663E-8</v>
      </c>
      <c r="BS87" s="22">
        <f t="shared" si="63"/>
        <v>4.6037205541942177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1.9895196601282805E-13</v>
      </c>
      <c r="BZ87" s="13">
        <f>BY87*VLOOKUP('Données projet'!$B$12,Paramètres!$A$1:$I$89,3,0)*VLOOKUP('Données projet'!$B$12,Paramètres!$A$1:$I$89,5,0)</f>
        <v>1.738044375088066E-13</v>
      </c>
      <c r="CA87" s="13">
        <f t="shared" si="93"/>
        <v>2.4483293633950478E-12</v>
      </c>
      <c r="CB87" s="20">
        <f t="shared" si="64"/>
        <v>4.566883036574213E-12</v>
      </c>
      <c r="CC87" s="59">
        <f t="shared" si="65"/>
        <v>293.33333333333786</v>
      </c>
      <c r="CD87" s="59">
        <f ca="1">AVERAGE(OFFSET($CC$3,0,0,'Données projet'!$E$12+1,1))-AVERAGE(OFFSET($H$3,0,0,'Données projet'!$E$12+1,1))</f>
        <v>321.23599968992932</v>
      </c>
      <c r="CE87" s="59">
        <f t="shared" si="94"/>
        <v>388.05195847800502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1.254193612025595</v>
      </c>
      <c r="CL87" s="21">
        <f>EXP(-LN(2)/25)*CL86+(1-EXP(-LN(2)/25))/(LN(2)/25)*Calculateur!CG87*Calculateur!CI87*VLOOKUP('Données projet'!$B$12,Paramètres!$A$1:$I$89,3,0)*0.475*44/12</f>
        <v>4.7211455576070485</v>
      </c>
      <c r="CM87" s="21">
        <f>EXP(-LN(2)/2)*CM86+(1-EXP(-LN(2)/2))/(LN(2)/2)*CG87*CJ87*VLOOKUP('Données projet'!$B$12,Paramètres!$A$1:$I$89,3,0)*0.475*44/12</f>
        <v>8.9875481753544439E-8</v>
      </c>
      <c r="CN87" s="22">
        <f t="shared" si="66"/>
        <v>5.9753392595081261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6.4444444444444446</v>
      </c>
      <c r="CT87" s="12">
        <f>IF('Données projet'!$A$140&gt;35,CT86+CS87-DB86,IF(A87&lt;'Données projet'!$A$140,$CQ$205^A87,IF(A87='Données projet'!$A$140,'Données projet'!$B$140,CT86+CS87-DB86)))</f>
        <v>223.66666666666677</v>
      </c>
      <c r="CU87" s="17">
        <f>CT87*VLOOKUP('Données projet'!$B$13,Paramètres!$A$1:$I$89,3,0)*VLOOKUP('Données projet'!$B$13,Paramètres!$A$1:$I$89,5,0)</f>
        <v>216.33040000000011</v>
      </c>
      <c r="CV87" s="13">
        <f t="shared" si="95"/>
        <v>53.316537181273993</v>
      </c>
      <c r="CW87" s="20">
        <f t="shared" si="67"/>
        <v>469.63508225738565</v>
      </c>
      <c r="CX87" s="59">
        <f t="shared" si="68"/>
        <v>762.96841559071891</v>
      </c>
      <c r="CY87" s="59">
        <f ca="1">AVERAGE(OFFSET($CX$3,0,0,'Données projet'!$E$13+1,1))-AVERAGE(OFFSET($H$3,0,0,'Données projet'!$E$13+1,1))</f>
        <v>399.24912109442175</v>
      </c>
      <c r="CZ87" s="59">
        <f t="shared" si="96"/>
        <v>269.83150082245305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6.4444444444444446</v>
      </c>
      <c r="DO87" s="12">
        <f>IF('Données projet'!$A$166&gt;35,DO86+DN87-DW86,IF(A87&lt;'Données projet'!$A$166,$DL$205^A87,IF(A87='Données projet'!$A$166,'Données projet'!$B$166,DO86+DN87-DW86)))</f>
        <v>223.66666666666677</v>
      </c>
      <c r="DP87" s="17">
        <f>DO87*VLOOKUP('Données projet'!$B$14,Paramètres!$A$1:$I$89,3,0)*VLOOKUP('Données projet'!$B$14,Paramètres!$A$1:$I$89,5,0)</f>
        <v>240.7548000000001</v>
      </c>
      <c r="DQ87" s="13">
        <f t="shared" si="97"/>
        <v>58.601899688541096</v>
      </c>
      <c r="DR87" s="20">
        <f t="shared" si="70"/>
        <v>521.37958529087587</v>
      </c>
      <c r="DS87" s="59">
        <f t="shared" si="71"/>
        <v>814.71291862420912</v>
      </c>
      <c r="DT87" s="59">
        <f ca="1">AVERAGE(OFFSET($DS$3,0,0,'Données projet'!$E$14+1,1))-AVERAGE(OFFSET($H$3,0,0,'Données projet'!$E$14+1,1))</f>
        <v>439.66981240211362</v>
      </c>
      <c r="DU87" s="59">
        <f t="shared" si="98"/>
        <v>295.47805371292458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6.4444444444444446</v>
      </c>
      <c r="EJ87" s="12">
        <f>IF('Données projet'!$A$192&gt;35,EJ86+EI87-ER86,IF(A87&lt;'Données projet'!$A$192,$EG$205^A87,IF(A87='Données projet'!$A$192,'Données projet'!$B$192,EJ86+EI87-ER86)))</f>
        <v>223.66666666666677</v>
      </c>
      <c r="EK87" s="17">
        <f>EJ87*VLOOKUP('Données projet'!$B$15,Paramètres!$A$1:$I$89,3,0)*VLOOKUP('Données projet'!$B$15,Paramètres!$A$1:$I$89,5,0)</f>
        <v>212.8412000000001</v>
      </c>
      <c r="EL87" s="13">
        <f t="shared" si="99"/>
        <v>52.555972938530203</v>
      </c>
      <c r="EM87" s="20">
        <f t="shared" si="73"/>
        <v>462.23340953460684</v>
      </c>
      <c r="EN87" s="59">
        <f t="shared" si="74"/>
        <v>755.56674286794009</v>
      </c>
      <c r="EO87" s="59">
        <f ca="1">AVERAGE(OFFSET($EN$3,0,0,'Données projet'!$E$15+1,1))-AVERAGE(OFFSET($H$3,0,0,'Données projet'!$E$15+1,1))</f>
        <v>393.46715670823653</v>
      </c>
      <c r="EP87" s="59">
        <f t="shared" si="100"/>
        <v>266.16261355327214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549.43232095729741</v>
      </c>
      <c r="T88" s="59">
        <f t="shared" si="88"/>
        <v>280.26155987300996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4.2155784643529843</v>
      </c>
      <c r="AA88" s="21">
        <f>EXP(-LN(2)/25)*AA87+(1-EXP(-LN(2)/25))/(LN(2)/25)*Calculateur!V88*Calculateur!X88*VLOOKUP('Données projet'!$B$9,Paramètres!$A$1:$I$89,3,0)*0.475*44/12</f>
        <v>2.0801382586970019</v>
      </c>
      <c r="AB88" s="21">
        <f>EXP(-LN(2)/2)*AB87+(1-EXP(-LN(2)/2))/(LN(2)/2)*V88*Y88*VLOOKUP('Données projet'!$B$9,Paramètres!$A$1:$I$89,3,0)*0.475*44/12</f>
        <v>2.3734960868088258E-8</v>
      </c>
      <c r="AC88" s="22">
        <f t="shared" si="57"/>
        <v>6.2957167467849473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348.62416478262719</v>
      </c>
      <c r="AO88" s="59">
        <f t="shared" si="90"/>
        <v>371.70674704563288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4.456654229977306</v>
      </c>
      <c r="AV88" s="21">
        <f>EXP(-LN(2)/25)*AV87+(1-EXP(-LN(2)/25))/(LN(2)/25)*Calculateur!AQ88*Calculateur!AS88*VLOOKUP('Données projet'!$B$10,Paramètres!$A$1:$I$89,3,0)*0.475*44/12</f>
        <v>2.6569207019348711</v>
      </c>
      <c r="AW88" s="21">
        <f>EXP(-LN(2)/2)*AW87+(1-EXP(-LN(2)/2))/(LN(2)/2)*AQ88*AT88*VLOOKUP('Données projet'!$B$10,Paramètres!$A$1:$I$89,3,0)*0.475*44/12</f>
        <v>6.5620298114925176E-8</v>
      </c>
      <c r="AX88" s="21">
        <f t="shared" si="60"/>
        <v>7.113574997532476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326</v>
      </c>
      <c r="BB88" s="12">
        <f>VLOOKUP(A88,'Données projet'!$A$87:$I$107,9,0)</f>
        <v>6.8</v>
      </c>
      <c r="BC88" s="12">
        <f t="array" ref="BC88">INDEX(BB:BB,MIN(IF(ISNUMBER(BB88:BB284),ROW(BB88:BB284),"")))</f>
        <v>6.8</v>
      </c>
      <c r="BD88" s="12">
        <f>IF('Données projet'!$A$88&gt;35,BD87+BC88-BL87,IF(A88&lt;'Données projet'!$A$88,$BA$205^A88,IF(A88='Données projet'!$A$88,'Données projet'!$B$88,BD87+BC88-BL87)))</f>
        <v>326.00000000000006</v>
      </c>
      <c r="BE88" s="13">
        <f>BD88*VLOOKUP('Données projet'!$B$11,Paramètres!$A$1:$I$89,3,0)*VLOOKUP('Données projet'!$B$11,Paramètres!$A$1:$I$89,5,0)</f>
        <v>294.96480000000003</v>
      </c>
      <c r="BF88" s="13">
        <f t="shared" si="91"/>
        <v>70.119854541045001</v>
      </c>
      <c r="BG88" s="20">
        <f t="shared" si="61"/>
        <v>635.85577332565333</v>
      </c>
      <c r="BH88" s="59">
        <f t="shared" si="62"/>
        <v>929.1891066589867</v>
      </c>
      <c r="BI88" s="59">
        <f ca="1">AVERAGE(OFFSET($BH$3,0,0,'Données projet'!$E$11+1,1))-AVERAGE(OFFSET($H$3,0,0,'Données projet'!$E$11+1,1))</f>
        <v>405.7176439604217</v>
      </c>
      <c r="BJ88" s="59">
        <f t="shared" si="92"/>
        <v>278.21741231699929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28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2.4591092313607423</v>
      </c>
      <c r="BQ88" s="21">
        <f>EXP(-LN(2)/25)*BQ87+(1-EXP(-LN(2)/25))/(LN(2)/25)*Calculateur!BL88*Calculateur!BN88*VLOOKUP('Données projet'!$B$11,Paramètres!$A$1:$I$89,3,0)*0.475*44/12</f>
        <v>2.0381256068597295</v>
      </c>
      <c r="BR88" s="21">
        <f>EXP(-LN(2)/2)*BR87+(1-EXP(-LN(2)/2))/(LN(2)/2)*BL88*BO88*VLOOKUP('Données projet'!$B$11,Paramètres!$A$1:$I$89,3,0)*0.475*44/12</f>
        <v>4.4964537026082216E-8</v>
      </c>
      <c r="BS88" s="22">
        <f t="shared" si="63"/>
        <v>4.4972348831850084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1.9895196601282805E-13</v>
      </c>
      <c r="BZ88" s="13">
        <f>BY88*VLOOKUP('Données projet'!$B$12,Paramètres!$A$1:$I$89,3,0)*VLOOKUP('Données projet'!$B$12,Paramètres!$A$1:$I$89,5,0)</f>
        <v>1.738044375088066E-13</v>
      </c>
      <c r="CA88" s="13">
        <f t="shared" si="93"/>
        <v>2.4483293633950478E-12</v>
      </c>
      <c r="CB88" s="20">
        <f t="shared" si="64"/>
        <v>4.566883036574213E-12</v>
      </c>
      <c r="CC88" s="59">
        <f t="shared" si="65"/>
        <v>293.33333333333786</v>
      </c>
      <c r="CD88" s="59">
        <f ca="1">AVERAGE(OFFSET($CC$3,0,0,'Données projet'!$E$12+1,1))-AVERAGE(OFFSET($H$3,0,0,'Données projet'!$E$12+1,1))</f>
        <v>321.23599968992932</v>
      </c>
      <c r="CE88" s="59">
        <f t="shared" si="94"/>
        <v>388.05195847800502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1.2295996402763407</v>
      </c>
      <c r="CL88" s="21">
        <f>EXP(-LN(2)/25)*CL87+(1-EXP(-LN(2)/25))/(LN(2)/25)*Calculateur!CG88*Calculateur!CI88*VLOOKUP('Données projet'!$B$12,Paramètres!$A$1:$I$89,3,0)*0.475*44/12</f>
        <v>4.5920455840600294</v>
      </c>
      <c r="CM88" s="21">
        <f>EXP(-LN(2)/2)*CM87+(1-EXP(-LN(2)/2))/(LN(2)/2)*CG88*CJ88*VLOOKUP('Données projet'!$B$12,Paramètres!$A$1:$I$89,3,0)*0.475*44/12</f>
        <v>6.3551562610339091E-8</v>
      </c>
      <c r="CN88" s="22">
        <f t="shared" si="66"/>
        <v>5.8216452878879323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6.4444444444444446</v>
      </c>
      <c r="CT88" s="12">
        <f>IF('Données projet'!$A$140&gt;35,CT87+CS88-DB87,IF(A88&lt;'Données projet'!$A$140,$CQ$205^A88,IF(A88='Données projet'!$A$140,'Données projet'!$B$140,CT87+CS88-DB87)))</f>
        <v>230.11111111111123</v>
      </c>
      <c r="CU88" s="17">
        <f>CT88*VLOOKUP('Données projet'!$B$13,Paramètres!$A$1:$I$89,3,0)*VLOOKUP('Données projet'!$B$13,Paramètres!$A$1:$I$89,5,0)</f>
        <v>222.56346666666681</v>
      </c>
      <c r="CV88" s="13">
        <f t="shared" si="95"/>
        <v>54.671666325517343</v>
      </c>
      <c r="CW88" s="20">
        <f t="shared" si="67"/>
        <v>482.85118996138743</v>
      </c>
      <c r="CX88" s="59">
        <f t="shared" si="68"/>
        <v>776.18452329472075</v>
      </c>
      <c r="CY88" s="59">
        <f ca="1">AVERAGE(OFFSET($CX$3,0,0,'Données projet'!$E$13+1,1))-AVERAGE(OFFSET($H$3,0,0,'Données projet'!$E$13+1,1))</f>
        <v>399.24912109442175</v>
      </c>
      <c r="CZ88" s="59">
        <f t="shared" si="96"/>
        <v>269.83150082245305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6.4444444444444446</v>
      </c>
      <c r="DO88" s="12">
        <f>IF('Données projet'!$A$166&gt;35,DO87+DN88-DW87,IF(A88&lt;'Données projet'!$A$166,$DL$205^A88,IF(A88='Données projet'!$A$166,'Données projet'!$B$166,DO87+DN88-DW87)))</f>
        <v>230.11111111111123</v>
      </c>
      <c r="DP88" s="17">
        <f>DO88*VLOOKUP('Données projet'!$B$14,Paramètres!$A$1:$I$89,3,0)*VLOOKUP('Données projet'!$B$14,Paramètres!$A$1:$I$89,5,0)</f>
        <v>247.69160000000011</v>
      </c>
      <c r="DQ88" s="13">
        <f t="shared" si="97"/>
        <v>60.091365178506493</v>
      </c>
      <c r="DR88" s="20">
        <f t="shared" si="70"/>
        <v>536.05533101923231</v>
      </c>
      <c r="DS88" s="59">
        <f t="shared" si="71"/>
        <v>829.38866435256568</v>
      </c>
      <c r="DT88" s="59">
        <f ca="1">AVERAGE(OFFSET($DS$3,0,0,'Données projet'!$E$14+1,1))-AVERAGE(OFFSET($H$3,0,0,'Données projet'!$E$14+1,1))</f>
        <v>439.66981240211362</v>
      </c>
      <c r="DU88" s="59">
        <f t="shared" si="98"/>
        <v>295.47805371292458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6.4444444444444446</v>
      </c>
      <c r="EJ88" s="12">
        <f>IF('Données projet'!$A$192&gt;35,EJ87+EI88-ER87,IF(A88&lt;'Données projet'!$A$192,$EG$205^A88,IF(A88='Données projet'!$A$192,'Données projet'!$B$192,EJ87+EI88-ER87)))</f>
        <v>230.11111111111123</v>
      </c>
      <c r="EK88" s="17">
        <f>EJ88*VLOOKUP('Données projet'!$B$15,Paramètres!$A$1:$I$89,3,0)*VLOOKUP('Données projet'!$B$15,Paramètres!$A$1:$I$89,5,0)</f>
        <v>218.97373333333346</v>
      </c>
      <c r="EL88" s="13">
        <f t="shared" si="99"/>
        <v>53.89177106793462</v>
      </c>
      <c r="EM88" s="20">
        <f t="shared" si="73"/>
        <v>475.24075349887522</v>
      </c>
      <c r="EN88" s="59">
        <f t="shared" si="74"/>
        <v>768.57408683220854</v>
      </c>
      <c r="EO88" s="59">
        <f ca="1">AVERAGE(OFFSET($EN$3,0,0,'Données projet'!$E$15+1,1))-AVERAGE(OFFSET($H$3,0,0,'Données projet'!$E$15+1,1))</f>
        <v>393.46715670823653</v>
      </c>
      <c r="EP88" s="59">
        <f t="shared" si="100"/>
        <v>266.16261355327214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549.43232095729741</v>
      </c>
      <c r="T89" s="59">
        <f t="shared" si="88"/>
        <v>280.26155987300996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4.1329135419159959</v>
      </c>
      <c r="AA89" s="21">
        <f>EXP(-LN(2)/25)*AA88+(1-EXP(-LN(2)/25))/(LN(2)/25)*Calculateur!V89*Calculateur!X89*VLOOKUP('Données projet'!$B$9,Paramètres!$A$1:$I$89,3,0)*0.475*44/12</f>
        <v>2.0232567686232157</v>
      </c>
      <c r="AB89" s="21">
        <f>EXP(-LN(2)/2)*AB88+(1-EXP(-LN(2)/2))/(LN(2)/2)*V89*Y89*VLOOKUP('Données projet'!$B$9,Paramètres!$A$1:$I$89,3,0)*0.475*44/12</f>
        <v>1.6783151781022552E-8</v>
      </c>
      <c r="AC89" s="22">
        <f t="shared" si="57"/>
        <v>6.1561703273223634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348.62416478262719</v>
      </c>
      <c r="AO89" s="59">
        <f t="shared" si="90"/>
        <v>371.70674704563288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4.3692619588181225</v>
      </c>
      <c r="AV89" s="21">
        <f>EXP(-LN(2)/25)*AV88+(1-EXP(-LN(2)/25))/(LN(2)/25)*Calculateur!AQ89*Calculateur!AS89*VLOOKUP('Données projet'!$B$10,Paramètres!$A$1:$I$89,3,0)*0.475*44/12</f>
        <v>2.5842670656190747</v>
      </c>
      <c r="AW89" s="21">
        <f>EXP(-LN(2)/2)*AW88+(1-EXP(-LN(2)/2))/(LN(2)/2)*AQ89*AT89*VLOOKUP('Données projet'!$B$10,Paramètres!$A$1:$I$89,3,0)*0.475*44/12</f>
        <v>4.6400557780546414E-8</v>
      </c>
      <c r="AX89" s="21">
        <f t="shared" si="60"/>
        <v>6.9535290708377548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6.4</v>
      </c>
      <c r="BD89" s="12">
        <f>IF('Données projet'!$A$88&gt;35,BD88+BC89-BL88,IF(A89&lt;'Données projet'!$A$88,$BA$205^A89,IF(A89='Données projet'!$A$88,'Données projet'!$B$88,BD88+BC89-BL88)))</f>
        <v>304.40000000000003</v>
      </c>
      <c r="BE89" s="13">
        <f>BD89*VLOOKUP('Données projet'!$B$11,Paramètres!$A$1:$I$89,3,0)*VLOOKUP('Données projet'!$B$11,Paramètres!$A$1:$I$89,5,0)</f>
        <v>275.42112000000003</v>
      </c>
      <c r="BF89" s="13">
        <f t="shared" si="91"/>
        <v>65.998433293601067</v>
      </c>
      <c r="BG89" s="20">
        <f t="shared" si="61"/>
        <v>594.63905531968851</v>
      </c>
      <c r="BH89" s="59">
        <f t="shared" si="62"/>
        <v>887.97238865302188</v>
      </c>
      <c r="BI89" s="59">
        <f ca="1">AVERAGE(OFFSET($BH$3,0,0,'Données projet'!$E$11+1,1))-AVERAGE(OFFSET($H$3,0,0,'Données projet'!$E$11+1,1))</f>
        <v>405.7176439604217</v>
      </c>
      <c r="BJ89" s="59">
        <f t="shared" si="92"/>
        <v>278.21741231699929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2.4108875992422858</v>
      </c>
      <c r="BQ89" s="21">
        <f>EXP(-LN(2)/25)*BQ88+(1-EXP(-LN(2)/25))/(LN(2)/25)*Calculateur!BL89*Calculateur!BN89*VLOOKUP('Données projet'!$B$11,Paramètres!$A$1:$I$89,3,0)*0.475*44/12</f>
        <v>1.9823929549597827</v>
      </c>
      <c r="BR89" s="21">
        <f>EXP(-LN(2)/2)*BR88+(1-EXP(-LN(2)/2))/(LN(2)/2)*BL89*BO89*VLOOKUP('Données projet'!$B$11,Paramètres!$A$1:$I$89,3,0)*0.475*44/12</f>
        <v>3.1794729044056332E-8</v>
      </c>
      <c r="BS89" s="22">
        <f t="shared" si="63"/>
        <v>4.3932805859967967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1.9895196601282805E-13</v>
      </c>
      <c r="BZ89" s="13">
        <f>BY89*VLOOKUP('Données projet'!$B$12,Paramètres!$A$1:$I$89,3,0)*VLOOKUP('Données projet'!$B$12,Paramètres!$A$1:$I$89,5,0)</f>
        <v>1.738044375088066E-13</v>
      </c>
      <c r="CA89" s="13">
        <f t="shared" si="93"/>
        <v>2.4483293633950478E-12</v>
      </c>
      <c r="CB89" s="20">
        <f t="shared" si="64"/>
        <v>4.566883036574213E-12</v>
      </c>
      <c r="CC89" s="59">
        <f t="shared" si="65"/>
        <v>293.33333333333786</v>
      </c>
      <c r="CD89" s="59">
        <f ca="1">AVERAGE(OFFSET($CC$3,0,0,'Données projet'!$E$12+1,1))-AVERAGE(OFFSET($H$3,0,0,'Données projet'!$E$12+1,1))</f>
        <v>321.23599968992932</v>
      </c>
      <c r="CE89" s="59">
        <f t="shared" si="94"/>
        <v>388.05195847800502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1.2054879413122477</v>
      </c>
      <c r="CL89" s="21">
        <f>EXP(-LN(2)/25)*CL88+(1-EXP(-LN(2)/25))/(LN(2)/25)*Calculateur!CG89*Calculateur!CI89*VLOOKUP('Données projet'!$B$12,Paramètres!$A$1:$I$89,3,0)*0.475*44/12</f>
        <v>4.4664758560787261</v>
      </c>
      <c r="CM89" s="21">
        <f>EXP(-LN(2)/2)*CM88+(1-EXP(-LN(2)/2))/(LN(2)/2)*CG89*CJ89*VLOOKUP('Données projet'!$B$12,Paramètres!$A$1:$I$89,3,0)*0.475*44/12</f>
        <v>4.4937740876772219E-8</v>
      </c>
      <c r="CN89" s="22">
        <f t="shared" si="66"/>
        <v>5.6719638423287142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6.4444444444444446</v>
      </c>
      <c r="CT89" s="12">
        <f>IF('Données projet'!$A$140&gt;35,CT88+CS89-DB88,IF(A89&lt;'Données projet'!$A$140,$CQ$205^A89,IF(A89='Données projet'!$A$140,'Données projet'!$B$140,CT88+CS89-DB88)))</f>
        <v>236.55555555555569</v>
      </c>
      <c r="CU89" s="17">
        <f>CT89*VLOOKUP('Données projet'!$B$13,Paramètres!$A$1:$I$89,3,0)*VLOOKUP('Données projet'!$B$13,Paramètres!$A$1:$I$89,5,0)</f>
        <v>228.79653333333346</v>
      </c>
      <c r="CV89" s="13">
        <f t="shared" si="95"/>
        <v>56.022384502105339</v>
      </c>
      <c r="CW89" s="20">
        <f t="shared" si="67"/>
        <v>496.0596152300559</v>
      </c>
      <c r="CX89" s="59">
        <f t="shared" si="68"/>
        <v>789.39294856338915</v>
      </c>
      <c r="CY89" s="59">
        <f ca="1">AVERAGE(OFFSET($CX$3,0,0,'Données projet'!$E$13+1,1))-AVERAGE(OFFSET($H$3,0,0,'Données projet'!$E$13+1,1))</f>
        <v>399.24912109442175</v>
      </c>
      <c r="CZ89" s="59">
        <f t="shared" si="96"/>
        <v>269.83150082245305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6.4444444444444446</v>
      </c>
      <c r="DO89" s="12">
        <f>IF('Données projet'!$A$166&gt;35,DO88+DN89-DW88,IF(A89&lt;'Données projet'!$A$166,$DL$205^A89,IF(A89='Données projet'!$A$166,'Données projet'!$B$166,DO88+DN89-DW88)))</f>
        <v>236.55555555555569</v>
      </c>
      <c r="DP89" s="17">
        <f>DO89*VLOOKUP('Données projet'!$B$14,Paramètres!$A$1:$I$89,3,0)*VLOOKUP('Données projet'!$B$14,Paramètres!$A$1:$I$89,5,0)</f>
        <v>254.62840000000014</v>
      </c>
      <c r="DQ89" s="13">
        <f t="shared" si="97"/>
        <v>61.575982433801578</v>
      </c>
      <c r="DR89" s="20">
        <f t="shared" si="70"/>
        <v>550.7226327388712</v>
      </c>
      <c r="DS89" s="59">
        <f t="shared" si="71"/>
        <v>844.05596607220446</v>
      </c>
      <c r="DT89" s="59">
        <f ca="1">AVERAGE(OFFSET($DS$3,0,0,'Données projet'!$E$14+1,1))-AVERAGE(OFFSET($H$3,0,0,'Données projet'!$E$14+1,1))</f>
        <v>439.66981240211362</v>
      </c>
      <c r="DU89" s="59">
        <f t="shared" si="98"/>
        <v>295.47805371292458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6.4444444444444446</v>
      </c>
      <c r="EJ89" s="12">
        <f>IF('Données projet'!$A$192&gt;35,EJ88+EI89-ER88,IF(A89&lt;'Données projet'!$A$192,$EG$205^A89,IF(A89='Données projet'!$A$192,'Données projet'!$B$192,EJ88+EI89-ER88)))</f>
        <v>236.55555555555569</v>
      </c>
      <c r="EK89" s="17">
        <f>EJ89*VLOOKUP('Données projet'!$B$15,Paramètres!$A$1:$I$89,3,0)*VLOOKUP('Données projet'!$B$15,Paramètres!$A$1:$I$89,5,0)</f>
        <v>225.10626666666678</v>
      </c>
      <c r="EL89" s="13">
        <f t="shared" si="99"/>
        <v>55.223221152454968</v>
      </c>
      <c r="EM89" s="20">
        <f t="shared" si="73"/>
        <v>488.24052461830371</v>
      </c>
      <c r="EN89" s="59">
        <f t="shared" si="74"/>
        <v>781.57385795163702</v>
      </c>
      <c r="EO89" s="59">
        <f ca="1">AVERAGE(OFFSET($EN$3,0,0,'Données projet'!$E$15+1,1))-AVERAGE(OFFSET($H$3,0,0,'Données projet'!$E$15+1,1))</f>
        <v>393.46715670823653</v>
      </c>
      <c r="EP89" s="59">
        <f t="shared" si="100"/>
        <v>266.16261355327214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549.43232095729741</v>
      </c>
      <c r="T90" s="59">
        <f t="shared" si="88"/>
        <v>280.26155987300996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4.0518696281873723</v>
      </c>
      <c r="AA90" s="21">
        <f>EXP(-LN(2)/25)*AA89+(1-EXP(-LN(2)/25))/(LN(2)/25)*Calculateur!V90*Calculateur!X90*VLOOKUP('Données projet'!$B$9,Paramètres!$A$1:$I$89,3,0)*0.475*44/12</f>
        <v>1.9679307058867646</v>
      </c>
      <c r="AB90" s="21">
        <f>EXP(-LN(2)/2)*AB89+(1-EXP(-LN(2)/2))/(LN(2)/2)*V90*Y90*VLOOKUP('Données projet'!$B$9,Paramètres!$A$1:$I$89,3,0)*0.475*44/12</f>
        <v>1.1867480434044129E-8</v>
      </c>
      <c r="AC90" s="22">
        <f t="shared" si="57"/>
        <v>6.0198003459416176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348.62416478262719</v>
      </c>
      <c r="AO90" s="59">
        <f t="shared" si="90"/>
        <v>371.70674704563288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4.2835833967923485</v>
      </c>
      <c r="AV90" s="21">
        <f>EXP(-LN(2)/25)*AV89+(1-EXP(-LN(2)/25))/(LN(2)/25)*Calculateur!AQ90*Calculateur!AS90*VLOOKUP('Données projet'!$B$10,Paramètres!$A$1:$I$89,3,0)*0.475*44/12</f>
        <v>2.5136001468090226</v>
      </c>
      <c r="AW90" s="21">
        <f>EXP(-LN(2)/2)*AW89+(1-EXP(-LN(2)/2))/(LN(2)/2)*AQ90*AT90*VLOOKUP('Données projet'!$B$10,Paramètres!$A$1:$I$89,3,0)*0.475*44/12</f>
        <v>3.2810149057462588E-8</v>
      </c>
      <c r="AX90" s="21">
        <f t="shared" si="60"/>
        <v>6.7971835764115198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6.4</v>
      </c>
      <c r="BD90" s="12">
        <f>IF('Données projet'!$A$88&gt;35,BD89+BC90-BL89,IF(A90&lt;'Données projet'!$A$88,$BA$205^A90,IF(A90='Données projet'!$A$88,'Données projet'!$B$88,BD89+BC90-BL89)))</f>
        <v>310.8</v>
      </c>
      <c r="BE90" s="13">
        <f>BD90*VLOOKUP('Données projet'!$B$11,Paramètres!$A$1:$I$89,3,0)*VLOOKUP('Données projet'!$B$11,Paramètres!$A$1:$I$89,5,0)</f>
        <v>281.21184</v>
      </c>
      <c r="BF90" s="13">
        <f t="shared" si="91"/>
        <v>67.22304110496664</v>
      </c>
      <c r="BG90" s="20">
        <f t="shared" si="61"/>
        <v>606.85741792448357</v>
      </c>
      <c r="BH90" s="59">
        <f t="shared" si="62"/>
        <v>900.19075125781683</v>
      </c>
      <c r="BI90" s="59">
        <f ca="1">AVERAGE(OFFSET($BH$3,0,0,'Données projet'!$E$11+1,1))-AVERAGE(OFFSET($H$3,0,0,'Données projet'!$E$11+1,1))</f>
        <v>405.7176439604217</v>
      </c>
      <c r="BJ90" s="59">
        <f t="shared" si="92"/>
        <v>278.21741231699929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2.3636115639173805</v>
      </c>
      <c r="BQ90" s="21">
        <f>EXP(-LN(2)/25)*BQ89+(1-EXP(-LN(2)/25))/(LN(2)/25)*Calculateur!BL90*Calculateur!BN90*VLOOKUP('Données projet'!$B$11,Paramètres!$A$1:$I$89,3,0)*0.475*44/12</f>
        <v>1.9281843153568927</v>
      </c>
      <c r="BR90" s="21">
        <f>EXP(-LN(2)/2)*BR89+(1-EXP(-LN(2)/2))/(LN(2)/2)*BL90*BO90*VLOOKUP('Données projet'!$B$11,Paramètres!$A$1:$I$89,3,0)*0.475*44/12</f>
        <v>2.2482268513041108E-8</v>
      </c>
      <c r="BS90" s="22">
        <f t="shared" si="63"/>
        <v>4.2917959017565419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1.9895196601282805E-13</v>
      </c>
      <c r="BZ90" s="13">
        <f>BY90*VLOOKUP('Données projet'!$B$12,Paramètres!$A$1:$I$89,3,0)*VLOOKUP('Données projet'!$B$12,Paramètres!$A$1:$I$89,5,0)</f>
        <v>1.738044375088066E-13</v>
      </c>
      <c r="CA90" s="13">
        <f t="shared" si="93"/>
        <v>2.4483293633950478E-12</v>
      </c>
      <c r="CB90" s="20">
        <f t="shared" si="64"/>
        <v>4.566883036574213E-12</v>
      </c>
      <c r="CC90" s="59">
        <f t="shared" si="65"/>
        <v>293.33333333333786</v>
      </c>
      <c r="CD90" s="59">
        <f ca="1">AVERAGE(OFFSET($CC$3,0,0,'Données projet'!$E$12+1,1))-AVERAGE(OFFSET($H$3,0,0,'Données projet'!$E$12+1,1))</f>
        <v>321.23599968992932</v>
      </c>
      <c r="CE90" s="59">
        <f t="shared" si="94"/>
        <v>388.05195847800502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1.1818490580581564</v>
      </c>
      <c r="CL90" s="21">
        <f>EXP(-LN(2)/25)*CL89+(1-EXP(-LN(2)/25))/(LN(2)/25)*Calculateur!CG90*Calculateur!CI90*VLOOKUP('Données projet'!$B$12,Paramètres!$A$1:$I$89,3,0)*0.475*44/12</f>
        <v>4.3443398389124965</v>
      </c>
      <c r="CM90" s="21">
        <f>EXP(-LN(2)/2)*CM89+(1-EXP(-LN(2)/2))/(LN(2)/2)*CG90*CJ90*VLOOKUP('Données projet'!$B$12,Paramètres!$A$1:$I$89,3,0)*0.475*44/12</f>
        <v>3.1775781305169546E-8</v>
      </c>
      <c r="CN90" s="22">
        <f t="shared" si="66"/>
        <v>5.5261889287464339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>
        <f>VLOOKUP(A90,'Données projet'!$A$139:$I$159,2,0)</f>
        <v>243</v>
      </c>
      <c r="CR90" s="12">
        <f>VLOOKUP(A90,'Données projet'!$A$139:$I$159,9,0)</f>
        <v>6.4444444444444446</v>
      </c>
      <c r="CS90" s="12">
        <f t="array" ref="CS90">INDEX(CR:CR,MIN(IF(ISNUMBER(CR90:CR286),ROW(CR90:CR286),"")))</f>
        <v>6.4444444444444446</v>
      </c>
      <c r="CT90" s="12">
        <f>IF('Données projet'!$A$140&gt;35,CT89+CS90-DB89,IF(A90&lt;'Données projet'!$A$140,$CQ$205^A90,IF(A90='Données projet'!$A$140,'Données projet'!$B$140,CT89+CS90-DB89)))</f>
        <v>243.00000000000014</v>
      </c>
      <c r="CU90" s="17">
        <f>CT90*VLOOKUP('Données projet'!$B$13,Paramètres!$A$1:$I$89,3,0)*VLOOKUP('Données projet'!$B$13,Paramètres!$A$1:$I$89,5,0)</f>
        <v>235.02960000000013</v>
      </c>
      <c r="CV90" s="13">
        <f t="shared" si="95"/>
        <v>57.368825686861214</v>
      </c>
      <c r="CW90" s="20">
        <f t="shared" si="67"/>
        <v>509.26059140461683</v>
      </c>
      <c r="CX90" s="59">
        <f t="shared" si="68"/>
        <v>802.59392473795015</v>
      </c>
      <c r="CY90" s="59">
        <f ca="1">AVERAGE(OFFSET($CX$3,0,0,'Données projet'!$E$13+1,1))-AVERAGE(OFFSET($H$3,0,0,'Données projet'!$E$13+1,1))</f>
        <v>399.24912109442175</v>
      </c>
      <c r="CZ90" s="59">
        <f t="shared" si="96"/>
        <v>269.83150082245305</v>
      </c>
      <c r="DA90" s="15">
        <f>IF(ISNA(VLOOKUP(A90,'Données projet'!$A$139:$I$159,3,0)),0,VLOOKUP(A90,'Données projet'!$A$139:$I$159,3,0))</f>
        <v>8</v>
      </c>
      <c r="DB90" s="15">
        <f>IF(ISNA(VLOOKUP(A90,'Données projet'!$A$139:$I$159,4,0)),0,VLOOKUP(A90,'Données projet'!$A$139:$I$159,4,0))</f>
        <v>39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243</v>
      </c>
      <c r="DM90" s="12">
        <f>VLOOKUP(A90,'Données projet'!$A$165:$I$185,9,0)</f>
        <v>6.4444444444444446</v>
      </c>
      <c r="DN90" s="12">
        <f t="array" ref="DN90">INDEX(DM:DM,MIN(IF(ISNUMBER(DM90:DM286),ROW(DM90:DM286),"")))</f>
        <v>6.4444444444444446</v>
      </c>
      <c r="DO90" s="12">
        <f>IF('Données projet'!$A$166&gt;35,DO89+DN90-DW89,IF(A90&lt;'Données projet'!$A$166,$DL$205^A90,IF(A90='Données projet'!$A$166,'Données projet'!$B$166,DO89+DN90-DW89)))</f>
        <v>243.00000000000014</v>
      </c>
      <c r="DP90" s="17">
        <f>DO90*VLOOKUP('Données projet'!$B$14,Paramètres!$A$1:$I$89,3,0)*VLOOKUP('Données projet'!$B$14,Paramètres!$A$1:$I$89,5,0)</f>
        <v>261.56520000000012</v>
      </c>
      <c r="DQ90" s="13">
        <f t="shared" si="97"/>
        <v>63.055898711509336</v>
      </c>
      <c r="DR90" s="20">
        <f t="shared" si="70"/>
        <v>565.38174692254552</v>
      </c>
      <c r="DS90" s="59">
        <f t="shared" si="71"/>
        <v>858.71508025587877</v>
      </c>
      <c r="DT90" s="59">
        <f ca="1">AVERAGE(OFFSET($DS$3,0,0,'Données projet'!$E$14+1,1))-AVERAGE(OFFSET($H$3,0,0,'Données projet'!$E$14+1,1))</f>
        <v>439.66981240211362</v>
      </c>
      <c r="DU90" s="59">
        <f t="shared" si="98"/>
        <v>295.47805371292458</v>
      </c>
      <c r="DV90" s="15">
        <f>IF(ISNA(VLOOKUP(A90,'Données projet'!$A$165:$I$185,3,0)),0,VLOOKUP(A90,'Données projet'!$A$165:$I$185,3,0))</f>
        <v>8</v>
      </c>
      <c r="DW90" s="15">
        <f>IF(ISNA(VLOOKUP(A90,'Données projet'!$A$165:$I$185,4,0)),0,VLOOKUP(A90,'Données projet'!$A$165:$I$185,4,0))</f>
        <v>39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>
        <f>VLOOKUP(A90,'Données projet'!$A$191:$I$211,2,0)</f>
        <v>243</v>
      </c>
      <c r="EH90" s="12">
        <f>VLOOKUP(A90,'Données projet'!$A$191:$I$211,9,0)</f>
        <v>6.4444444444444446</v>
      </c>
      <c r="EI90" s="12">
        <f t="array" ref="EI90">INDEX(EH:EH,MIN(IF(ISNUMBER(EH90:EH286),ROW(EH90:EH286),"")))</f>
        <v>6.4444444444444446</v>
      </c>
      <c r="EJ90" s="12">
        <f>IF('Données projet'!$A$192&gt;35,EJ89+EI90-ER89,IF(A90&lt;'Données projet'!$A$192,$EG$205^A90,IF(A90='Données projet'!$A$192,'Données projet'!$B$192,EJ89+EI90-ER89)))</f>
        <v>243.00000000000014</v>
      </c>
      <c r="EK90" s="17">
        <f>EJ90*VLOOKUP('Données projet'!$B$15,Paramètres!$A$1:$I$89,3,0)*VLOOKUP('Données projet'!$B$15,Paramètres!$A$1:$I$89,5,0)</f>
        <v>231.23880000000011</v>
      </c>
      <c r="EL90" s="13">
        <f t="shared" si="99"/>
        <v>56.55045525673971</v>
      </c>
      <c r="EM90" s="20">
        <f t="shared" si="73"/>
        <v>501.23295290548845</v>
      </c>
      <c r="EN90" s="59">
        <f t="shared" si="74"/>
        <v>794.5662862388217</v>
      </c>
      <c r="EO90" s="59">
        <f ca="1">AVERAGE(OFFSET($EN$3,0,0,'Données projet'!$E$15+1,1))-AVERAGE(OFFSET($H$3,0,0,'Données projet'!$E$15+1,1))</f>
        <v>393.46715670823653</v>
      </c>
      <c r="EP90" s="59">
        <f t="shared" si="100"/>
        <v>266.16261355327214</v>
      </c>
      <c r="EQ90" s="15">
        <f>IF(ISNA(VLOOKUP(A90,'Données projet'!$A$191:$I$211,3,0)),0,VLOOKUP(A90,'Données projet'!$A$191:$I$211,3,0))</f>
        <v>8</v>
      </c>
      <c r="ER90" s="15">
        <f>IF(ISNA(VLOOKUP(A90,'Données projet'!$A$191:$I$211,4,0)),0,VLOOKUP(A90,'Données projet'!$A$191:$I$211,4,0))</f>
        <v>39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549.43232095729741</v>
      </c>
      <c r="T91" s="59">
        <f t="shared" si="88"/>
        <v>280.26155987300996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3.9724149361750611</v>
      </c>
      <c r="AA91" s="21">
        <f>EXP(-LN(2)/25)*AA90+(1-EXP(-LN(2)/25))/(LN(2)/25)*Calculateur!V91*Calculateur!X91*VLOOKUP('Données projet'!$B$9,Paramètres!$A$1:$I$89,3,0)*0.475*44/12</f>
        <v>1.914117537245313</v>
      </c>
      <c r="AB91" s="21">
        <f>EXP(-LN(2)/2)*AB90+(1-EXP(-LN(2)/2))/(LN(2)/2)*V91*Y91*VLOOKUP('Données projet'!$B$9,Paramètres!$A$1:$I$89,3,0)*0.475*44/12</f>
        <v>8.391575890511276E-9</v>
      </c>
      <c r="AC91" s="22">
        <f t="shared" si="57"/>
        <v>5.8865324818119502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348.62416478262719</v>
      </c>
      <c r="AO91" s="59">
        <f t="shared" si="90"/>
        <v>371.70674704563288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4.1995849391091369</v>
      </c>
      <c r="AV91" s="21">
        <f>EXP(-LN(2)/25)*AV90+(1-EXP(-LN(2)/25))/(LN(2)/25)*Calculateur!AQ91*Calculateur!AS91*VLOOKUP('Données projet'!$B$10,Paramètres!$A$1:$I$89,3,0)*0.475*44/12</f>
        <v>2.4448656186100428</v>
      </c>
      <c r="AW91" s="21">
        <f>EXP(-LN(2)/2)*AW90+(1-EXP(-LN(2)/2))/(LN(2)/2)*AQ91*AT91*VLOOKUP('Données projet'!$B$10,Paramètres!$A$1:$I$89,3,0)*0.475*44/12</f>
        <v>2.3200278890273207E-8</v>
      </c>
      <c r="AX91" s="21">
        <f t="shared" si="60"/>
        <v>6.6444505809194592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6.4</v>
      </c>
      <c r="BD91" s="12">
        <f>IF('Données projet'!$A$88&gt;35,BD90+BC91-BL90,IF(A91&lt;'Données projet'!$A$88,$BA$205^A91,IF(A91='Données projet'!$A$88,'Données projet'!$B$88,BD90+BC91-BL90)))</f>
        <v>317.2</v>
      </c>
      <c r="BE91" s="13">
        <f>BD91*VLOOKUP('Données projet'!$B$11,Paramètres!$A$1:$I$89,3,0)*VLOOKUP('Données projet'!$B$11,Paramètres!$A$1:$I$89,5,0)</f>
        <v>287.00255999999996</v>
      </c>
      <c r="BF91" s="13">
        <f t="shared" si="91"/>
        <v>68.444716936118553</v>
      </c>
      <c r="BG91" s="20">
        <f t="shared" si="61"/>
        <v>619.07067399707296</v>
      </c>
      <c r="BH91" s="59">
        <f t="shared" si="62"/>
        <v>912.40400733040633</v>
      </c>
      <c r="BI91" s="59">
        <f ca="1">AVERAGE(OFFSET($BH$3,0,0,'Données projet'!$E$11+1,1))-AVERAGE(OFFSET($H$3,0,0,'Données projet'!$E$11+1,1))</f>
        <v>405.7176439604217</v>
      </c>
      <c r="BJ91" s="59">
        <f t="shared" si="92"/>
        <v>278.21741231699929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2.3172625828096627</v>
      </c>
      <c r="BQ91" s="21">
        <f>EXP(-LN(2)/25)*BQ90+(1-EXP(-LN(2)/25))/(LN(2)/25)*Calculateur!BL91*Calculateur!BN91*VLOOKUP('Données projet'!$B$11,Paramètres!$A$1:$I$89,3,0)*0.475*44/12</f>
        <v>1.8754580138546522</v>
      </c>
      <c r="BR91" s="21">
        <f>EXP(-LN(2)/2)*BR90+(1-EXP(-LN(2)/2))/(LN(2)/2)*BL91*BO91*VLOOKUP('Données projet'!$B$11,Paramètres!$A$1:$I$89,3,0)*0.475*44/12</f>
        <v>1.5897364522028166E-8</v>
      </c>
      <c r="BS91" s="22">
        <f t="shared" si="63"/>
        <v>4.1927206125616792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1.9895196601282805E-13</v>
      </c>
      <c r="BZ91" s="13">
        <f>BY91*VLOOKUP('Données projet'!$B$12,Paramètres!$A$1:$I$89,3,0)*VLOOKUP('Données projet'!$B$12,Paramètres!$A$1:$I$89,5,0)</f>
        <v>1.738044375088066E-13</v>
      </c>
      <c r="CA91" s="13">
        <f t="shared" si="93"/>
        <v>2.4483293633950478E-12</v>
      </c>
      <c r="CB91" s="20">
        <f t="shared" si="64"/>
        <v>4.566883036574213E-12</v>
      </c>
      <c r="CC91" s="59">
        <f t="shared" si="65"/>
        <v>293.33333333333786</v>
      </c>
      <c r="CD91" s="59">
        <f ca="1">AVERAGE(OFFSET($CC$3,0,0,'Données projet'!$E$12+1,1))-AVERAGE(OFFSET($H$3,0,0,'Données projet'!$E$12+1,1))</f>
        <v>321.23599968992932</v>
      </c>
      <c r="CE91" s="59">
        <f t="shared" si="94"/>
        <v>388.05195847800502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1.1586737188863827</v>
      </c>
      <c r="CL91" s="21">
        <f>EXP(-LN(2)/25)*CL90+(1-EXP(-LN(2)/25))/(LN(2)/25)*Calculateur!CG91*Calculateur!CI91*VLOOKUP('Données projet'!$B$12,Paramètres!$A$1:$I$89,3,0)*0.475*44/12</f>
        <v>4.2255436375585314</v>
      </c>
      <c r="CM91" s="21">
        <f>EXP(-LN(2)/2)*CM90+(1-EXP(-LN(2)/2))/(LN(2)/2)*CG91*CJ91*VLOOKUP('Données projet'!$B$12,Paramètres!$A$1:$I$89,3,0)*0.475*44/12</f>
        <v>2.246887043838611E-8</v>
      </c>
      <c r="CN91" s="22">
        <f t="shared" si="66"/>
        <v>5.3842173789137844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6.1</v>
      </c>
      <c r="CT91" s="12">
        <f>IF('Données projet'!$A$140&gt;35,CT90+CS91-DB90,IF(A91&lt;'Données projet'!$A$140,$CQ$205^A91,IF(A91='Données projet'!$A$140,'Données projet'!$B$140,CT90+CS91-DB90)))</f>
        <v>210.10000000000014</v>
      </c>
      <c r="CU91" s="17">
        <f>CT91*VLOOKUP('Données projet'!$B$13,Paramètres!$A$1:$I$89,3,0)*VLOOKUP('Données projet'!$B$13,Paramètres!$A$1:$I$89,5,0)</f>
        <v>203.20872000000014</v>
      </c>
      <c r="CV91" s="13">
        <f t="shared" si="95"/>
        <v>50.448692708654114</v>
      </c>
      <c r="CW91" s="20">
        <f t="shared" si="67"/>
        <v>441.7866604675728</v>
      </c>
      <c r="CX91" s="59">
        <f t="shared" si="68"/>
        <v>735.11999380090606</v>
      </c>
      <c r="CY91" s="59">
        <f ca="1">AVERAGE(OFFSET($CX$3,0,0,'Données projet'!$E$13+1,1))-AVERAGE(OFFSET($H$3,0,0,'Données projet'!$E$13+1,1))</f>
        <v>399.24912109442175</v>
      </c>
      <c r="CZ91" s="59">
        <f t="shared" si="96"/>
        <v>269.83150082245305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6.1</v>
      </c>
      <c r="DO91" s="12">
        <f>IF('Données projet'!$A$166&gt;35,DO90+DN91-DW90,IF(A91&lt;'Données projet'!$A$166,$DL$205^A91,IF(A91='Données projet'!$A$166,'Données projet'!$B$166,DO90+DN91-DW90)))</f>
        <v>210.10000000000014</v>
      </c>
      <c r="DP91" s="17">
        <f>DO91*VLOOKUP('Données projet'!$B$14,Paramètres!$A$1:$I$89,3,0)*VLOOKUP('Données projet'!$B$14,Paramètres!$A$1:$I$89,5,0)</f>
        <v>226.15164000000013</v>
      </c>
      <c r="DQ91" s="13">
        <f t="shared" si="97"/>
        <v>55.449760727689053</v>
      </c>
      <c r="DR91" s="20">
        <f t="shared" si="70"/>
        <v>490.45577293405859</v>
      </c>
      <c r="DS91" s="59">
        <f t="shared" si="71"/>
        <v>783.78910626739184</v>
      </c>
      <c r="DT91" s="59">
        <f ca="1">AVERAGE(OFFSET($DS$3,0,0,'Données projet'!$E$14+1,1))-AVERAGE(OFFSET($H$3,0,0,'Données projet'!$E$14+1,1))</f>
        <v>439.66981240211362</v>
      </c>
      <c r="DU91" s="59">
        <f t="shared" si="98"/>
        <v>295.47805371292458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6.1</v>
      </c>
      <c r="EJ91" s="12">
        <f>IF('Données projet'!$A$192&gt;35,EJ90+EI91-ER90,IF(A91&lt;'Données projet'!$A$192,$EG$205^A91,IF(A91='Données projet'!$A$192,'Données projet'!$B$192,EJ90+EI91-ER90)))</f>
        <v>210.10000000000014</v>
      </c>
      <c r="EK91" s="17">
        <f>EJ91*VLOOKUP('Données projet'!$B$15,Paramètres!$A$1:$I$89,3,0)*VLOOKUP('Données projet'!$B$15,Paramètres!$A$1:$I$89,5,0)</f>
        <v>199.93116000000015</v>
      </c>
      <c r="EL91" s="13">
        <f t="shared" si="99"/>
        <v>49.729038473854182</v>
      </c>
      <c r="EM91" s="20">
        <f t="shared" si="73"/>
        <v>434.82484567529627</v>
      </c>
      <c r="EN91" s="59">
        <f t="shared" si="74"/>
        <v>728.15817900862953</v>
      </c>
      <c r="EO91" s="59">
        <f ca="1">AVERAGE(OFFSET($EN$3,0,0,'Données projet'!$E$15+1,1))-AVERAGE(OFFSET($H$3,0,0,'Données projet'!$E$15+1,1))</f>
        <v>393.46715670823653</v>
      </c>
      <c r="EP91" s="59">
        <f t="shared" si="100"/>
        <v>266.16261355327214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549.43232095729741</v>
      </c>
      <c r="T92" s="59">
        <f t="shared" si="88"/>
        <v>280.26155987300996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3.8945183022105345</v>
      </c>
      <c r="AA92" s="21">
        <f>EXP(-LN(2)/25)*AA91+(1-EXP(-LN(2)/25))/(LN(2)/25)*Calculateur!V92*Calculateur!X92*VLOOKUP('Données projet'!$B$9,Paramètres!$A$1:$I$89,3,0)*0.475*44/12</f>
        <v>1.8617758925302734</v>
      </c>
      <c r="AB92" s="21">
        <f>EXP(-LN(2)/2)*AB91+(1-EXP(-LN(2)/2))/(LN(2)/2)*V92*Y92*VLOOKUP('Données projet'!$B$9,Paramètres!$A$1:$I$89,3,0)*0.475*44/12</f>
        <v>5.9337402170220646E-9</v>
      </c>
      <c r="AC92" s="22">
        <f t="shared" si="57"/>
        <v>5.7562942006745486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348.62416478262719</v>
      </c>
      <c r="AO92" s="59">
        <f t="shared" si="90"/>
        <v>371.70674704563288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4.1172336399470932</v>
      </c>
      <c r="AV92" s="21">
        <f>EXP(-LN(2)/25)*AV91+(1-EXP(-LN(2)/25))/(LN(2)/25)*Calculateur!AQ92*Calculateur!AS92*VLOOKUP('Données projet'!$B$10,Paramètres!$A$1:$I$89,3,0)*0.475*44/12</f>
        <v>2.378010639699256</v>
      </c>
      <c r="AW92" s="21">
        <f>EXP(-LN(2)/2)*AW91+(1-EXP(-LN(2)/2))/(LN(2)/2)*AQ92*AT92*VLOOKUP('Données projet'!$B$10,Paramètres!$A$1:$I$89,3,0)*0.475*44/12</f>
        <v>1.6405074528731294E-8</v>
      </c>
      <c r="AX92" s="21">
        <f t="shared" si="60"/>
        <v>6.4952442960514238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6.4</v>
      </c>
      <c r="BD92" s="12">
        <f>IF('Données projet'!$A$88&gt;35,BD91+BC92-BL91,IF(A92&lt;'Données projet'!$A$88,$BA$205^A92,IF(A92='Données projet'!$A$88,'Données projet'!$B$88,BD91+BC92-BL91)))</f>
        <v>323.59999999999997</v>
      </c>
      <c r="BE92" s="13">
        <f>BD92*VLOOKUP('Données projet'!$B$11,Paramètres!$A$1:$I$89,3,0)*VLOOKUP('Données projet'!$B$11,Paramètres!$A$1:$I$89,5,0)</f>
        <v>292.79327999999992</v>
      </c>
      <c r="BF92" s="13">
        <f t="shared" si="91"/>
        <v>69.663526761731433</v>
      </c>
      <c r="BG92" s="20">
        <f t="shared" si="61"/>
        <v>631.27893844334869</v>
      </c>
      <c r="BH92" s="59">
        <f t="shared" si="62"/>
        <v>924.61227177668206</v>
      </c>
      <c r="BI92" s="59">
        <f ca="1">AVERAGE(OFFSET($BH$3,0,0,'Données projet'!$E$11+1,1))-AVERAGE(OFFSET($H$3,0,0,'Données projet'!$E$11+1,1))</f>
        <v>405.7176439604217</v>
      </c>
      <c r="BJ92" s="59">
        <f t="shared" si="92"/>
        <v>278.21741231699929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2.27182247695138</v>
      </c>
      <c r="BQ92" s="21">
        <f>EXP(-LN(2)/25)*BQ91+(1-EXP(-LN(2)/25))/(LN(2)/25)*Calculateur!BL92*Calculateur!BN92*VLOOKUP('Données projet'!$B$11,Paramètres!$A$1:$I$89,3,0)*0.475*44/12</f>
        <v>1.8241735158397461</v>
      </c>
      <c r="BR92" s="21">
        <f>EXP(-LN(2)/2)*BR91+(1-EXP(-LN(2)/2))/(LN(2)/2)*BL92*BO92*VLOOKUP('Données projet'!$B$11,Paramètres!$A$1:$I$89,3,0)*0.475*44/12</f>
        <v>1.1241134256520554E-8</v>
      </c>
      <c r="BS92" s="22">
        <f t="shared" si="63"/>
        <v>4.0959960040322603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1.9895196601282805E-13</v>
      </c>
      <c r="BZ92" s="13">
        <f>BY92*VLOOKUP('Données projet'!$B$12,Paramètres!$A$1:$I$89,3,0)*VLOOKUP('Données projet'!$B$12,Paramètres!$A$1:$I$89,5,0)</f>
        <v>1.738044375088066E-13</v>
      </c>
      <c r="CA92" s="13">
        <f t="shared" si="93"/>
        <v>2.4483293633950478E-12</v>
      </c>
      <c r="CB92" s="20">
        <f t="shared" si="64"/>
        <v>4.566883036574213E-12</v>
      </c>
      <c r="CC92" s="59">
        <f t="shared" si="65"/>
        <v>293.33333333333786</v>
      </c>
      <c r="CD92" s="59">
        <f ca="1">AVERAGE(OFFSET($CC$3,0,0,'Données projet'!$E$12+1,1))-AVERAGE(OFFSET($H$3,0,0,'Données projet'!$E$12+1,1))</f>
        <v>321.23599968992932</v>
      </c>
      <c r="CE92" s="59">
        <f t="shared" si="94"/>
        <v>388.05195847800502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1.1359528339802063</v>
      </c>
      <c r="CL92" s="21">
        <f>EXP(-LN(2)/25)*CL91+(1-EXP(-LN(2)/25))/(LN(2)/25)*Calculateur!CG92*Calculateur!CI92*VLOOKUP('Données projet'!$B$12,Paramètres!$A$1:$I$89,3,0)*0.475*44/12</f>
        <v>4.1099959245778113</v>
      </c>
      <c r="CM92" s="21">
        <f>EXP(-LN(2)/2)*CM91+(1-EXP(-LN(2)/2))/(LN(2)/2)*CG92*CJ92*VLOOKUP('Données projet'!$B$12,Paramètres!$A$1:$I$89,3,0)*0.475*44/12</f>
        <v>1.5887890652584773E-8</v>
      </c>
      <c r="CN92" s="22">
        <f t="shared" si="66"/>
        <v>5.2459487744459086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6.1</v>
      </c>
      <c r="CT92" s="12">
        <f>IF('Données projet'!$A$140&gt;35,CT91+CS92-DB91,IF(A92&lt;'Données projet'!$A$140,$CQ$205^A92,IF(A92='Données projet'!$A$140,'Données projet'!$B$140,CT91+CS92-DB91)))</f>
        <v>216.20000000000013</v>
      </c>
      <c r="CU92" s="17">
        <f>CT92*VLOOKUP('Données projet'!$B$13,Paramètres!$A$1:$I$89,3,0)*VLOOKUP('Données projet'!$B$13,Paramètres!$A$1:$I$89,5,0)</f>
        <v>209.10864000000012</v>
      </c>
      <c r="CV92" s="13">
        <f t="shared" si="95"/>
        <v>51.740752917407086</v>
      </c>
      <c r="CW92" s="20">
        <f t="shared" si="67"/>
        <v>454.31269266448425</v>
      </c>
      <c r="CX92" s="59">
        <f t="shared" si="68"/>
        <v>747.64602599781756</v>
      </c>
      <c r="CY92" s="59">
        <f ca="1">AVERAGE(OFFSET($CX$3,0,0,'Données projet'!$E$13+1,1))-AVERAGE(OFFSET($H$3,0,0,'Données projet'!$E$13+1,1))</f>
        <v>399.24912109442175</v>
      </c>
      <c r="CZ92" s="59">
        <f t="shared" si="96"/>
        <v>269.83150082245305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6.1</v>
      </c>
      <c r="DO92" s="12">
        <f>IF('Données projet'!$A$166&gt;35,DO91+DN92-DW91,IF(A92&lt;'Données projet'!$A$166,$DL$205^A92,IF(A92='Données projet'!$A$166,'Données projet'!$B$166,DO91+DN92-DW91)))</f>
        <v>216.20000000000013</v>
      </c>
      <c r="DP92" s="17">
        <f>DO92*VLOOKUP('Données projet'!$B$14,Paramètres!$A$1:$I$89,3,0)*VLOOKUP('Données projet'!$B$14,Paramètres!$A$1:$I$89,5,0)</f>
        <v>232.71768000000014</v>
      </c>
      <c r="DQ92" s="13">
        <f t="shared" si="97"/>
        <v>56.869905147186181</v>
      </c>
      <c r="DR92" s="20">
        <f t="shared" si="70"/>
        <v>504.36504413134952</v>
      </c>
      <c r="DS92" s="59">
        <f t="shared" si="71"/>
        <v>797.69837746468284</v>
      </c>
      <c r="DT92" s="59">
        <f ca="1">AVERAGE(OFFSET($DS$3,0,0,'Données projet'!$E$14+1,1))-AVERAGE(OFFSET($H$3,0,0,'Données projet'!$E$14+1,1))</f>
        <v>439.66981240211362</v>
      </c>
      <c r="DU92" s="59">
        <f t="shared" si="98"/>
        <v>295.47805371292458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6.1</v>
      </c>
      <c r="EJ92" s="12">
        <f>IF('Données projet'!$A$192&gt;35,EJ91+EI92-ER91,IF(A92&lt;'Données projet'!$A$192,$EG$205^A92,IF(A92='Données projet'!$A$192,'Données projet'!$B$192,EJ91+EI92-ER91)))</f>
        <v>216.20000000000013</v>
      </c>
      <c r="EK92" s="17">
        <f>EJ92*VLOOKUP('Données projet'!$B$15,Paramètres!$A$1:$I$89,3,0)*VLOOKUP('Données projet'!$B$15,Paramètres!$A$1:$I$89,5,0)</f>
        <v>205.73592000000014</v>
      </c>
      <c r="EL92" s="13">
        <f t="shared" si="99"/>
        <v>51.00266735067521</v>
      </c>
      <c r="EM92" s="20">
        <f t="shared" si="73"/>
        <v>447.15303963575957</v>
      </c>
      <c r="EN92" s="59">
        <f t="shared" si="74"/>
        <v>740.48637296909283</v>
      </c>
      <c r="EO92" s="59">
        <f ca="1">AVERAGE(OFFSET($EN$3,0,0,'Données projet'!$E$15+1,1))-AVERAGE(OFFSET($H$3,0,0,'Données projet'!$E$15+1,1))</f>
        <v>393.46715670823653</v>
      </c>
      <c r="EP92" s="59">
        <f t="shared" si="100"/>
        <v>266.16261355327214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549.43232095729741</v>
      </c>
      <c r="T93" s="59">
        <f t="shared" si="88"/>
        <v>280.26155987300996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3.8181491737257969</v>
      </c>
      <c r="AA93" s="21">
        <f>EXP(-LN(2)/25)*AA92+(1-EXP(-LN(2)/25))/(LN(2)/25)*Calculateur!V93*Calculateur!X93*VLOOKUP('Données projet'!$B$9,Paramètres!$A$1:$I$89,3,0)*0.475*44/12</f>
        <v>1.8108655328424941</v>
      </c>
      <c r="AB93" s="21">
        <f>EXP(-LN(2)/2)*AB92+(1-EXP(-LN(2)/2))/(LN(2)/2)*V93*Y93*VLOOKUP('Données projet'!$B$9,Paramètres!$A$1:$I$89,3,0)*0.475*44/12</f>
        <v>4.195787945255638E-9</v>
      </c>
      <c r="AC93" s="22">
        <f t="shared" si="57"/>
        <v>5.6290147107640784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348.62416478262719</v>
      </c>
      <c r="AO93" s="59">
        <f t="shared" si="90"/>
        <v>371.70674704563288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4.0364971995322847</v>
      </c>
      <c r="AV93" s="21">
        <f>EXP(-LN(2)/25)*AV92+(1-EXP(-LN(2)/25))/(LN(2)/25)*Calculateur!AQ93*Calculateur!AS93*VLOOKUP('Données projet'!$B$10,Paramètres!$A$1:$I$89,3,0)*0.475*44/12</f>
        <v>2.3129838137025351</v>
      </c>
      <c r="AW93" s="21">
        <f>EXP(-LN(2)/2)*AW92+(1-EXP(-LN(2)/2))/(LN(2)/2)*AQ93*AT93*VLOOKUP('Données projet'!$B$10,Paramètres!$A$1:$I$89,3,0)*0.475*44/12</f>
        <v>1.1600139445136603E-8</v>
      </c>
      <c r="AX93" s="21">
        <f t="shared" si="60"/>
        <v>6.3494810248349598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330</v>
      </c>
      <c r="BB93" s="12">
        <f>VLOOKUP(A93,'Données projet'!$A$87:$I$107,9,0)</f>
        <v>6.4</v>
      </c>
      <c r="BC93" s="12">
        <f t="array" ref="BC93">INDEX(BB:BB,MIN(IF(ISNUMBER(BB93:BB289),ROW(BB93:BB289),"")))</f>
        <v>6.4</v>
      </c>
      <c r="BD93" s="12">
        <f>IF('Données projet'!$A$88&gt;35,BD92+BC93-BL92,IF(A93&lt;'Données projet'!$A$88,$BA$205^A93,IF(A93='Données projet'!$A$88,'Données projet'!$B$88,BD92+BC93-BL92)))</f>
        <v>329.99999999999994</v>
      </c>
      <c r="BE93" s="13">
        <f>BD93*VLOOKUP('Données projet'!$B$11,Paramètres!$A$1:$I$89,3,0)*VLOOKUP('Données projet'!$B$11,Paramètres!$A$1:$I$89,5,0)</f>
        <v>298.58399999999995</v>
      </c>
      <c r="BF93" s="13">
        <f t="shared" si="91"/>
        <v>70.879533797607607</v>
      </c>
      <c r="BG93" s="20">
        <f t="shared" si="61"/>
        <v>643.48232136416652</v>
      </c>
      <c r="BH93" s="59">
        <f t="shared" si="62"/>
        <v>936.81565469749989</v>
      </c>
      <c r="BI93" s="59">
        <f ca="1">AVERAGE(OFFSET($BH$3,0,0,'Données projet'!$E$11+1,1))-AVERAGE(OFFSET($H$3,0,0,'Données projet'!$E$11+1,1))</f>
        <v>405.7176439604217</v>
      </c>
      <c r="BJ93" s="59">
        <f t="shared" si="92"/>
        <v>278.21741231699929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2.2272734238532501</v>
      </c>
      <c r="BQ93" s="21">
        <f>EXP(-LN(2)/25)*BQ92+(1-EXP(-LN(2)/25))/(LN(2)/25)*Calculateur!BL93*Calculateur!BN93*VLOOKUP('Données projet'!$B$11,Paramètres!$A$1:$I$89,3,0)*0.475*44/12</f>
        <v>1.7742913951199921</v>
      </c>
      <c r="BR93" s="21">
        <f>EXP(-LN(2)/2)*BR92+(1-EXP(-LN(2)/2))/(LN(2)/2)*BL93*BO93*VLOOKUP('Données projet'!$B$11,Paramètres!$A$1:$I$89,3,0)*0.475*44/12</f>
        <v>7.9486822610140829E-9</v>
      </c>
      <c r="BS93" s="22">
        <f t="shared" si="63"/>
        <v>4.0015648269219248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1.9895196601282805E-13</v>
      </c>
      <c r="BZ93" s="13">
        <f>BY93*VLOOKUP('Données projet'!$B$12,Paramètres!$A$1:$I$89,3,0)*VLOOKUP('Données projet'!$B$12,Paramètres!$A$1:$I$89,5,0)</f>
        <v>1.738044375088066E-13</v>
      </c>
      <c r="CA93" s="13">
        <f t="shared" si="93"/>
        <v>2.4483293633950478E-12</v>
      </c>
      <c r="CB93" s="20">
        <f t="shared" si="64"/>
        <v>4.566883036574213E-12</v>
      </c>
      <c r="CC93" s="59">
        <f t="shared" si="65"/>
        <v>293.33333333333786</v>
      </c>
      <c r="CD93" s="59">
        <f ca="1">AVERAGE(OFFSET($CC$3,0,0,'Données projet'!$E$12+1,1))-AVERAGE(OFFSET($H$3,0,0,'Données projet'!$E$12+1,1))</f>
        <v>321.23599968992932</v>
      </c>
      <c r="CE93" s="59">
        <f t="shared" si="94"/>
        <v>388.05195847800502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1.1136774917686687</v>
      </c>
      <c r="CL93" s="21">
        <f>EXP(-LN(2)/25)*CL92+(1-EXP(-LN(2)/25))/(LN(2)/25)*Calculateur!CG93*Calculateur!CI93*VLOOKUP('Données projet'!$B$12,Paramètres!$A$1:$I$89,3,0)*0.475*44/12</f>
        <v>3.9976078698849387</v>
      </c>
      <c r="CM93" s="21">
        <f>EXP(-LN(2)/2)*CM92+(1-EXP(-LN(2)/2))/(LN(2)/2)*CG93*CJ93*VLOOKUP('Données projet'!$B$12,Paramètres!$A$1:$I$89,3,0)*0.475*44/12</f>
        <v>1.1234435219193055E-8</v>
      </c>
      <c r="CN93" s="22">
        <f t="shared" si="66"/>
        <v>5.1112853728880427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6.1</v>
      </c>
      <c r="CT93" s="12">
        <f>IF('Données projet'!$A$140&gt;35,CT92+CS93-DB92,IF(A93&lt;'Données projet'!$A$140,$CQ$205^A93,IF(A93='Données projet'!$A$140,'Données projet'!$B$140,CT92+CS93-DB92)))</f>
        <v>222.30000000000013</v>
      </c>
      <c r="CU93" s="17">
        <f>CT93*VLOOKUP('Données projet'!$B$13,Paramètres!$A$1:$I$89,3,0)*VLOOKUP('Données projet'!$B$13,Paramètres!$A$1:$I$89,5,0)</f>
        <v>215.00856000000013</v>
      </c>
      <c r="CV93" s="13">
        <f t="shared" si="95"/>
        <v>53.028576132517351</v>
      </c>
      <c r="CW93" s="20">
        <f t="shared" si="67"/>
        <v>466.83134543080132</v>
      </c>
      <c r="CX93" s="59">
        <f t="shared" si="68"/>
        <v>760.16467876413458</v>
      </c>
      <c r="CY93" s="59">
        <f ca="1">AVERAGE(OFFSET($CX$3,0,0,'Données projet'!$E$13+1,1))-AVERAGE(OFFSET($H$3,0,0,'Données projet'!$E$13+1,1))</f>
        <v>399.24912109442175</v>
      </c>
      <c r="CZ93" s="59">
        <f t="shared" si="96"/>
        <v>269.83150082245305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6.1</v>
      </c>
      <c r="DO93" s="12">
        <f>IF('Données projet'!$A$166&gt;35,DO92+DN93-DW92,IF(A93&lt;'Données projet'!$A$166,$DL$205^A93,IF(A93='Données projet'!$A$166,'Données projet'!$B$166,DO92+DN93-DW92)))</f>
        <v>222.30000000000013</v>
      </c>
      <c r="DP93" s="17">
        <f>DO93*VLOOKUP('Données projet'!$B$14,Paramètres!$A$1:$I$89,3,0)*VLOOKUP('Données projet'!$B$14,Paramètres!$A$1:$I$89,5,0)</f>
        <v>239.28372000000013</v>
      </c>
      <c r="DQ93" s="13">
        <f t="shared" si="97"/>
        <v>58.285392552376713</v>
      </c>
      <c r="DR93" s="20">
        <f t="shared" si="70"/>
        <v>518.26620436205633</v>
      </c>
      <c r="DS93" s="59">
        <f t="shared" si="71"/>
        <v>811.5995376953897</v>
      </c>
      <c r="DT93" s="59">
        <f ca="1">AVERAGE(OFFSET($DS$3,0,0,'Données projet'!$E$14+1,1))-AVERAGE(OFFSET($H$3,0,0,'Données projet'!$E$14+1,1))</f>
        <v>439.66981240211362</v>
      </c>
      <c r="DU93" s="59">
        <f t="shared" si="98"/>
        <v>295.47805371292458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6.1</v>
      </c>
      <c r="EJ93" s="12">
        <f>IF('Données projet'!$A$192&gt;35,EJ92+EI93-ER92,IF(A93&lt;'Données projet'!$A$192,$EG$205^A93,IF(A93='Données projet'!$A$192,'Données projet'!$B$192,EJ92+EI93-ER92)))</f>
        <v>222.30000000000013</v>
      </c>
      <c r="EK93" s="17">
        <f>EJ93*VLOOKUP('Données projet'!$B$15,Paramètres!$A$1:$I$89,3,0)*VLOOKUP('Données projet'!$B$15,Paramètres!$A$1:$I$89,5,0)</f>
        <v>211.54068000000012</v>
      </c>
      <c r="EL93" s="13">
        <f t="shared" si="99"/>
        <v>52.272119674873004</v>
      </c>
      <c r="EM93" s="20">
        <f t="shared" si="73"/>
        <v>459.47395943373732</v>
      </c>
      <c r="EN93" s="59">
        <f t="shared" si="74"/>
        <v>752.80729276707063</v>
      </c>
      <c r="EO93" s="59">
        <f ca="1">AVERAGE(OFFSET($EN$3,0,0,'Données projet'!$E$15+1,1))-AVERAGE(OFFSET($H$3,0,0,'Données projet'!$E$15+1,1))</f>
        <v>393.46715670823653</v>
      </c>
      <c r="EP93" s="59">
        <f t="shared" si="100"/>
        <v>266.16261355327214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549.43232095729741</v>
      </c>
      <c r="T94" s="59">
        <f t="shared" si="88"/>
        <v>280.26155987300996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3.743277597270076</v>
      </c>
      <c r="AA94" s="21">
        <f>EXP(-LN(2)/25)*AA93+(1-EXP(-LN(2)/25))/(LN(2)/25)*Calculateur!V94*Calculateur!X94*VLOOKUP('Données projet'!$B$9,Paramètres!$A$1:$I$89,3,0)*0.475*44/12</f>
        <v>1.7613473196176366</v>
      </c>
      <c r="AB94" s="21">
        <f>EXP(-LN(2)/2)*AB93+(1-EXP(-LN(2)/2))/(LN(2)/2)*V94*Y94*VLOOKUP('Données projet'!$B$9,Paramètres!$A$1:$I$89,3,0)*0.475*44/12</f>
        <v>2.9668701085110323E-9</v>
      </c>
      <c r="AC94" s="22">
        <f t="shared" si="57"/>
        <v>5.5046249198545825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348.62416478262719</v>
      </c>
      <c r="AO94" s="59">
        <f t="shared" si="90"/>
        <v>371.70674704563288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3.9573439514696438</v>
      </c>
      <c r="AV94" s="21">
        <f>EXP(-LN(2)/25)*AV93+(1-EXP(-LN(2)/25))/(LN(2)/25)*Calculateur!AQ94*Calculateur!AS94*VLOOKUP('Données projet'!$B$10,Paramètres!$A$1:$I$89,3,0)*0.475*44/12</f>
        <v>2.2497351496823068</v>
      </c>
      <c r="AW94" s="21">
        <f>EXP(-LN(2)/2)*AW93+(1-EXP(-LN(2)/2))/(LN(2)/2)*AQ94*AT94*VLOOKUP('Données projet'!$B$10,Paramètres!$A$1:$I$89,3,0)*0.475*44/12</f>
        <v>8.202537264365647E-9</v>
      </c>
      <c r="AX94" s="21">
        <f t="shared" si="60"/>
        <v>6.2070791093544884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6.2</v>
      </c>
      <c r="BD94" s="12">
        <f>IF('Données projet'!$A$88&gt;35,BD93+BC94-BL93,IF(A94&lt;'Données projet'!$A$88,$BA$205^A94,IF(A94='Données projet'!$A$88,'Données projet'!$B$88,BD93+BC94-BL93)))</f>
        <v>308.19999999999993</v>
      </c>
      <c r="BE94" s="13">
        <f>BD94*VLOOKUP('Données projet'!$B$11,Paramètres!$A$1:$I$89,3,0)*VLOOKUP('Données projet'!$B$11,Paramètres!$A$1:$I$89,5,0)</f>
        <v>278.85935999999992</v>
      </c>
      <c r="BF94" s="13">
        <f t="shared" si="91"/>
        <v>66.725901622172387</v>
      </c>
      <c r="BG94" s="20">
        <f t="shared" si="61"/>
        <v>601.8943306586167</v>
      </c>
      <c r="BH94" s="59">
        <f t="shared" si="62"/>
        <v>895.22766399195007</v>
      </c>
      <c r="BI94" s="59">
        <f ca="1">AVERAGE(OFFSET($BH$3,0,0,'Données projet'!$E$11+1,1))-AVERAGE(OFFSET($H$3,0,0,'Données projet'!$E$11+1,1))</f>
        <v>405.7176439604217</v>
      </c>
      <c r="BJ94" s="59">
        <f t="shared" si="92"/>
        <v>278.21741231699929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2.1835979505141356</v>
      </c>
      <c r="BQ94" s="21">
        <f>EXP(-LN(2)/25)*BQ93+(1-EXP(-LN(2)/25))/(LN(2)/25)*Calculateur!BL94*Calculateur!BN94*VLOOKUP('Données projet'!$B$11,Paramètres!$A$1:$I$89,3,0)*0.475*44/12</f>
        <v>1.7257733036145066</v>
      </c>
      <c r="BR94" s="21">
        <f>EXP(-LN(2)/2)*BR93+(1-EXP(-LN(2)/2))/(LN(2)/2)*BL94*BO94*VLOOKUP('Données projet'!$B$11,Paramètres!$A$1:$I$89,3,0)*0.475*44/12</f>
        <v>5.620567128260277E-9</v>
      </c>
      <c r="BS94" s="22">
        <f t="shared" si="63"/>
        <v>3.9093712597492094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1.9895196601282805E-13</v>
      </c>
      <c r="BZ94" s="13">
        <f>BY94*VLOOKUP('Données projet'!$B$12,Paramètres!$A$1:$I$89,3,0)*VLOOKUP('Données projet'!$B$12,Paramètres!$A$1:$I$89,5,0)</f>
        <v>1.738044375088066E-13</v>
      </c>
      <c r="CA94" s="13">
        <f t="shared" si="93"/>
        <v>2.4483293633950478E-12</v>
      </c>
      <c r="CB94" s="20">
        <f t="shared" si="64"/>
        <v>4.566883036574213E-12</v>
      </c>
      <c r="CC94" s="59">
        <f t="shared" si="65"/>
        <v>293.33333333333786</v>
      </c>
      <c r="CD94" s="59">
        <f ca="1">AVERAGE(OFFSET($CC$3,0,0,'Données projet'!$E$12+1,1))-AVERAGE(OFFSET($H$3,0,0,'Données projet'!$E$12+1,1))</f>
        <v>321.23599968992932</v>
      </c>
      <c r="CE94" s="59">
        <f t="shared" si="94"/>
        <v>388.05195847800502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1.0918389554312822</v>
      </c>
      <c r="CL94" s="21">
        <f>EXP(-LN(2)/25)*CL93+(1-EXP(-LN(2)/25))/(LN(2)/25)*Calculateur!CG94*Calculateur!CI94*VLOOKUP('Données projet'!$B$12,Paramètres!$A$1:$I$89,3,0)*0.475*44/12</f>
        <v>3.8882930724578739</v>
      </c>
      <c r="CM94" s="21">
        <f>EXP(-LN(2)/2)*CM93+(1-EXP(-LN(2)/2))/(LN(2)/2)*CG94*CJ94*VLOOKUP('Données projet'!$B$12,Paramètres!$A$1:$I$89,3,0)*0.475*44/12</f>
        <v>7.9439453262923864E-9</v>
      </c>
      <c r="CN94" s="22">
        <f t="shared" si="66"/>
        <v>4.9801320358331012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6.1</v>
      </c>
      <c r="CT94" s="12">
        <f>IF('Données projet'!$A$140&gt;35,CT93+CS94-DB93,IF(A94&lt;'Données projet'!$A$140,$CQ$205^A94,IF(A94='Données projet'!$A$140,'Données projet'!$B$140,CT93+CS94-DB93)))</f>
        <v>228.40000000000012</v>
      </c>
      <c r="CU94" s="17">
        <f>CT94*VLOOKUP('Données projet'!$B$13,Paramètres!$A$1:$I$89,3,0)*VLOOKUP('Données projet'!$B$13,Paramètres!$A$1:$I$89,5,0)</f>
        <v>220.90848000000011</v>
      </c>
      <c r="CV94" s="13">
        <f t="shared" si="95"/>
        <v>54.312291977864867</v>
      </c>
      <c r="CW94" s="20">
        <f t="shared" si="67"/>
        <v>479.34284452811477</v>
      </c>
      <c r="CX94" s="59">
        <f t="shared" si="68"/>
        <v>772.67617786144808</v>
      </c>
      <c r="CY94" s="59">
        <f ca="1">AVERAGE(OFFSET($CX$3,0,0,'Données projet'!$E$13+1,1))-AVERAGE(OFFSET($H$3,0,0,'Données projet'!$E$13+1,1))</f>
        <v>399.24912109442175</v>
      </c>
      <c r="CZ94" s="59">
        <f t="shared" si="96"/>
        <v>269.83150082245305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6.1</v>
      </c>
      <c r="DO94" s="12">
        <f>IF('Données projet'!$A$166&gt;35,DO93+DN94-DW93,IF(A94&lt;'Données projet'!$A$166,$DL$205^A94,IF(A94='Données projet'!$A$166,'Données projet'!$B$166,DO93+DN94-DW93)))</f>
        <v>228.40000000000012</v>
      </c>
      <c r="DP94" s="17">
        <f>DO94*VLOOKUP('Données projet'!$B$14,Paramètres!$A$1:$I$89,3,0)*VLOOKUP('Données projet'!$B$14,Paramètres!$A$1:$I$89,5,0)</f>
        <v>245.84976000000009</v>
      </c>
      <c r="DQ94" s="13">
        <f t="shared" si="97"/>
        <v>59.696365416984804</v>
      </c>
      <c r="DR94" s="20">
        <f t="shared" si="70"/>
        <v>532.15950176791534</v>
      </c>
      <c r="DS94" s="59">
        <f t="shared" si="71"/>
        <v>825.4928351012486</v>
      </c>
      <c r="DT94" s="59">
        <f ca="1">AVERAGE(OFFSET($DS$3,0,0,'Données projet'!$E$14+1,1))-AVERAGE(OFFSET($H$3,0,0,'Données projet'!$E$14+1,1))</f>
        <v>439.66981240211362</v>
      </c>
      <c r="DU94" s="59">
        <f t="shared" si="98"/>
        <v>295.47805371292458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6.1</v>
      </c>
      <c r="EJ94" s="12">
        <f>IF('Données projet'!$A$192&gt;35,EJ93+EI94-ER93,IF(A94&lt;'Données projet'!$A$192,$EG$205^A94,IF(A94='Données projet'!$A$192,'Données projet'!$B$192,EJ93+EI94-ER93)))</f>
        <v>228.40000000000012</v>
      </c>
      <c r="EK94" s="17">
        <f>EJ94*VLOOKUP('Données projet'!$B$15,Paramètres!$A$1:$I$89,3,0)*VLOOKUP('Données projet'!$B$15,Paramètres!$A$1:$I$89,5,0)</f>
        <v>217.34544000000011</v>
      </c>
      <c r="EL94" s="13">
        <f t="shared" si="99"/>
        <v>53.537523221233521</v>
      </c>
      <c r="EM94" s="20">
        <f t="shared" si="73"/>
        <v>471.78782761031522</v>
      </c>
      <c r="EN94" s="59">
        <f t="shared" si="74"/>
        <v>765.12116094364853</v>
      </c>
      <c r="EO94" s="59">
        <f ca="1">AVERAGE(OFFSET($EN$3,0,0,'Données projet'!$E$15+1,1))-AVERAGE(OFFSET($H$3,0,0,'Données projet'!$E$15+1,1))</f>
        <v>393.46715670823653</v>
      </c>
      <c r="EP94" s="59">
        <f t="shared" si="100"/>
        <v>266.16261355327214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549.43232095729741</v>
      </c>
      <c r="T95" s="59">
        <f t="shared" si="88"/>
        <v>280.26155987300996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3.6698742067614996</v>
      </c>
      <c r="AA95" s="21">
        <f>EXP(-LN(2)/25)*AA94+(1-EXP(-LN(2)/25))/(LN(2)/25)*Calculateur!V95*Calculateur!X95*VLOOKUP('Données projet'!$B$9,Paramètres!$A$1:$I$89,3,0)*0.475*44/12</f>
        <v>1.7131831845374623</v>
      </c>
      <c r="AB95" s="21">
        <f>EXP(-LN(2)/2)*AB94+(1-EXP(-LN(2)/2))/(LN(2)/2)*V95*Y95*VLOOKUP('Données projet'!$B$9,Paramètres!$A$1:$I$89,3,0)*0.475*44/12</f>
        <v>2.097893972627819E-9</v>
      </c>
      <c r="AC95" s="22">
        <f t="shared" si="57"/>
        <v>5.3830573933968564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348.62416478262719</v>
      </c>
      <c r="AO95" s="59">
        <f t="shared" si="90"/>
        <v>371.70674704563288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3.8797428503227973</v>
      </c>
      <c r="AV95" s="21">
        <f>EXP(-LN(2)/25)*AV94+(1-EXP(-LN(2)/25))/(LN(2)/25)*Calculateur!AQ95*Calculateur!AS95*VLOOKUP('Données projet'!$B$10,Paramètres!$A$1:$I$89,3,0)*0.475*44/12</f>
        <v>2.1882160237058144</v>
      </c>
      <c r="AW95" s="21">
        <f>EXP(-LN(2)/2)*AW94+(1-EXP(-LN(2)/2))/(LN(2)/2)*AQ95*AT95*VLOOKUP('Données projet'!$B$10,Paramètres!$A$1:$I$89,3,0)*0.475*44/12</f>
        <v>5.8000697225683017E-9</v>
      </c>
      <c r="AX95" s="21">
        <f t="shared" si="60"/>
        <v>6.0679588798286819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6.2</v>
      </c>
      <c r="BD95" s="12">
        <f>IF('Données projet'!$A$88&gt;35,BD94+BC95-BL94,IF(A95&lt;'Données projet'!$A$88,$BA$205^A95,IF(A95='Données projet'!$A$88,'Données projet'!$B$88,BD94+BC95-BL94)))</f>
        <v>314.39999999999992</v>
      </c>
      <c r="BE95" s="13">
        <f>BD95*VLOOKUP('Données projet'!$B$11,Paramètres!$A$1:$I$89,3,0)*VLOOKUP('Données projet'!$B$11,Paramètres!$A$1:$I$89,5,0)</f>
        <v>284.46911999999992</v>
      </c>
      <c r="BF95" s="13">
        <f t="shared" si="91"/>
        <v>67.91059023737904</v>
      </c>
      <c r="BG95" s="20">
        <f t="shared" si="61"/>
        <v>613.72799533010163</v>
      </c>
      <c r="BH95" s="59">
        <f t="shared" si="62"/>
        <v>907.06132866343501</v>
      </c>
      <c r="BI95" s="59">
        <f ca="1">AVERAGE(OFFSET($BH$3,0,0,'Données projet'!$E$11+1,1))-AVERAGE(OFFSET($H$3,0,0,'Données projet'!$E$11+1,1))</f>
        <v>405.7176439604217</v>
      </c>
      <c r="BJ95" s="59">
        <f t="shared" si="92"/>
        <v>278.21741231699929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2.1407789265677928</v>
      </c>
      <c r="BQ95" s="21">
        <f>EXP(-LN(2)/25)*BQ94+(1-EXP(-LN(2)/25))/(LN(2)/25)*Calculateur!BL95*Calculateur!BN95*VLOOKUP('Données projet'!$B$11,Paramètres!$A$1:$I$89,3,0)*0.475*44/12</f>
        <v>1.6785819418726942</v>
      </c>
      <c r="BR95" s="21">
        <f>EXP(-LN(2)/2)*BR94+(1-EXP(-LN(2)/2))/(LN(2)/2)*BL95*BO95*VLOOKUP('Données projet'!$B$11,Paramètres!$A$1:$I$89,3,0)*0.475*44/12</f>
        <v>3.9743411305070415E-9</v>
      </c>
      <c r="BS95" s="22">
        <f t="shared" si="63"/>
        <v>3.8193608724148285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1.9895196601282805E-13</v>
      </c>
      <c r="BZ95" s="13">
        <f>BY95*VLOOKUP('Données projet'!$B$12,Paramètres!$A$1:$I$89,3,0)*VLOOKUP('Données projet'!$B$12,Paramètres!$A$1:$I$89,5,0)</f>
        <v>1.738044375088066E-13</v>
      </c>
      <c r="CA95" s="13">
        <f t="shared" si="93"/>
        <v>2.4483293633950478E-12</v>
      </c>
      <c r="CB95" s="20">
        <f t="shared" si="64"/>
        <v>4.566883036574213E-12</v>
      </c>
      <c r="CC95" s="59">
        <f t="shared" si="65"/>
        <v>293.33333333333786</v>
      </c>
      <c r="CD95" s="59">
        <f ca="1">AVERAGE(OFFSET($CC$3,0,0,'Données projet'!$E$12+1,1))-AVERAGE(OFFSET($H$3,0,0,'Données projet'!$E$12+1,1))</f>
        <v>321.23599968992932</v>
      </c>
      <c r="CE95" s="59">
        <f t="shared" si="94"/>
        <v>388.05195847800502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1.0704286594712797</v>
      </c>
      <c r="CL95" s="21">
        <f>EXP(-LN(2)/25)*CL94+(1-EXP(-LN(2)/25))/(LN(2)/25)*Calculateur!CG95*Calculateur!CI95*VLOOKUP('Données projet'!$B$12,Paramètres!$A$1:$I$89,3,0)*0.475*44/12</f>
        <v>3.7819674939150674</v>
      </c>
      <c r="CM95" s="21">
        <f>EXP(-LN(2)/2)*CM94+(1-EXP(-LN(2)/2))/(LN(2)/2)*CG95*CJ95*VLOOKUP('Données projet'!$B$12,Paramètres!$A$1:$I$89,3,0)*0.475*44/12</f>
        <v>5.6172176095965274E-9</v>
      </c>
      <c r="CN95" s="22">
        <f t="shared" si="66"/>
        <v>4.8523961590035647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6.1</v>
      </c>
      <c r="CT95" s="12">
        <f>IF('Données projet'!$A$140&gt;35,CT94+CS95-DB94,IF(A95&lt;'Données projet'!$A$140,$CQ$205^A95,IF(A95='Données projet'!$A$140,'Données projet'!$B$140,CT94+CS95-DB94)))</f>
        <v>234.50000000000011</v>
      </c>
      <c r="CU95" s="17">
        <f>CT95*VLOOKUP('Données projet'!$B$13,Paramètres!$A$1:$I$89,3,0)*VLOOKUP('Données projet'!$B$13,Paramètres!$A$1:$I$89,5,0)</f>
        <v>226.80840000000012</v>
      </c>
      <c r="CV95" s="13">
        <f t="shared" si="95"/>
        <v>55.592022759242624</v>
      </c>
      <c r="CW95" s="20">
        <f t="shared" si="67"/>
        <v>491.84740297234777</v>
      </c>
      <c r="CX95" s="59">
        <f t="shared" si="68"/>
        <v>785.18073630568108</v>
      </c>
      <c r="CY95" s="59">
        <f ca="1">AVERAGE(OFFSET($CX$3,0,0,'Données projet'!$E$13+1,1))-AVERAGE(OFFSET($H$3,0,0,'Données projet'!$E$13+1,1))</f>
        <v>399.24912109442175</v>
      </c>
      <c r="CZ95" s="59">
        <f t="shared" si="96"/>
        <v>269.83150082245305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6.1</v>
      </c>
      <c r="DO95" s="12">
        <f>IF('Données projet'!$A$166&gt;35,DO94+DN95-DW94,IF(A95&lt;'Données projet'!$A$166,$DL$205^A95,IF(A95='Données projet'!$A$166,'Données projet'!$B$166,DO94+DN95-DW94)))</f>
        <v>234.50000000000011</v>
      </c>
      <c r="DP95" s="17">
        <f>DO95*VLOOKUP('Données projet'!$B$14,Paramètres!$A$1:$I$89,3,0)*VLOOKUP('Données projet'!$B$14,Paramètres!$A$1:$I$89,5,0)</f>
        <v>252.4158000000001</v>
      </c>
      <c r="DQ95" s="13">
        <f t="shared" si="97"/>
        <v>61.102958171192675</v>
      </c>
      <c r="DR95" s="20">
        <f t="shared" si="70"/>
        <v>546.04517048149398</v>
      </c>
      <c r="DS95" s="59">
        <f t="shared" si="71"/>
        <v>839.37850381482735</v>
      </c>
      <c r="DT95" s="59">
        <f ca="1">AVERAGE(OFFSET($DS$3,0,0,'Données projet'!$E$14+1,1))-AVERAGE(OFFSET($H$3,0,0,'Données projet'!$E$14+1,1))</f>
        <v>439.66981240211362</v>
      </c>
      <c r="DU95" s="59">
        <f t="shared" si="98"/>
        <v>295.47805371292458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6.1</v>
      </c>
      <c r="EJ95" s="12">
        <f>IF('Données projet'!$A$192&gt;35,EJ94+EI95-ER94,IF(A95&lt;'Données projet'!$A$192,$EG$205^A95,IF(A95='Données projet'!$A$192,'Données projet'!$B$192,EJ94+EI95-ER94)))</f>
        <v>234.50000000000011</v>
      </c>
      <c r="EK95" s="17">
        <f>EJ95*VLOOKUP('Données projet'!$B$15,Paramètres!$A$1:$I$89,3,0)*VLOOKUP('Données projet'!$B$15,Paramètres!$A$1:$I$89,5,0)</f>
        <v>223.15020000000013</v>
      </c>
      <c r="EL95" s="13">
        <f t="shared" si="99"/>
        <v>54.798998550848808</v>
      </c>
      <c r="EM95" s="20">
        <f t="shared" si="73"/>
        <v>484.09485414272848</v>
      </c>
      <c r="EN95" s="59">
        <f t="shared" si="74"/>
        <v>777.42818747606179</v>
      </c>
      <c r="EO95" s="59">
        <f ca="1">AVERAGE(OFFSET($EN$3,0,0,'Données projet'!$E$15+1,1))-AVERAGE(OFFSET($H$3,0,0,'Données projet'!$E$15+1,1))</f>
        <v>393.46715670823653</v>
      </c>
      <c r="EP95" s="59">
        <f t="shared" si="100"/>
        <v>266.16261355327214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549.43232095729741</v>
      </c>
      <c r="T96" s="59">
        <f t="shared" si="88"/>
        <v>280.26155987300996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3.5979102119691486</v>
      </c>
      <c r="AA96" s="21">
        <f>EXP(-LN(2)/25)*AA95+(1-EXP(-LN(2)/25))/(LN(2)/25)*Calculateur!V96*Calculateur!X96*VLOOKUP('Données projet'!$B$9,Paramètres!$A$1:$I$89,3,0)*0.475*44/12</f>
        <v>1.6663361002638972</v>
      </c>
      <c r="AB96" s="21">
        <f>EXP(-LN(2)/2)*AB95+(1-EXP(-LN(2)/2))/(LN(2)/2)*V96*Y96*VLOOKUP('Données projet'!$B$9,Paramètres!$A$1:$I$89,3,0)*0.475*44/12</f>
        <v>1.4834350542555161E-9</v>
      </c>
      <c r="AC96" s="22">
        <f t="shared" si="57"/>
        <v>5.2642463137164803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348.62416478262719</v>
      </c>
      <c r="AO96" s="59">
        <f t="shared" si="90"/>
        <v>371.70674704563288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3.8036634594374426</v>
      </c>
      <c r="AV96" s="21">
        <f>EXP(-LN(2)/25)*AV95+(1-EXP(-LN(2)/25))/(LN(2)/25)*Calculateur!AQ96*Calculateur!AS96*VLOOKUP('Données projet'!$B$10,Paramètres!$A$1:$I$89,3,0)*0.475*44/12</f>
        <v>2.1283791414642996</v>
      </c>
      <c r="AW96" s="21">
        <f>EXP(-LN(2)/2)*AW95+(1-EXP(-LN(2)/2))/(LN(2)/2)*AQ96*AT96*VLOOKUP('Données projet'!$B$10,Paramètres!$A$1:$I$89,3,0)*0.475*44/12</f>
        <v>4.1012686321828235E-9</v>
      </c>
      <c r="AX96" s="21">
        <f t="shared" si="60"/>
        <v>5.9320426050030104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6.2</v>
      </c>
      <c r="BD96" s="12">
        <f>IF('Données projet'!$A$88&gt;35,BD95+BC96-BL95,IF(A96&lt;'Données projet'!$A$88,$BA$205^A96,IF(A96='Données projet'!$A$88,'Données projet'!$B$88,BD95+BC96-BL95)))</f>
        <v>320.59999999999991</v>
      </c>
      <c r="BE96" s="13">
        <f>BD96*VLOOKUP('Données projet'!$B$11,Paramètres!$A$1:$I$89,3,0)*VLOOKUP('Données projet'!$B$11,Paramètres!$A$1:$I$89,5,0)</f>
        <v>290.07887999999991</v>
      </c>
      <c r="BF96" s="13">
        <f t="shared" si="91"/>
        <v>69.092562427360406</v>
      </c>
      <c r="BG96" s="20">
        <f t="shared" si="61"/>
        <v>625.55692889431919</v>
      </c>
      <c r="BH96" s="59">
        <f t="shared" si="62"/>
        <v>918.89026222765256</v>
      </c>
      <c r="BI96" s="59">
        <f ca="1">AVERAGE(OFFSET($BH$3,0,0,'Données projet'!$E$11+1,1))-AVERAGE(OFFSET($H$3,0,0,'Données projet'!$E$11+1,1))</f>
        <v>405.7176439604217</v>
      </c>
      <c r="BJ96" s="59">
        <f t="shared" si="92"/>
        <v>278.21741231699929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2.0987995575640119</v>
      </c>
      <c r="BQ96" s="21">
        <f>EXP(-LN(2)/25)*BQ95+(1-EXP(-LN(2)/25))/(LN(2)/25)*Calculateur!BL96*Calculateur!BN96*VLOOKUP('Données projet'!$B$11,Paramètres!$A$1:$I$89,3,0)*0.475*44/12</f>
        <v>1.6326810303993975</v>
      </c>
      <c r="BR96" s="21">
        <f>EXP(-LN(2)/2)*BR95+(1-EXP(-LN(2)/2))/(LN(2)/2)*BL96*BO96*VLOOKUP('Données projet'!$B$11,Paramètres!$A$1:$I$89,3,0)*0.475*44/12</f>
        <v>2.8102835641301385E-9</v>
      </c>
      <c r="BS96" s="22">
        <f t="shared" si="63"/>
        <v>3.731480590773693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1.9895196601282805E-13</v>
      </c>
      <c r="BZ96" s="13">
        <f>BY96*VLOOKUP('Données projet'!$B$12,Paramètres!$A$1:$I$89,3,0)*VLOOKUP('Données projet'!$B$12,Paramètres!$A$1:$I$89,5,0)</f>
        <v>1.738044375088066E-13</v>
      </c>
      <c r="CA96" s="13">
        <f t="shared" si="93"/>
        <v>2.4483293633950478E-12</v>
      </c>
      <c r="CB96" s="20">
        <f t="shared" si="64"/>
        <v>4.566883036574213E-12</v>
      </c>
      <c r="CC96" s="59">
        <f t="shared" si="65"/>
        <v>293.33333333333786</v>
      </c>
      <c r="CD96" s="59">
        <f ca="1">AVERAGE(OFFSET($CC$3,0,0,'Données projet'!$E$12+1,1))-AVERAGE(OFFSET($H$3,0,0,'Données projet'!$E$12+1,1))</f>
        <v>321.23599968992932</v>
      </c>
      <c r="CE96" s="59">
        <f t="shared" si="94"/>
        <v>388.05195847800502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1.0494382063560621</v>
      </c>
      <c r="CL96" s="21">
        <f>EXP(-LN(2)/25)*CL95+(1-EXP(-LN(2)/25))/(LN(2)/25)*Calculateur!CG96*Calculateur!CI96*VLOOKUP('Données projet'!$B$12,Paramètres!$A$1:$I$89,3,0)*0.475*44/12</f>
        <v>3.6785493939089333</v>
      </c>
      <c r="CM96" s="21">
        <f>EXP(-LN(2)/2)*CM95+(1-EXP(-LN(2)/2))/(LN(2)/2)*CG96*CJ96*VLOOKUP('Données projet'!$B$12,Paramètres!$A$1:$I$89,3,0)*0.475*44/12</f>
        <v>3.9719726631461932E-9</v>
      </c>
      <c r="CN96" s="22">
        <f t="shared" si="66"/>
        <v>4.7279876042369686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6.1</v>
      </c>
      <c r="CT96" s="12">
        <f>IF('Données projet'!$A$140&gt;35,CT95+CS96-DB95,IF(A96&lt;'Données projet'!$A$140,$CQ$205^A96,IF(A96='Données projet'!$A$140,'Données projet'!$B$140,CT95+CS96-DB95)))</f>
        <v>240.60000000000011</v>
      </c>
      <c r="CU96" s="17">
        <f>CT96*VLOOKUP('Données projet'!$B$13,Paramètres!$A$1:$I$89,3,0)*VLOOKUP('Données projet'!$B$13,Paramètres!$A$1:$I$89,5,0)</f>
        <v>232.7083200000001</v>
      </c>
      <c r="CV96" s="13">
        <f t="shared" si="95"/>
        <v>56.867884056979136</v>
      </c>
      <c r="CW96" s="20">
        <f t="shared" si="67"/>
        <v>504.34522206590549</v>
      </c>
      <c r="CX96" s="59">
        <f t="shared" si="68"/>
        <v>797.6785553992388</v>
      </c>
      <c r="CY96" s="59">
        <f ca="1">AVERAGE(OFFSET($CX$3,0,0,'Données projet'!$E$13+1,1))-AVERAGE(OFFSET($H$3,0,0,'Données projet'!$E$13+1,1))</f>
        <v>399.24912109442175</v>
      </c>
      <c r="CZ96" s="59">
        <f t="shared" si="96"/>
        <v>269.83150082245305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6.1</v>
      </c>
      <c r="DO96" s="12">
        <f>IF('Données projet'!$A$166&gt;35,DO95+DN96-DW95,IF(A96&lt;'Données projet'!$A$166,$DL$205^A96,IF(A96='Données projet'!$A$166,'Données projet'!$B$166,DO95+DN96-DW95)))</f>
        <v>240.60000000000011</v>
      </c>
      <c r="DP96" s="17">
        <f>DO96*VLOOKUP('Données projet'!$B$14,Paramètres!$A$1:$I$89,3,0)*VLOOKUP('Données projet'!$B$14,Paramètres!$A$1:$I$89,5,0)</f>
        <v>258.98184000000009</v>
      </c>
      <c r="DQ96" s="13">
        <f t="shared" si="97"/>
        <v>62.505297853011193</v>
      </c>
      <c r="DR96" s="20">
        <f t="shared" si="70"/>
        <v>559.92343176066129</v>
      </c>
      <c r="DS96" s="59">
        <f t="shared" si="71"/>
        <v>853.25676509399455</v>
      </c>
      <c r="DT96" s="59">
        <f ca="1">AVERAGE(OFFSET($DS$3,0,0,'Données projet'!$E$14+1,1))-AVERAGE(OFFSET($H$3,0,0,'Données projet'!$E$14+1,1))</f>
        <v>439.66981240211362</v>
      </c>
      <c r="DU96" s="59">
        <f t="shared" si="98"/>
        <v>295.47805371292458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6.1</v>
      </c>
      <c r="EJ96" s="12">
        <f>IF('Données projet'!$A$192&gt;35,EJ95+EI96-ER95,IF(A96&lt;'Données projet'!$A$192,$EG$205^A96,IF(A96='Données projet'!$A$192,'Données projet'!$B$192,EJ95+EI96-ER95)))</f>
        <v>240.60000000000011</v>
      </c>
      <c r="EK96" s="17">
        <f>EJ96*VLOOKUP('Données projet'!$B$15,Paramètres!$A$1:$I$89,3,0)*VLOOKUP('Données projet'!$B$15,Paramètres!$A$1:$I$89,5,0)</f>
        <v>228.95496000000011</v>
      </c>
      <c r="EL96" s="13">
        <f t="shared" si="99"/>
        <v>56.05665959528568</v>
      </c>
      <c r="EM96" s="20">
        <f t="shared" si="73"/>
        <v>496.39523746178929</v>
      </c>
      <c r="EN96" s="59">
        <f t="shared" si="74"/>
        <v>789.72857079512255</v>
      </c>
      <c r="EO96" s="59">
        <f ca="1">AVERAGE(OFFSET($EN$3,0,0,'Données projet'!$E$15+1,1))-AVERAGE(OFFSET($H$3,0,0,'Données projet'!$E$15+1,1))</f>
        <v>393.46715670823653</v>
      </c>
      <c r="EP96" s="59">
        <f t="shared" si="100"/>
        <v>266.16261355327214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549.43232095729741</v>
      </c>
      <c r="T97" s="59">
        <f t="shared" si="88"/>
        <v>280.26155987300996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3.5273573872209734</v>
      </c>
      <c r="AA97" s="21">
        <f>EXP(-LN(2)/25)*AA96+(1-EXP(-LN(2)/25))/(LN(2)/25)*Calculateur!V97*Calculateur!X97*VLOOKUP('Données projet'!$B$9,Paramètres!$A$1:$I$89,3,0)*0.475*44/12</f>
        <v>1.6207700519733739</v>
      </c>
      <c r="AB97" s="21">
        <f>EXP(-LN(2)/2)*AB96+(1-EXP(-LN(2)/2))/(LN(2)/2)*V97*Y97*VLOOKUP('Données projet'!$B$9,Paramètres!$A$1:$I$89,3,0)*0.475*44/12</f>
        <v>1.0489469863139095E-9</v>
      </c>
      <c r="AC97" s="22">
        <f t="shared" si="57"/>
        <v>5.1481274402432939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348.62416478262719</v>
      </c>
      <c r="AO97" s="59">
        <f t="shared" si="90"/>
        <v>371.70674704563288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3.7290759390035029</v>
      </c>
      <c r="AV97" s="21">
        <f>EXP(-LN(2)/25)*AV96+(1-EXP(-LN(2)/25))/(LN(2)/25)*Calculateur!AQ97*Calculateur!AS97*VLOOKUP('Données projet'!$B$10,Paramètres!$A$1:$I$89,3,0)*0.475*44/12</f>
        <v>2.0701785019143637</v>
      </c>
      <c r="AW97" s="21">
        <f>EXP(-LN(2)/2)*AW96+(1-EXP(-LN(2)/2))/(LN(2)/2)*AQ97*AT97*VLOOKUP('Données projet'!$B$10,Paramètres!$A$1:$I$89,3,0)*0.475*44/12</f>
        <v>2.9000348612841509E-9</v>
      </c>
      <c r="AX97" s="21">
        <f t="shared" si="60"/>
        <v>5.7992544438179019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6.2</v>
      </c>
      <c r="BD97" s="12">
        <f>IF('Données projet'!$A$88&gt;35,BD96+BC97-BL96,IF(A97&lt;'Données projet'!$A$88,$BA$205^A97,IF(A97='Données projet'!$A$88,'Données projet'!$B$88,BD96+BC97-BL96)))</f>
        <v>326.7999999999999</v>
      </c>
      <c r="BE97" s="13">
        <f>BD97*VLOOKUP('Données projet'!$B$11,Paramètres!$A$1:$I$89,3,0)*VLOOKUP('Données projet'!$B$11,Paramètres!$A$1:$I$89,5,0)</f>
        <v>295.68863999999991</v>
      </c>
      <c r="BF97" s="13">
        <f t="shared" si="91"/>
        <v>70.271876780519747</v>
      </c>
      <c r="BG97" s="20">
        <f t="shared" si="61"/>
        <v>637.3812333927383</v>
      </c>
      <c r="BH97" s="59">
        <f t="shared" si="62"/>
        <v>930.71456672607155</v>
      </c>
      <c r="BI97" s="59">
        <f ca="1">AVERAGE(OFFSET($BH$3,0,0,'Données projet'!$E$11+1,1))-AVERAGE(OFFSET($H$3,0,0,'Données projet'!$E$11+1,1))</f>
        <v>405.7176439604217</v>
      </c>
      <c r="BJ97" s="59">
        <f t="shared" si="92"/>
        <v>278.21741231699929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2.0576433783815085</v>
      </c>
      <c r="BQ97" s="21">
        <f>EXP(-LN(2)/25)*BQ96+(1-EXP(-LN(2)/25))/(LN(2)/25)*Calculateur!BL97*Calculateur!BN97*VLOOKUP('Données projet'!$B$11,Paramètres!$A$1:$I$89,3,0)*0.475*44/12</f>
        <v>1.5880352817641621</v>
      </c>
      <c r="BR97" s="21">
        <f>EXP(-LN(2)/2)*BR96+(1-EXP(-LN(2)/2))/(LN(2)/2)*BL97*BO97*VLOOKUP('Données projet'!$B$11,Paramètres!$A$1:$I$89,3,0)*0.475*44/12</f>
        <v>1.9871705652535207E-9</v>
      </c>
      <c r="BS97" s="22">
        <f t="shared" si="63"/>
        <v>3.6456786621328412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1.9895196601282805E-13</v>
      </c>
      <c r="BZ97" s="13">
        <f>BY97*VLOOKUP('Données projet'!$B$12,Paramètres!$A$1:$I$89,3,0)*VLOOKUP('Données projet'!$B$12,Paramètres!$A$1:$I$89,5,0)</f>
        <v>1.738044375088066E-13</v>
      </c>
      <c r="CA97" s="13">
        <f t="shared" si="93"/>
        <v>2.4483293633950478E-12</v>
      </c>
      <c r="CB97" s="20">
        <f t="shared" si="64"/>
        <v>4.566883036574213E-12</v>
      </c>
      <c r="CC97" s="59">
        <f t="shared" si="65"/>
        <v>293.33333333333786</v>
      </c>
      <c r="CD97" s="59">
        <f ca="1">AVERAGE(OFFSET($CC$3,0,0,'Données projet'!$E$12+1,1))-AVERAGE(OFFSET($H$3,0,0,'Données projet'!$E$12+1,1))</f>
        <v>321.23599968992932</v>
      </c>
      <c r="CE97" s="59">
        <f t="shared" si="94"/>
        <v>388.05195847800502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1.0288593632235217</v>
      </c>
      <c r="CL97" s="21">
        <f>EXP(-LN(2)/25)*CL96+(1-EXP(-LN(2)/25))/(LN(2)/25)*Calculateur!CG97*Calculateur!CI97*VLOOKUP('Données projet'!$B$12,Paramètres!$A$1:$I$89,3,0)*0.475*44/12</f>
        <v>3.5779592672859883</v>
      </c>
      <c r="CM97" s="21">
        <f>EXP(-LN(2)/2)*CM96+(1-EXP(-LN(2)/2))/(LN(2)/2)*CG97*CJ97*VLOOKUP('Données projet'!$B$12,Paramètres!$A$1:$I$89,3,0)*0.475*44/12</f>
        <v>2.8086088047982637E-9</v>
      </c>
      <c r="CN97" s="22">
        <f t="shared" si="66"/>
        <v>4.6068186333181185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6.1</v>
      </c>
      <c r="CT97" s="12">
        <f>IF('Données projet'!$A$140&gt;35,CT96+CS97-DB96,IF(A97&lt;'Données projet'!$A$140,$CQ$205^A97,IF(A97='Données projet'!$A$140,'Données projet'!$B$140,CT96+CS97-DB96)))</f>
        <v>246.7000000000001</v>
      </c>
      <c r="CU97" s="17">
        <f>CT97*VLOOKUP('Données projet'!$B$13,Paramètres!$A$1:$I$89,3,0)*VLOOKUP('Données projet'!$B$13,Paramètres!$A$1:$I$89,5,0)</f>
        <v>238.60824000000011</v>
      </c>
      <c r="CV97" s="13">
        <f t="shared" si="95"/>
        <v>58.139985256770586</v>
      </c>
      <c r="CW97" s="20">
        <f t="shared" si="67"/>
        <v>516.83649232220898</v>
      </c>
      <c r="CX97" s="59">
        <f t="shared" si="68"/>
        <v>810.16982565554235</v>
      </c>
      <c r="CY97" s="59">
        <f ca="1">AVERAGE(OFFSET($CX$3,0,0,'Données projet'!$E$13+1,1))-AVERAGE(OFFSET($H$3,0,0,'Données projet'!$E$13+1,1))</f>
        <v>399.24912109442175</v>
      </c>
      <c r="CZ97" s="59">
        <f t="shared" si="96"/>
        <v>269.83150082245305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6.1</v>
      </c>
      <c r="DO97" s="12">
        <f>IF('Données projet'!$A$166&gt;35,DO96+DN97-DW96,IF(A97&lt;'Données projet'!$A$166,$DL$205^A97,IF(A97='Données projet'!$A$166,'Données projet'!$B$166,DO96+DN97-DW96)))</f>
        <v>246.7000000000001</v>
      </c>
      <c r="DP97" s="17">
        <f>DO97*VLOOKUP('Données projet'!$B$14,Paramètres!$A$1:$I$89,3,0)*VLOOKUP('Données projet'!$B$14,Paramètres!$A$1:$I$89,5,0)</f>
        <v>265.54788000000013</v>
      </c>
      <c r="DQ97" s="13">
        <f t="shared" si="97"/>
        <v>63.903504691733481</v>
      </c>
      <c r="DR97" s="20">
        <f t="shared" si="70"/>
        <v>573.79449500476937</v>
      </c>
      <c r="DS97" s="59">
        <f t="shared" si="71"/>
        <v>867.12782833810274</v>
      </c>
      <c r="DT97" s="59">
        <f ca="1">AVERAGE(OFFSET($DS$3,0,0,'Données projet'!$E$14+1,1))-AVERAGE(OFFSET($H$3,0,0,'Données projet'!$E$14+1,1))</f>
        <v>439.66981240211362</v>
      </c>
      <c r="DU97" s="59">
        <f t="shared" si="98"/>
        <v>295.47805371292458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6.1</v>
      </c>
      <c r="EJ97" s="12">
        <f>IF('Données projet'!$A$192&gt;35,EJ96+EI97-ER96,IF(A97&lt;'Données projet'!$A$192,$EG$205^A97,IF(A97='Données projet'!$A$192,'Données projet'!$B$192,EJ96+EI97-ER96)))</f>
        <v>246.7000000000001</v>
      </c>
      <c r="EK97" s="17">
        <f>EJ97*VLOOKUP('Données projet'!$B$15,Paramètres!$A$1:$I$89,3,0)*VLOOKUP('Données projet'!$B$15,Paramètres!$A$1:$I$89,5,0)</f>
        <v>234.7597200000001</v>
      </c>
      <c r="EL97" s="13">
        <f t="shared" si="99"/>
        <v>57.310614179845473</v>
      </c>
      <c r="EM97" s="20">
        <f t="shared" si="73"/>
        <v>508.68916536323104</v>
      </c>
      <c r="EN97" s="59">
        <f t="shared" si="74"/>
        <v>802.0224986965643</v>
      </c>
      <c r="EO97" s="59">
        <f ca="1">AVERAGE(OFFSET($EN$3,0,0,'Données projet'!$E$15+1,1))-AVERAGE(OFFSET($H$3,0,0,'Données projet'!$E$15+1,1))</f>
        <v>393.46715670823653</v>
      </c>
      <c r="EP97" s="59">
        <f t="shared" si="100"/>
        <v>266.16261355327214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549.43232095729741</v>
      </c>
      <c r="T98" s="59">
        <f t="shared" si="88"/>
        <v>280.26155987300996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3.4581880603331356</v>
      </c>
      <c r="AA98" s="21">
        <f>EXP(-LN(2)/25)*AA97+(1-EXP(-LN(2)/25))/(LN(2)/25)*Calculateur!V98*Calculateur!X98*VLOOKUP('Données projet'!$B$9,Paramètres!$A$1:$I$89,3,0)*0.475*44/12</f>
        <v>1.5764500096695693</v>
      </c>
      <c r="AB98" s="21">
        <f>EXP(-LN(2)/2)*AB97+(1-EXP(-LN(2)/2))/(LN(2)/2)*V98*Y98*VLOOKUP('Données projet'!$B$9,Paramètres!$A$1:$I$89,3,0)*0.475*44/12</f>
        <v>7.4171752712775807E-10</v>
      </c>
      <c r="AC98" s="22">
        <f t="shared" si="57"/>
        <v>5.0346380707444229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348.62416478262719</v>
      </c>
      <c r="AO98" s="59">
        <f t="shared" si="90"/>
        <v>371.70674704563288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3.6559510343513777</v>
      </c>
      <c r="AV98" s="21">
        <f>EXP(-LN(2)/25)*AV97+(1-EXP(-LN(2)/25))/(LN(2)/25)*Calculateur!AQ98*Calculateur!AS98*VLOOKUP('Données projet'!$B$10,Paramètres!$A$1:$I$89,3,0)*0.475*44/12</f>
        <v>2.0135693619135595</v>
      </c>
      <c r="AW98" s="21">
        <f>EXP(-LN(2)/2)*AW97+(1-EXP(-LN(2)/2))/(LN(2)/2)*AQ98*AT98*VLOOKUP('Données projet'!$B$10,Paramètres!$A$1:$I$89,3,0)*0.475*44/12</f>
        <v>2.0506343160914117E-9</v>
      </c>
      <c r="AX98" s="21">
        <f t="shared" si="60"/>
        <v>5.669520398315572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333</v>
      </c>
      <c r="BB98" s="12">
        <f>VLOOKUP(A98,'Données projet'!$A$87:$I$107,9,0)</f>
        <v>6.2</v>
      </c>
      <c r="BC98" s="12">
        <f t="array" ref="BC98">INDEX(BB:BB,MIN(IF(ISNUMBER(BB98:BB294),ROW(BB98:BB294),"")))</f>
        <v>6.2</v>
      </c>
      <c r="BD98" s="12">
        <f>IF('Données projet'!$A$88&gt;35,BD97+BC98-BL97,IF(A98&lt;'Données projet'!$A$88,$BA$205^A98,IF(A98='Données projet'!$A$88,'Données projet'!$B$88,BD97+BC98-BL97)))</f>
        <v>332.99999999999989</v>
      </c>
      <c r="BE98" s="13">
        <f>BD98*VLOOKUP('Données projet'!$B$11,Paramètres!$A$1:$I$89,3,0)*VLOOKUP('Données projet'!$B$11,Paramètres!$A$1:$I$89,5,0)</f>
        <v>301.2983999999999</v>
      </c>
      <c r="BF98" s="13">
        <f t="shared" si="91"/>
        <v>71.448589534990518</v>
      </c>
      <c r="BG98" s="20">
        <f t="shared" si="61"/>
        <v>649.20100677344158</v>
      </c>
      <c r="BH98" s="59">
        <f t="shared" si="62"/>
        <v>942.53434010677483</v>
      </c>
      <c r="BI98" s="59">
        <f ca="1">AVERAGE(OFFSET($BH$3,0,0,'Données projet'!$E$11+1,1))-AVERAGE(OFFSET($H$3,0,0,'Données projet'!$E$11+1,1))</f>
        <v>405.7176439604217</v>
      </c>
      <c r="BJ98" s="59">
        <f t="shared" si="92"/>
        <v>278.21741231699929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28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2.0172942467699833</v>
      </c>
      <c r="BQ98" s="21">
        <f>EXP(-LN(2)/25)*BQ97+(1-EXP(-LN(2)/25))/(LN(2)/25)*Calculateur!BL98*Calculateur!BN98*VLOOKUP('Données projet'!$B$11,Paramètres!$A$1:$I$89,3,0)*0.475*44/12</f>
        <v>1.5446103734731751</v>
      </c>
      <c r="BR98" s="21">
        <f>EXP(-LN(2)/2)*BR97+(1-EXP(-LN(2)/2))/(LN(2)/2)*BL98*BO98*VLOOKUP('Données projet'!$B$11,Paramètres!$A$1:$I$89,3,0)*0.475*44/12</f>
        <v>1.4051417820650693E-9</v>
      </c>
      <c r="BS98" s="22">
        <f t="shared" si="63"/>
        <v>3.5619046216483001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1.9895196601282805E-13</v>
      </c>
      <c r="BZ98" s="13">
        <f>BY98*VLOOKUP('Données projet'!$B$12,Paramètres!$A$1:$I$89,3,0)*VLOOKUP('Données projet'!$B$12,Paramètres!$A$1:$I$89,5,0)</f>
        <v>1.738044375088066E-13</v>
      </c>
      <c r="CA98" s="13">
        <f t="shared" si="93"/>
        <v>2.4483293633950478E-12</v>
      </c>
      <c r="CB98" s="20">
        <f t="shared" si="64"/>
        <v>4.566883036574213E-12</v>
      </c>
      <c r="CC98" s="59">
        <f t="shared" si="65"/>
        <v>293.33333333333786</v>
      </c>
      <c r="CD98" s="59">
        <f ca="1">AVERAGE(OFFSET($CC$3,0,0,'Données projet'!$E$12+1,1))-AVERAGE(OFFSET($H$3,0,0,'Données projet'!$E$12+1,1))</f>
        <v>321.23599968992932</v>
      </c>
      <c r="CE98" s="59">
        <f t="shared" si="94"/>
        <v>388.05195847800502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1.0086840586529553</v>
      </c>
      <c r="CL98" s="21">
        <f>EXP(-LN(2)/25)*CL97+(1-EXP(-LN(2)/25))/(LN(2)/25)*Calculateur!CG98*Calculateur!CI98*VLOOKUP('Données projet'!$B$12,Paramètres!$A$1:$I$89,3,0)*0.475*44/12</f>
        <v>3.4801197829653527</v>
      </c>
      <c r="CM98" s="21">
        <f>EXP(-LN(2)/2)*CM97+(1-EXP(-LN(2)/2))/(LN(2)/2)*CG98*CJ98*VLOOKUP('Données projet'!$B$12,Paramètres!$A$1:$I$89,3,0)*0.475*44/12</f>
        <v>1.9859863315730966E-9</v>
      </c>
      <c r="CN98" s="22">
        <f t="shared" si="66"/>
        <v>4.4888038436042947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6.1</v>
      </c>
      <c r="CT98" s="12">
        <f>IF('Données projet'!$A$140&gt;35,CT97+CS98-DB97,IF(A98&lt;'Données projet'!$A$140,$CQ$205^A98,IF(A98='Données projet'!$A$140,'Données projet'!$B$140,CT97+CS98-DB97)))</f>
        <v>252.8000000000001</v>
      </c>
      <c r="CU98" s="17">
        <f>CT98*VLOOKUP('Données projet'!$B$13,Paramètres!$A$1:$I$89,3,0)*VLOOKUP('Données projet'!$B$13,Paramètres!$A$1:$I$89,5,0)</f>
        <v>244.50816000000009</v>
      </c>
      <c r="CV98" s="13">
        <f t="shared" si="95"/>
        <v>59.408430026531576</v>
      </c>
      <c r="CW98" s="20">
        <f t="shared" si="67"/>
        <v>529.32139429620918</v>
      </c>
      <c r="CX98" s="59">
        <f t="shared" si="68"/>
        <v>822.65472762954255</v>
      </c>
      <c r="CY98" s="59">
        <f ca="1">AVERAGE(OFFSET($CX$3,0,0,'Données projet'!$E$13+1,1))-AVERAGE(OFFSET($H$3,0,0,'Données projet'!$E$13+1,1))</f>
        <v>399.24912109442175</v>
      </c>
      <c r="CZ98" s="59">
        <f t="shared" si="96"/>
        <v>269.83150082245305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6.1</v>
      </c>
      <c r="DO98" s="12">
        <f>IF('Données projet'!$A$166&gt;35,DO97+DN98-DW97,IF(A98&lt;'Données projet'!$A$166,$DL$205^A98,IF(A98='Données projet'!$A$166,'Données projet'!$B$166,DO97+DN98-DW97)))</f>
        <v>252.8000000000001</v>
      </c>
      <c r="DP98" s="17">
        <f>DO98*VLOOKUP('Données projet'!$B$14,Paramètres!$A$1:$I$89,3,0)*VLOOKUP('Données projet'!$B$14,Paramètres!$A$1:$I$89,5,0)</f>
        <v>272.11392000000006</v>
      </c>
      <c r="DQ98" s="13">
        <f t="shared" si="97"/>
        <v>65.297692632057903</v>
      </c>
      <c r="DR98" s="20">
        <f t="shared" si="70"/>
        <v>587.65855866750098</v>
      </c>
      <c r="DS98" s="59">
        <f t="shared" si="71"/>
        <v>880.99189200083424</v>
      </c>
      <c r="DT98" s="59">
        <f ca="1">AVERAGE(OFFSET($DS$3,0,0,'Données projet'!$E$14+1,1))-AVERAGE(OFFSET($H$3,0,0,'Données projet'!$E$14+1,1))</f>
        <v>439.66981240211362</v>
      </c>
      <c r="DU98" s="59">
        <f t="shared" si="98"/>
        <v>295.47805371292458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6.1</v>
      </c>
      <c r="EJ98" s="12">
        <f>IF('Données projet'!$A$192&gt;35,EJ97+EI98-ER97,IF(A98&lt;'Données projet'!$A$192,$EG$205^A98,IF(A98='Données projet'!$A$192,'Données projet'!$B$192,EJ97+EI98-ER97)))</f>
        <v>252.8000000000001</v>
      </c>
      <c r="EK98" s="17">
        <f>EJ98*VLOOKUP('Données projet'!$B$15,Paramètres!$A$1:$I$89,3,0)*VLOOKUP('Données projet'!$B$15,Paramètres!$A$1:$I$89,5,0)</f>
        <v>240.56448000000009</v>
      </c>
      <c r="EL98" s="13">
        <f t="shared" si="99"/>
        <v>58.560964493612524</v>
      </c>
      <c r="EM98" s="20">
        <f t="shared" si="73"/>
        <v>520.9768158263754</v>
      </c>
      <c r="EN98" s="59">
        <f t="shared" si="74"/>
        <v>814.31014915970877</v>
      </c>
      <c r="EO98" s="59">
        <f ca="1">AVERAGE(OFFSET($EN$3,0,0,'Données projet'!$E$15+1,1))-AVERAGE(OFFSET($H$3,0,0,'Données projet'!$E$15+1,1))</f>
        <v>393.46715670823653</v>
      </c>
      <c r="EP98" s="59">
        <f t="shared" si="100"/>
        <v>266.16261355327214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549.43232095729741</v>
      </c>
      <c r="T99" s="59">
        <f t="shared" si="88"/>
        <v>280.26155987300996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3.3903751017564447</v>
      </c>
      <c r="AA99" s="21">
        <f>EXP(-LN(2)/25)*AA98+(1-EXP(-LN(2)/25))/(LN(2)/25)*Calculateur!V99*Calculateur!X99*VLOOKUP('Données projet'!$B$9,Paramètres!$A$1:$I$89,3,0)*0.475*44/12</f>
        <v>1.5333419012532519</v>
      </c>
      <c r="AB99" s="21">
        <f>EXP(-LN(2)/2)*AB98+(1-EXP(-LN(2)/2))/(LN(2)/2)*V99*Y99*VLOOKUP('Données projet'!$B$9,Paramètres!$A$1:$I$89,3,0)*0.475*44/12</f>
        <v>5.2447349315695475E-10</v>
      </c>
      <c r="AC99" s="22">
        <f t="shared" si="57"/>
        <v>4.9237170035341702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348.62416478262719</v>
      </c>
      <c r="AO99" s="59">
        <f t="shared" si="90"/>
        <v>371.70674704563288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3.584260064477693</v>
      </c>
      <c r="AV99" s="21">
        <f>EXP(-LN(2)/25)*AV98+(1-EXP(-LN(2)/25))/(LN(2)/25)*Calculateur!AQ99*Calculateur!AS99*VLOOKUP('Données projet'!$B$10,Paramètres!$A$1:$I$89,3,0)*0.475*44/12</f>
        <v>1.9585082018230227</v>
      </c>
      <c r="AW99" s="21">
        <f>EXP(-LN(2)/2)*AW98+(1-EXP(-LN(2)/2))/(LN(2)/2)*AQ99*AT99*VLOOKUP('Données projet'!$B$10,Paramètres!$A$1:$I$89,3,0)*0.475*44/12</f>
        <v>1.4500174306420754E-9</v>
      </c>
      <c r="AX99" s="21">
        <f t="shared" si="60"/>
        <v>5.5427682677507324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5.6</v>
      </c>
      <c r="BD99" s="12">
        <f>IF('Données projet'!$A$88&gt;35,BD98+BC99-BL98,IF(A99&lt;'Données projet'!$A$88,$BA$205^A99,IF(A99='Données projet'!$A$88,'Données projet'!$B$88,BD98+BC99-BL98)))</f>
        <v>310.59999999999991</v>
      </c>
      <c r="BE99" s="13">
        <f>BD99*VLOOKUP('Données projet'!$B$11,Paramètres!$A$1:$I$89,3,0)*VLOOKUP('Données projet'!$B$11,Paramètres!$A$1:$I$89,5,0)</f>
        <v>281.03087999999991</v>
      </c>
      <c r="BF99" s="13">
        <f t="shared" si="91"/>
        <v>67.184816842275467</v>
      </c>
      <c r="BG99" s="20">
        <f t="shared" si="61"/>
        <v>606.4756720002963</v>
      </c>
      <c r="BH99" s="59">
        <f t="shared" si="62"/>
        <v>899.80900533362956</v>
      </c>
      <c r="BI99" s="59">
        <f ca="1">AVERAGE(OFFSET($BH$3,0,0,'Données projet'!$E$11+1,1))-AVERAGE(OFFSET($H$3,0,0,'Données projet'!$E$11+1,1))</f>
        <v>405.7176439604217</v>
      </c>
      <c r="BJ99" s="59">
        <f t="shared" si="92"/>
        <v>278.21741231699929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1.9777363370188197</v>
      </c>
      <c r="BQ99" s="21">
        <f>EXP(-LN(2)/25)*BQ98+(1-EXP(-LN(2)/25))/(LN(2)/25)*Calculateur!BL99*Calculateur!BN99*VLOOKUP('Données projet'!$B$11,Paramètres!$A$1:$I$89,3,0)*0.475*44/12</f>
        <v>1.5023729215830219</v>
      </c>
      <c r="BR99" s="21">
        <f>EXP(-LN(2)/2)*BR98+(1-EXP(-LN(2)/2))/(LN(2)/2)*BL99*BO99*VLOOKUP('Données projet'!$B$11,Paramètres!$A$1:$I$89,3,0)*0.475*44/12</f>
        <v>9.9358528262676037E-10</v>
      </c>
      <c r="BS99" s="22">
        <f t="shared" si="63"/>
        <v>3.4801092595954271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1.9895196601282805E-13</v>
      </c>
      <c r="BZ99" s="13">
        <f>BY99*VLOOKUP('Données projet'!$B$12,Paramètres!$A$1:$I$89,3,0)*VLOOKUP('Données projet'!$B$12,Paramètres!$A$1:$I$89,5,0)</f>
        <v>1.738044375088066E-13</v>
      </c>
      <c r="CA99" s="13">
        <f t="shared" si="93"/>
        <v>2.4483293633950478E-12</v>
      </c>
      <c r="CB99" s="20">
        <f t="shared" si="64"/>
        <v>4.566883036574213E-12</v>
      </c>
      <c r="CC99" s="59">
        <f t="shared" si="65"/>
        <v>293.33333333333786</v>
      </c>
      <c r="CD99" s="59">
        <f ca="1">AVERAGE(OFFSET($CC$3,0,0,'Données projet'!$E$12+1,1))-AVERAGE(OFFSET($H$3,0,0,'Données projet'!$E$12+1,1))</f>
        <v>321.23599968992932</v>
      </c>
      <c r="CE99" s="59">
        <f t="shared" si="94"/>
        <v>388.05195847800502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0.9889043794992971</v>
      </c>
      <c r="CL99" s="21">
        <f>EXP(-LN(2)/25)*CL98+(1-EXP(-LN(2)/25))/(LN(2)/25)*Calculateur!CG99*Calculateur!CI99*VLOOKUP('Données projet'!$B$12,Paramètres!$A$1:$I$89,3,0)*0.475*44/12</f>
        <v>3.3849557244886199</v>
      </c>
      <c r="CM99" s="21">
        <f>EXP(-LN(2)/2)*CM98+(1-EXP(-LN(2)/2))/(LN(2)/2)*CG99*CJ99*VLOOKUP('Données projet'!$B$12,Paramètres!$A$1:$I$89,3,0)*0.475*44/12</f>
        <v>1.4043044023991319E-9</v>
      </c>
      <c r="CN99" s="22">
        <f t="shared" si="66"/>
        <v>4.3738601053922217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6.1</v>
      </c>
      <c r="CT99" s="12">
        <f>IF('Données projet'!$A$140&gt;35,CT98+CS99-DB98,IF(A99&lt;'Données projet'!$A$140,$CQ$205^A99,IF(A99='Données projet'!$A$140,'Données projet'!$B$140,CT98+CS99-DB98)))</f>
        <v>258.90000000000009</v>
      </c>
      <c r="CU99" s="17">
        <f>CT99*VLOOKUP('Données projet'!$B$13,Paramètres!$A$1:$I$89,3,0)*VLOOKUP('Données projet'!$B$13,Paramètres!$A$1:$I$89,5,0)</f>
        <v>250.4080800000001</v>
      </c>
      <c r="CV99" s="13">
        <f t="shared" si="95"/>
        <v>60.67331674592576</v>
      </c>
      <c r="CW99" s="20">
        <f t="shared" si="67"/>
        <v>541.80009933248755</v>
      </c>
      <c r="CX99" s="59">
        <f t="shared" si="68"/>
        <v>835.13343266582092</v>
      </c>
      <c r="CY99" s="59">
        <f ca="1">AVERAGE(OFFSET($CX$3,0,0,'Données projet'!$E$13+1,1))-AVERAGE(OFFSET($H$3,0,0,'Données projet'!$E$13+1,1))</f>
        <v>399.24912109442175</v>
      </c>
      <c r="CZ99" s="59">
        <f t="shared" si="96"/>
        <v>269.83150082245305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6.1</v>
      </c>
      <c r="DO99" s="12">
        <f>IF('Données projet'!$A$166&gt;35,DO98+DN99-DW98,IF(A99&lt;'Données projet'!$A$166,$DL$205^A99,IF(A99='Données projet'!$A$166,'Données projet'!$B$166,DO98+DN99-DW98)))</f>
        <v>258.90000000000009</v>
      </c>
      <c r="DP99" s="17">
        <f>DO99*VLOOKUP('Données projet'!$B$14,Paramètres!$A$1:$I$89,3,0)*VLOOKUP('Données projet'!$B$14,Paramètres!$A$1:$I$89,5,0)</f>
        <v>278.67996000000011</v>
      </c>
      <c r="DQ99" s="13">
        <f t="shared" si="97"/>
        <v>66.687969806197728</v>
      </c>
      <c r="DR99" s="20">
        <f t="shared" si="70"/>
        <v>601.51581107912784</v>
      </c>
      <c r="DS99" s="59">
        <f t="shared" si="71"/>
        <v>894.8491444124611</v>
      </c>
      <c r="DT99" s="59">
        <f ca="1">AVERAGE(OFFSET($DS$3,0,0,'Données projet'!$E$14+1,1))-AVERAGE(OFFSET($H$3,0,0,'Données projet'!$E$14+1,1))</f>
        <v>439.66981240211362</v>
      </c>
      <c r="DU99" s="59">
        <f t="shared" si="98"/>
        <v>295.47805371292458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6.1</v>
      </c>
      <c r="EJ99" s="12">
        <f>IF('Données projet'!$A$192&gt;35,EJ98+EI99-ER98,IF(A99&lt;'Données projet'!$A$192,$EG$205^A99,IF(A99='Données projet'!$A$192,'Données projet'!$B$192,EJ98+EI99-ER98)))</f>
        <v>258.90000000000009</v>
      </c>
      <c r="EK99" s="17">
        <f>EJ99*VLOOKUP('Données projet'!$B$15,Paramètres!$A$1:$I$89,3,0)*VLOOKUP('Données projet'!$B$15,Paramètres!$A$1:$I$89,5,0)</f>
        <v>246.3692400000001</v>
      </c>
      <c r="EL99" s="13">
        <f t="shared" si="99"/>
        <v>59.807807512857508</v>
      </c>
      <c r="EM99" s="20">
        <f t="shared" si="73"/>
        <v>533.25835775156031</v>
      </c>
      <c r="EN99" s="59">
        <f t="shared" si="74"/>
        <v>826.59169108489368</v>
      </c>
      <c r="EO99" s="59">
        <f ca="1">AVERAGE(OFFSET($EN$3,0,0,'Données projet'!$E$15+1,1))-AVERAGE(OFFSET($H$3,0,0,'Données projet'!$E$15+1,1))</f>
        <v>393.46715670823653</v>
      </c>
      <c r="EP99" s="59">
        <f t="shared" si="100"/>
        <v>266.16261355327214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549.43232095729741</v>
      </c>
      <c r="T100" s="59">
        <f t="shared" si="88"/>
        <v>280.26155987300996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3.3238919139356224</v>
      </c>
      <c r="AA100" s="21">
        <f>EXP(-LN(2)/25)*AA99+(1-EXP(-LN(2)/25))/(LN(2)/25)*Calculateur!V100*Calculateur!X100*VLOOKUP('Données projet'!$B$9,Paramètres!$A$1:$I$89,3,0)*0.475*44/12</f>
        <v>1.4914125863285357</v>
      </c>
      <c r="AB100" s="21">
        <f>EXP(-LN(2)/2)*AB99+(1-EXP(-LN(2)/2))/(LN(2)/2)*V100*Y100*VLOOKUP('Données projet'!$B$9,Paramètres!$A$1:$I$89,3,0)*0.475*44/12</f>
        <v>3.7085876356387904E-10</v>
      </c>
      <c r="AC100" s="22">
        <f t="shared" si="57"/>
        <v>4.8153045006350172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348.62416478262719</v>
      </c>
      <c r="AO100" s="59">
        <f t="shared" si="90"/>
        <v>371.70674704563288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3.5139749107960569</v>
      </c>
      <c r="AV100" s="21">
        <f>EXP(-LN(2)/25)*AV99+(1-EXP(-LN(2)/25))/(LN(2)/25)*Calculateur!AQ100*Calculateur!AS100*VLOOKUP('Données projet'!$B$10,Paramètres!$A$1:$I$89,3,0)*0.475*44/12</f>
        <v>1.9049526920507021</v>
      </c>
      <c r="AW100" s="21">
        <f>EXP(-LN(2)/2)*AW99+(1-EXP(-LN(2)/2))/(LN(2)/2)*AQ100*AT100*VLOOKUP('Données projet'!$B$10,Paramètres!$A$1:$I$89,3,0)*0.475*44/12</f>
        <v>1.0253171580457059E-9</v>
      </c>
      <c r="AX100" s="21">
        <f t="shared" si="60"/>
        <v>5.4189276038720759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</v>
      </c>
      <c r="BD100" s="12">
        <f>IF('Données projet'!$A$88&gt;35,BD99+BC100-BL99,IF(A100&lt;'Données projet'!$A$88,$BA$205^A100,IF(A100='Données projet'!$A$88,'Données projet'!$B$88,BD99+BC100-BL99)))</f>
        <v>316.19999999999993</v>
      </c>
      <c r="BE100" s="13">
        <f>BD100*VLOOKUP('Données projet'!$B$11,Paramètres!$A$1:$I$89,3,0)*VLOOKUP('Données projet'!$B$11,Paramètres!$A$1:$I$89,5,0)</f>
        <v>286.09775999999994</v>
      </c>
      <c r="BF100" s="13">
        <f t="shared" si="91"/>
        <v>68.254020651723678</v>
      </c>
      <c r="BG100" s="20">
        <f t="shared" si="61"/>
        <v>617.16268463508527</v>
      </c>
      <c r="BH100" s="59">
        <f t="shared" si="62"/>
        <v>910.49601796841853</v>
      </c>
      <c r="BI100" s="59">
        <f ca="1">AVERAGE(OFFSET($BH$3,0,0,'Données projet'!$E$11+1,1))-AVERAGE(OFFSET($H$3,0,0,'Données projet'!$E$11+1,1))</f>
        <v>405.7176439604217</v>
      </c>
      <c r="BJ100" s="59">
        <f t="shared" si="92"/>
        <v>278.21741231699929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1.9389541337499339</v>
      </c>
      <c r="BQ100" s="21">
        <f>EXP(-LN(2)/25)*BQ99+(1-EXP(-LN(2)/25))/(LN(2)/25)*Calculateur!BL100*Calculateur!BN100*VLOOKUP('Données projet'!$B$11,Paramètres!$A$1:$I$89,3,0)*0.475*44/12</f>
        <v>1.461290455035976</v>
      </c>
      <c r="BR100" s="21">
        <f>EXP(-LN(2)/2)*BR99+(1-EXP(-LN(2)/2))/(LN(2)/2)*BL100*BO100*VLOOKUP('Données projet'!$B$11,Paramètres!$A$1:$I$89,3,0)*0.475*44/12</f>
        <v>7.0257089103253463E-10</v>
      </c>
      <c r="BS100" s="22">
        <f t="shared" si="63"/>
        <v>3.4002445894884805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1.9895196601282805E-13</v>
      </c>
      <c r="BZ100" s="13">
        <f>BY100*VLOOKUP('Données projet'!$B$12,Paramètres!$A$1:$I$89,3,0)*VLOOKUP('Données projet'!$B$12,Paramètres!$A$1:$I$89,5,0)</f>
        <v>1.738044375088066E-13</v>
      </c>
      <c r="CA100" s="13">
        <f t="shared" si="93"/>
        <v>2.4483293633950478E-12</v>
      </c>
      <c r="CB100" s="20">
        <f t="shared" si="64"/>
        <v>4.566883036574213E-12</v>
      </c>
      <c r="CC100" s="59">
        <f t="shared" si="65"/>
        <v>293.33333333333786</v>
      </c>
      <c r="CD100" s="59">
        <f ca="1">AVERAGE(OFFSET($CC$3,0,0,'Données projet'!$E$12+1,1))-AVERAGE(OFFSET($H$3,0,0,'Données projet'!$E$12+1,1))</f>
        <v>321.23599968992932</v>
      </c>
      <c r="CE100" s="59">
        <f t="shared" si="94"/>
        <v>388.05195847800502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0.96951256778942907</v>
      </c>
      <c r="CL100" s="21">
        <f>EXP(-LN(2)/25)*CL99+(1-EXP(-LN(2)/25))/(LN(2)/25)*Calculateur!CG100*Calculateur!CI100*VLOOKUP('Données projet'!$B$12,Paramètres!$A$1:$I$89,3,0)*0.475*44/12</f>
        <v>3.2923939321953934</v>
      </c>
      <c r="CM100" s="21">
        <f>EXP(-LN(2)/2)*CM99+(1-EXP(-LN(2)/2))/(LN(2)/2)*CG100*CJ100*VLOOKUP('Données projet'!$B$12,Paramètres!$A$1:$I$89,3,0)*0.475*44/12</f>
        <v>9.929931657865483E-10</v>
      </c>
      <c r="CN100" s="22">
        <f t="shared" si="66"/>
        <v>4.2619065009778154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>
        <f>VLOOKUP(A100,'Données projet'!$A$139:$I$159,2,0)</f>
        <v>265</v>
      </c>
      <c r="CR100" s="12">
        <f>VLOOKUP(A100,'Données projet'!$A$139:$I$159,9,0)</f>
        <v>6.1</v>
      </c>
      <c r="CS100" s="12">
        <f t="array" ref="CS100">INDEX(CR:CR,MIN(IF(ISNUMBER(CR100:CR296),ROW(CR100:CR296),"")))</f>
        <v>6.1</v>
      </c>
      <c r="CT100" s="12">
        <f>IF('Données projet'!$A$140&gt;35,CT99+CS100-DB99,IF(A100&lt;'Données projet'!$A$140,$CQ$205^A100,IF(A100='Données projet'!$A$140,'Données projet'!$B$140,CT99+CS100-DB99)))</f>
        <v>265.00000000000011</v>
      </c>
      <c r="CU100" s="17">
        <f>CT100*VLOOKUP('Données projet'!$B$13,Paramètres!$A$1:$I$89,3,0)*VLOOKUP('Données projet'!$B$13,Paramètres!$A$1:$I$89,5,0)</f>
        <v>256.30800000000011</v>
      </c>
      <c r="CV100" s="13">
        <f t="shared" si="95"/>
        <v>61.934738894273906</v>
      </c>
      <c r="CW100" s="20">
        <f t="shared" si="67"/>
        <v>554.2727702408605</v>
      </c>
      <c r="CX100" s="59">
        <f t="shared" si="68"/>
        <v>847.60610357419387</v>
      </c>
      <c r="CY100" s="59">
        <f ca="1">AVERAGE(OFFSET($CX$3,0,0,'Données projet'!$E$13+1,1))-AVERAGE(OFFSET($H$3,0,0,'Données projet'!$E$13+1,1))</f>
        <v>399.24912109442175</v>
      </c>
      <c r="CZ100" s="59">
        <f t="shared" si="96"/>
        <v>269.83150082245305</v>
      </c>
      <c r="DA100" s="15">
        <f>IF(ISNA(VLOOKUP(A100,'Données projet'!$A$139:$I$159,3,0)),0,VLOOKUP(A100,'Données projet'!$A$139:$I$159,3,0))</f>
        <v>9</v>
      </c>
      <c r="DB100" s="15">
        <f>IF(ISNA(VLOOKUP(A100,'Données projet'!$A$139:$I$159,4,0)),0,VLOOKUP(A100,'Données projet'!$A$139:$I$159,4,0))</f>
        <v>42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>
        <f>VLOOKUP(A100,'Données projet'!$A$165:$I$185,2,0)</f>
        <v>265</v>
      </c>
      <c r="DM100" s="12">
        <f>VLOOKUP(A100,'Données projet'!$A$165:$I$185,9,0)</f>
        <v>6.1</v>
      </c>
      <c r="DN100" s="12">
        <f t="array" ref="DN100">INDEX(DM:DM,MIN(IF(ISNUMBER(DM100:DM296),ROW(DM100:DM296),"")))</f>
        <v>6.1</v>
      </c>
      <c r="DO100" s="12">
        <f>IF('Données projet'!$A$166&gt;35,DO99+DN100-DW99,IF(A100&lt;'Données projet'!$A$166,$DL$205^A100,IF(A100='Données projet'!$A$166,'Données projet'!$B$166,DO99+DN100-DW99)))</f>
        <v>265.00000000000011</v>
      </c>
      <c r="DP100" s="17">
        <f>DO100*VLOOKUP('Données projet'!$B$14,Paramètres!$A$1:$I$89,3,0)*VLOOKUP('Données projet'!$B$14,Paramètres!$A$1:$I$89,5,0)</f>
        <v>285.24600000000009</v>
      </c>
      <c r="DQ100" s="13">
        <f t="shared" si="97"/>
        <v>68.07443896024408</v>
      </c>
      <c r="DR100" s="20">
        <f t="shared" si="70"/>
        <v>615.36643118909194</v>
      </c>
      <c r="DS100" s="59">
        <f t="shared" si="71"/>
        <v>908.69976452242531</v>
      </c>
      <c r="DT100" s="59">
        <f ca="1">AVERAGE(OFFSET($DS$3,0,0,'Données projet'!$E$14+1,1))-AVERAGE(OFFSET($H$3,0,0,'Données projet'!$E$14+1,1))</f>
        <v>439.66981240211362</v>
      </c>
      <c r="DU100" s="59">
        <f t="shared" si="98"/>
        <v>295.47805371292458</v>
      </c>
      <c r="DV100" s="15">
        <f>IF(ISNA(VLOOKUP(A100,'Données projet'!$A$165:$I$185,3,0)),0,VLOOKUP(A100,'Données projet'!$A$165:$I$185,3,0))</f>
        <v>9</v>
      </c>
      <c r="DW100" s="15">
        <f>IF(ISNA(VLOOKUP(A100,'Données projet'!$A$165:$I$185,4,0)),0,VLOOKUP(A100,'Données projet'!$A$165:$I$185,4,0))</f>
        <v>42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>
        <f>VLOOKUP(A100,'Données projet'!$A$191:$I$211,2,0)</f>
        <v>265</v>
      </c>
      <c r="EH100" s="12">
        <f>VLOOKUP(A100,'Données projet'!$A$191:$I$211,9,0)</f>
        <v>6.1</v>
      </c>
      <c r="EI100" s="12">
        <f t="array" ref="EI100">INDEX(EH:EH,MIN(IF(ISNUMBER(EH100:EH296),ROW(EH100:EH296),"")))</f>
        <v>6.1</v>
      </c>
      <c r="EJ100" s="12">
        <f>IF('Données projet'!$A$192&gt;35,EJ99+EI100-ER99,IF(A100&lt;'Données projet'!$A$192,$EG$205^A100,IF(A100='Données projet'!$A$192,'Données projet'!$B$192,EJ99+EI100-ER99)))</f>
        <v>265.00000000000011</v>
      </c>
      <c r="EK100" s="17">
        <f>EJ100*VLOOKUP('Données projet'!$B$15,Paramètres!$A$1:$I$89,3,0)*VLOOKUP('Données projet'!$B$15,Paramètres!$A$1:$I$89,5,0)</f>
        <v>252.17400000000012</v>
      </c>
      <c r="EL100" s="13">
        <f t="shared" si="99"/>
        <v>61.051235383411992</v>
      </c>
      <c r="EM100" s="20">
        <f t="shared" si="73"/>
        <v>545.53395162610934</v>
      </c>
      <c r="EN100" s="59">
        <f t="shared" si="74"/>
        <v>838.86728495944271</v>
      </c>
      <c r="EO100" s="59">
        <f ca="1">AVERAGE(OFFSET($EN$3,0,0,'Données projet'!$E$15+1,1))-AVERAGE(OFFSET($H$3,0,0,'Données projet'!$E$15+1,1))</f>
        <v>393.46715670823653</v>
      </c>
      <c r="EP100" s="59">
        <f t="shared" si="100"/>
        <v>266.16261355327214</v>
      </c>
      <c r="EQ100" s="15">
        <f>IF(ISNA(VLOOKUP(A100,'Données projet'!$A$191:$I$211,3,0)),0,VLOOKUP(A100,'Données projet'!$A$191:$I$211,3,0))</f>
        <v>9</v>
      </c>
      <c r="ER100" s="15">
        <f>IF(ISNA(VLOOKUP(A100,'Données projet'!$A$191:$I$211,4,0)),0,VLOOKUP(A100,'Données projet'!$A$191:$I$211,4,0))</f>
        <v>42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549.43232095729741</v>
      </c>
      <c r="T101" s="59">
        <f t="shared" si="88"/>
        <v>280.26155987300996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3.258712420877226</v>
      </c>
      <c r="AA101" s="21">
        <f>EXP(-LN(2)/25)*AA100+(1-EXP(-LN(2)/25))/(LN(2)/25)*Calculateur!V101*Calculateur!X101*VLOOKUP('Données projet'!$B$9,Paramètres!$A$1:$I$89,3,0)*0.475*44/12</f>
        <v>1.4506298307254026</v>
      </c>
      <c r="AB101" s="21">
        <f>EXP(-LN(2)/2)*AB100+(1-EXP(-LN(2)/2))/(LN(2)/2)*V101*Y101*VLOOKUP('Données projet'!$B$9,Paramètres!$A$1:$I$89,3,0)*0.475*44/12</f>
        <v>2.6223674657847737E-10</v>
      </c>
      <c r="AC101" s="22">
        <f t="shared" si="57"/>
        <v>4.7093422518648653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348.62416478262719</v>
      </c>
      <c r="AO101" s="59">
        <f t="shared" si="90"/>
        <v>371.70674704563288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3.4450680061084071</v>
      </c>
      <c r="AV101" s="21">
        <f>EXP(-LN(2)/25)*AV100+(1-EXP(-LN(2)/25))/(LN(2)/25)*Calculateur!AQ101*Calculateur!AS101*VLOOKUP('Données projet'!$B$10,Paramètres!$A$1:$I$89,3,0)*0.475*44/12</f>
        <v>1.8528616605094674</v>
      </c>
      <c r="AW101" s="21">
        <f>EXP(-LN(2)/2)*AW100+(1-EXP(-LN(2)/2))/(LN(2)/2)*AQ101*AT101*VLOOKUP('Données projet'!$B$10,Paramètres!$A$1:$I$89,3,0)*0.475*44/12</f>
        <v>7.2500871532103771E-10</v>
      </c>
      <c r="AX101" s="21">
        <f t="shared" si="60"/>
        <v>5.2979296673428831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</v>
      </c>
      <c r="BD101" s="12">
        <f>IF('Données projet'!$A$88&gt;35,BD100+BC101-BL100,IF(A101&lt;'Données projet'!$A$88,$BA$205^A101,IF(A101='Données projet'!$A$88,'Données projet'!$B$88,BD100+BC101-BL100)))</f>
        <v>321.79999999999995</v>
      </c>
      <c r="BE101" s="13">
        <f>BD101*VLOOKUP('Données projet'!$B$11,Paramètres!$A$1:$I$89,3,0)*VLOOKUP('Données projet'!$B$11,Paramètres!$A$1:$I$89,5,0)</f>
        <v>291.16463999999991</v>
      </c>
      <c r="BF101" s="13">
        <f t="shared" si="91"/>
        <v>69.321022467464644</v>
      </c>
      <c r="BG101" s="20">
        <f t="shared" si="61"/>
        <v>627.84586213083401</v>
      </c>
      <c r="BH101" s="59">
        <f t="shared" si="62"/>
        <v>921.17919546416738</v>
      </c>
      <c r="BI101" s="59">
        <f ca="1">AVERAGE(OFFSET($BH$3,0,0,'Données projet'!$E$11+1,1))-AVERAGE(OFFSET($H$3,0,0,'Données projet'!$E$11+1,1))</f>
        <v>405.7176439604217</v>
      </c>
      <c r="BJ101" s="59">
        <f t="shared" si="92"/>
        <v>278.21741231699929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1.9009324258323428</v>
      </c>
      <c r="BQ101" s="21">
        <f>EXP(-LN(2)/25)*BQ100+(1-EXP(-LN(2)/25))/(LN(2)/25)*Calculateur!BL101*Calculateur!BN101*VLOOKUP('Données projet'!$B$11,Paramètres!$A$1:$I$89,3,0)*0.475*44/12</f>
        <v>1.4213313906970919</v>
      </c>
      <c r="BR101" s="21">
        <f>EXP(-LN(2)/2)*BR100+(1-EXP(-LN(2)/2))/(LN(2)/2)*BL101*BO101*VLOOKUP('Données projet'!$B$11,Paramètres!$A$1:$I$89,3,0)*0.475*44/12</f>
        <v>4.9679264131338018E-10</v>
      </c>
      <c r="BS101" s="22">
        <f t="shared" si="63"/>
        <v>3.3222638170262275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1.9895196601282805E-13</v>
      </c>
      <c r="BZ101" s="13">
        <f>BY101*VLOOKUP('Données projet'!$B$12,Paramètres!$A$1:$I$89,3,0)*VLOOKUP('Données projet'!$B$12,Paramètres!$A$1:$I$89,5,0)</f>
        <v>1.738044375088066E-13</v>
      </c>
      <c r="CA101" s="13">
        <f t="shared" si="93"/>
        <v>2.4483293633950478E-12</v>
      </c>
      <c r="CB101" s="20">
        <f t="shared" si="64"/>
        <v>4.566883036574213E-12</v>
      </c>
      <c r="CC101" s="59">
        <f t="shared" si="65"/>
        <v>293.33333333333786</v>
      </c>
      <c r="CD101" s="59">
        <f ca="1">AVERAGE(OFFSET($CC$3,0,0,'Données projet'!$E$12+1,1))-AVERAGE(OFFSET($H$3,0,0,'Données projet'!$E$12+1,1))</f>
        <v>321.23599968992932</v>
      </c>
      <c r="CE101" s="59">
        <f t="shared" si="94"/>
        <v>388.05195847800502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0.95050101767935435</v>
      </c>
      <c r="CL101" s="21">
        <f>EXP(-LN(2)/25)*CL100+(1-EXP(-LN(2)/25))/(LN(2)/25)*Calculateur!CG101*Calculateur!CI101*VLOOKUP('Données projet'!$B$12,Paramètres!$A$1:$I$89,3,0)*0.475*44/12</f>
        <v>3.2023632469800383</v>
      </c>
      <c r="CM101" s="21">
        <f>EXP(-LN(2)/2)*CM100+(1-EXP(-LN(2)/2))/(LN(2)/2)*CG101*CJ101*VLOOKUP('Données projet'!$B$12,Paramètres!$A$1:$I$89,3,0)*0.475*44/12</f>
        <v>7.0215220119956593E-10</v>
      </c>
      <c r="CN101" s="22">
        <f t="shared" si="66"/>
        <v>4.1528642653615444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6.4</v>
      </c>
      <c r="CT101" s="12">
        <f>IF('Données projet'!$A$140&gt;35,CT100+CS101-DB100,IF(A101&lt;'Données projet'!$A$140,$CQ$205^A101,IF(A101='Données projet'!$A$140,'Données projet'!$B$140,CT100+CS101-DB100)))</f>
        <v>229.40000000000009</v>
      </c>
      <c r="CU101" s="17">
        <f>CT101*VLOOKUP('Données projet'!$B$13,Paramètres!$A$1:$I$89,3,0)*VLOOKUP('Données projet'!$B$13,Paramètres!$A$1:$I$89,5,0)</f>
        <v>221.8756800000001</v>
      </c>
      <c r="CV101" s="13">
        <f t="shared" si="95"/>
        <v>54.522353853336647</v>
      </c>
      <c r="CW101" s="20">
        <f t="shared" si="67"/>
        <v>481.3932422945615</v>
      </c>
      <c r="CX101" s="59">
        <f t="shared" si="68"/>
        <v>774.72657562789482</v>
      </c>
      <c r="CY101" s="59">
        <f ca="1">AVERAGE(OFFSET($CX$3,0,0,'Données projet'!$E$13+1,1))-AVERAGE(OFFSET($H$3,0,0,'Données projet'!$E$13+1,1))</f>
        <v>399.24912109442175</v>
      </c>
      <c r="CZ101" s="59">
        <f t="shared" si="96"/>
        <v>269.83150082245305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6.4</v>
      </c>
      <c r="DO101" s="12">
        <f>IF('Données projet'!$A$166&gt;35,DO100+DN101-DW100,IF(A101&lt;'Données projet'!$A$166,$DL$205^A101,IF(A101='Données projet'!$A$166,'Données projet'!$B$166,DO100+DN101-DW100)))</f>
        <v>229.40000000000009</v>
      </c>
      <c r="DP101" s="17">
        <f>DO101*VLOOKUP('Données projet'!$B$14,Paramètres!$A$1:$I$89,3,0)*VLOOKUP('Données projet'!$B$14,Paramètres!$A$1:$I$89,5,0)</f>
        <v>246.9261600000001</v>
      </c>
      <c r="DQ101" s="13">
        <f t="shared" si="97"/>
        <v>59.927251097218182</v>
      </c>
      <c r="DR101" s="20">
        <f t="shared" si="70"/>
        <v>534.43635766098839</v>
      </c>
      <c r="DS101" s="59">
        <f t="shared" si="71"/>
        <v>827.76969099432176</v>
      </c>
      <c r="DT101" s="59">
        <f ca="1">AVERAGE(OFFSET($DS$3,0,0,'Données projet'!$E$14+1,1))-AVERAGE(OFFSET($H$3,0,0,'Données projet'!$E$14+1,1))</f>
        <v>439.66981240211362</v>
      </c>
      <c r="DU101" s="59">
        <f t="shared" si="98"/>
        <v>295.47805371292458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6.4</v>
      </c>
      <c r="EJ101" s="12">
        <f>IF('Données projet'!$A$192&gt;35,EJ100+EI101-ER100,IF(A101&lt;'Données projet'!$A$192,$EG$205^A101,IF(A101='Données projet'!$A$192,'Données projet'!$B$192,EJ100+EI101-ER100)))</f>
        <v>229.40000000000009</v>
      </c>
      <c r="EK101" s="17">
        <f>EJ101*VLOOKUP('Données projet'!$B$15,Paramètres!$A$1:$I$89,3,0)*VLOOKUP('Données projet'!$B$15,Paramètres!$A$1:$I$89,5,0)</f>
        <v>218.2970400000001</v>
      </c>
      <c r="EL101" s="13">
        <f t="shared" si="99"/>
        <v>53.744588548923055</v>
      </c>
      <c r="EM101" s="20">
        <f t="shared" si="73"/>
        <v>473.80583638937441</v>
      </c>
      <c r="EN101" s="59">
        <f t="shared" si="74"/>
        <v>767.13916972270772</v>
      </c>
      <c r="EO101" s="59">
        <f ca="1">AVERAGE(OFFSET($EN$3,0,0,'Données projet'!$E$15+1,1))-AVERAGE(OFFSET($H$3,0,0,'Données projet'!$E$15+1,1))</f>
        <v>393.46715670823653</v>
      </c>
      <c r="EP101" s="59">
        <f t="shared" si="100"/>
        <v>266.16261355327214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549.43232095729741</v>
      </c>
      <c r="T102" s="59">
        <f t="shared" si="88"/>
        <v>280.26155987300996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3.1948110579221392</v>
      </c>
      <c r="AA102" s="21">
        <f>EXP(-LN(2)/25)*AA101+(1-EXP(-LN(2)/25))/(LN(2)/25)*Calculateur!V102*Calculateur!X102*VLOOKUP('Données projet'!$B$9,Paramètres!$A$1:$I$89,3,0)*0.475*44/12</f>
        <v>1.4109622817189091</v>
      </c>
      <c r="AB102" s="21">
        <f>EXP(-LN(2)/2)*AB101+(1-EXP(-LN(2)/2))/(LN(2)/2)*V102*Y102*VLOOKUP('Données projet'!$B$9,Paramètres!$A$1:$I$89,3,0)*0.475*44/12</f>
        <v>1.8542938178193952E-10</v>
      </c>
      <c r="AC102" s="22">
        <f t="shared" si="57"/>
        <v>4.6057733398264782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348.62416478262719</v>
      </c>
      <c r="AO102" s="59">
        <f t="shared" si="90"/>
        <v>371.70674704563288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3.3775123237926206</v>
      </c>
      <c r="AV102" s="21">
        <f>EXP(-LN(2)/25)*AV101+(1-EXP(-LN(2)/25))/(LN(2)/25)*Calculateur!AQ102*Calculateur!AS102*VLOOKUP('Données projet'!$B$10,Paramètres!$A$1:$I$89,3,0)*0.475*44/12</f>
        <v>1.8021950609650761</v>
      </c>
      <c r="AW102" s="21">
        <f>EXP(-LN(2)/2)*AW101+(1-EXP(-LN(2)/2))/(LN(2)/2)*AQ102*AT102*VLOOKUP('Données projet'!$B$10,Paramètres!$A$1:$I$89,3,0)*0.475*44/12</f>
        <v>5.1265857902285294E-10</v>
      </c>
      <c r="AX102" s="21">
        <f t="shared" si="60"/>
        <v>5.1797073852703548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</v>
      </c>
      <c r="BD102" s="12">
        <f>IF('Données projet'!$A$88&gt;35,BD101+BC102-BL101,IF(A102&lt;'Données projet'!$A$88,$BA$205^A102,IF(A102='Données projet'!$A$88,'Données projet'!$B$88,BD101+BC102-BL101)))</f>
        <v>327.39999999999998</v>
      </c>
      <c r="BE102" s="13">
        <f>BD102*VLOOKUP('Données projet'!$B$11,Paramètres!$A$1:$I$89,3,0)*VLOOKUP('Données projet'!$B$11,Paramètres!$A$1:$I$89,5,0)</f>
        <v>296.23151999999993</v>
      </c>
      <c r="BF102" s="13">
        <f t="shared" si="91"/>
        <v>70.385865030263986</v>
      </c>
      <c r="BG102" s="20">
        <f t="shared" si="61"/>
        <v>638.52527892770956</v>
      </c>
      <c r="BH102" s="59">
        <f t="shared" si="62"/>
        <v>931.85861226104294</v>
      </c>
      <c r="BI102" s="59">
        <f ca="1">AVERAGE(OFFSET($BH$3,0,0,'Données projet'!$E$11+1,1))-AVERAGE(OFFSET($H$3,0,0,'Données projet'!$E$11+1,1))</f>
        <v>405.7176439604217</v>
      </c>
      <c r="BJ102" s="59">
        <f t="shared" si="92"/>
        <v>278.21741231699929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1.8636563004160638</v>
      </c>
      <c r="BQ102" s="21">
        <f>EXP(-LN(2)/25)*BQ101+(1-EXP(-LN(2)/25))/(LN(2)/25)*Calculateur!BL102*Calculateur!BN102*VLOOKUP('Données projet'!$B$11,Paramètres!$A$1:$I$89,3,0)*0.475*44/12</f>
        <v>1.3824650090739106</v>
      </c>
      <c r="BR102" s="21">
        <f>EXP(-LN(2)/2)*BR101+(1-EXP(-LN(2)/2))/(LN(2)/2)*BL102*BO102*VLOOKUP('Données projet'!$B$11,Paramètres!$A$1:$I$89,3,0)*0.475*44/12</f>
        <v>3.5128544551626731E-10</v>
      </c>
      <c r="BS102" s="22">
        <f t="shared" si="63"/>
        <v>3.2461213098412602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1.9895196601282805E-13</v>
      </c>
      <c r="BZ102" s="13">
        <f>BY102*VLOOKUP('Données projet'!$B$12,Paramètres!$A$1:$I$89,3,0)*VLOOKUP('Données projet'!$B$12,Paramètres!$A$1:$I$89,5,0)</f>
        <v>1.738044375088066E-13</v>
      </c>
      <c r="CA102" s="13">
        <f t="shared" si="93"/>
        <v>2.4483293633950478E-12</v>
      </c>
      <c r="CB102" s="20">
        <f t="shared" si="64"/>
        <v>4.566883036574213E-12</v>
      </c>
      <c r="CC102" s="59">
        <f t="shared" si="65"/>
        <v>293.33333333333786</v>
      </c>
      <c r="CD102" s="59">
        <f ca="1">AVERAGE(OFFSET($CC$3,0,0,'Données projet'!$E$12+1,1))-AVERAGE(OFFSET($H$3,0,0,'Données projet'!$E$12+1,1))</f>
        <v>321.23599968992932</v>
      </c>
      <c r="CE102" s="59">
        <f t="shared" si="94"/>
        <v>388.05195847800502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0.93186227247103759</v>
      </c>
      <c r="CL102" s="21">
        <f>EXP(-LN(2)/25)*CL101+(1-EXP(-LN(2)/25))/(LN(2)/25)*Calculateur!CG102*Calculateur!CI102*VLOOKUP('Données projet'!$B$12,Paramètres!$A$1:$I$89,3,0)*0.475*44/12</f>
        <v>3.1147944555864049</v>
      </c>
      <c r="CM102" s="21">
        <f>EXP(-LN(2)/2)*CM101+(1-EXP(-LN(2)/2))/(LN(2)/2)*CG102*CJ102*VLOOKUP('Données projet'!$B$12,Paramètres!$A$1:$I$89,3,0)*0.475*44/12</f>
        <v>4.9649658289327415E-10</v>
      </c>
      <c r="CN102" s="22">
        <f t="shared" si="66"/>
        <v>4.0466567285539385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6.4</v>
      </c>
      <c r="CT102" s="12">
        <f>IF('Données projet'!$A$140&gt;35,CT101+CS102-DB101,IF(A102&lt;'Données projet'!$A$140,$CQ$205^A102,IF(A102='Données projet'!$A$140,'Données projet'!$B$140,CT101+CS102-DB101)))</f>
        <v>235.8000000000001</v>
      </c>
      <c r="CU102" s="17">
        <f>CT102*VLOOKUP('Données projet'!$B$13,Paramètres!$A$1:$I$89,3,0)*VLOOKUP('Données projet'!$B$13,Paramètres!$A$1:$I$89,5,0)</f>
        <v>228.0657600000001</v>
      </c>
      <c r="CV102" s="13">
        <f t="shared" si="95"/>
        <v>55.864248276798108</v>
      </c>
      <c r="CW102" s="20">
        <f t="shared" si="67"/>
        <v>494.51143108209016</v>
      </c>
      <c r="CX102" s="59">
        <f t="shared" si="68"/>
        <v>787.84476441542347</v>
      </c>
      <c r="CY102" s="59">
        <f ca="1">AVERAGE(OFFSET($CX$3,0,0,'Données projet'!$E$13+1,1))-AVERAGE(OFFSET($H$3,0,0,'Données projet'!$E$13+1,1))</f>
        <v>399.24912109442175</v>
      </c>
      <c r="CZ102" s="59">
        <f t="shared" si="96"/>
        <v>269.83150082245305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6.4</v>
      </c>
      <c r="DO102" s="12">
        <f>IF('Données projet'!$A$166&gt;35,DO101+DN102-DW101,IF(A102&lt;'Données projet'!$A$166,$DL$205^A102,IF(A102='Données projet'!$A$166,'Données projet'!$B$166,DO101+DN102-DW101)))</f>
        <v>235.8000000000001</v>
      </c>
      <c r="DP102" s="17">
        <f>DO102*VLOOKUP('Données projet'!$B$14,Paramètres!$A$1:$I$89,3,0)*VLOOKUP('Données projet'!$B$14,Paramètres!$A$1:$I$89,5,0)</f>
        <v>253.81512000000009</v>
      </c>
      <c r="DQ102" s="13">
        <f t="shared" si="97"/>
        <v>61.402169885153285</v>
      </c>
      <c r="DR102" s="20">
        <f t="shared" si="70"/>
        <v>549.00344654997537</v>
      </c>
      <c r="DS102" s="59">
        <f t="shared" si="71"/>
        <v>842.33677988330874</v>
      </c>
      <c r="DT102" s="59">
        <f ca="1">AVERAGE(OFFSET($DS$3,0,0,'Données projet'!$E$14+1,1))-AVERAGE(OFFSET($H$3,0,0,'Données projet'!$E$14+1,1))</f>
        <v>439.66981240211362</v>
      </c>
      <c r="DU102" s="59">
        <f t="shared" si="98"/>
        <v>295.47805371292458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6.4</v>
      </c>
      <c r="EJ102" s="12">
        <f>IF('Données projet'!$A$192&gt;35,EJ101+EI102-ER101,IF(A102&lt;'Données projet'!$A$192,$EG$205^A102,IF(A102='Données projet'!$A$192,'Données projet'!$B$192,EJ101+EI102-ER101)))</f>
        <v>235.8000000000001</v>
      </c>
      <c r="EK102" s="17">
        <f>EJ102*VLOOKUP('Données projet'!$B$15,Paramètres!$A$1:$I$89,3,0)*VLOOKUP('Données projet'!$B$15,Paramètres!$A$1:$I$89,5,0)</f>
        <v>224.38728000000009</v>
      </c>
      <c r="EL102" s="13">
        <f t="shared" si="99"/>
        <v>55.067340751790709</v>
      </c>
      <c r="EM102" s="20">
        <f t="shared" si="73"/>
        <v>486.71679780936898</v>
      </c>
      <c r="EN102" s="59">
        <f t="shared" si="74"/>
        <v>780.0501311427023</v>
      </c>
      <c r="EO102" s="59">
        <f ca="1">AVERAGE(OFFSET($EN$3,0,0,'Données projet'!$E$15+1,1))-AVERAGE(OFFSET($H$3,0,0,'Données projet'!$E$15+1,1))</f>
        <v>393.46715670823653</v>
      </c>
      <c r="EP102" s="59">
        <f t="shared" si="100"/>
        <v>266.16261355327214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549.43232095729741</v>
      </c>
      <c r="T103" s="59">
        <f t="shared" si="88"/>
        <v>280.26155987300996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3.132162761718619</v>
      </c>
      <c r="AA103" s="21">
        <f>EXP(-LN(2)/25)*AA102+(1-EXP(-LN(2)/25))/(LN(2)/25)*Calculateur!V103*Calculateur!X103*VLOOKUP('Données projet'!$B$9,Paramètres!$A$1:$I$89,3,0)*0.475*44/12</f>
        <v>1.372379443926024</v>
      </c>
      <c r="AB103" s="21">
        <f>EXP(-LN(2)/2)*AB102+(1-EXP(-LN(2)/2))/(LN(2)/2)*V103*Y103*VLOOKUP('Données projet'!$B$9,Paramètres!$A$1:$I$89,3,0)*0.475*44/12</f>
        <v>1.3111837328923869E-10</v>
      </c>
      <c r="AC103" s="22">
        <f t="shared" si="57"/>
        <v>4.5045422057757616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348.62416478262719</v>
      </c>
      <c r="AO103" s="59">
        <f t="shared" si="90"/>
        <v>371.70674704563288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3.3112813672021488</v>
      </c>
      <c r="AV103" s="21">
        <f>EXP(-LN(2)/25)*AV102+(1-EXP(-LN(2)/25))/(LN(2)/25)*Calculateur!AQ103*Calculateur!AS103*VLOOKUP('Données projet'!$B$10,Paramètres!$A$1:$I$89,3,0)*0.475*44/12</f>
        <v>1.7529139422496669</v>
      </c>
      <c r="AW103" s="21">
        <f>EXP(-LN(2)/2)*AW102+(1-EXP(-LN(2)/2))/(LN(2)/2)*AQ103*AT103*VLOOKUP('Données projet'!$B$10,Paramètres!$A$1:$I$89,3,0)*0.475*44/12</f>
        <v>3.6250435766051886E-10</v>
      </c>
      <c r="AX103" s="21">
        <f t="shared" si="60"/>
        <v>5.0641953098143206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333</v>
      </c>
      <c r="BB103" s="12">
        <f>VLOOKUP(A103,'Données projet'!$A$87:$I$107,9,0)</f>
        <v>5.6</v>
      </c>
      <c r="BC103" s="12">
        <f t="array" ref="BC103">INDEX(BB:BB,MIN(IF(ISNUMBER(BB103:BB299),ROW(BB103:BB299),"")))</f>
        <v>5.6</v>
      </c>
      <c r="BD103" s="12">
        <f>IF('Données projet'!$A$88&gt;35,BD102+BC103-BL102,IF(A103&lt;'Données projet'!$A$88,$BA$205^A103,IF(A103='Données projet'!$A$88,'Données projet'!$B$88,BD102+BC103-BL102)))</f>
        <v>333</v>
      </c>
      <c r="BE103" s="13">
        <f>BD103*VLOOKUP('Données projet'!$B$11,Paramètres!$A$1:$I$89,3,0)*VLOOKUP('Données projet'!$B$11,Paramètres!$A$1:$I$89,5,0)</f>
        <v>301.29840000000002</v>
      </c>
      <c r="BF103" s="13">
        <f t="shared" si="91"/>
        <v>71.448589534990518</v>
      </c>
      <c r="BG103" s="20">
        <f t="shared" si="61"/>
        <v>649.2010067734418</v>
      </c>
      <c r="BH103" s="59">
        <f t="shared" si="62"/>
        <v>942.53434010677506</v>
      </c>
      <c r="BI103" s="59">
        <f ca="1">AVERAGE(OFFSET($BH$3,0,0,'Données projet'!$E$11+1,1))-AVERAGE(OFFSET($H$3,0,0,'Données projet'!$E$11+1,1))</f>
        <v>405.7176439604217</v>
      </c>
      <c r="BJ103" s="59">
        <f t="shared" si="92"/>
        <v>278.21741231699929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333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1.8271111370830064</v>
      </c>
      <c r="BQ103" s="21">
        <f>EXP(-LN(2)/25)*BQ102+(1-EXP(-LN(2)/25))/(LN(2)/25)*Calculateur!BL103*Calculateur!BN103*VLOOKUP('Données projet'!$B$11,Paramètres!$A$1:$I$89,3,0)*0.475*44/12</f>
        <v>1.3446614307001092</v>
      </c>
      <c r="BR103" s="21">
        <f>EXP(-LN(2)/2)*BR102+(1-EXP(-LN(2)/2))/(LN(2)/2)*BL103*BO103*VLOOKUP('Données projet'!$B$11,Paramètres!$A$1:$I$89,3,0)*0.475*44/12</f>
        <v>2.4839632065669009E-10</v>
      </c>
      <c r="BS103" s="22">
        <f t="shared" si="63"/>
        <v>3.1717725680315119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1.9895196601282805E-13</v>
      </c>
      <c r="BZ103" s="13">
        <f>BY103*VLOOKUP('Données projet'!$B$12,Paramètres!$A$1:$I$89,3,0)*VLOOKUP('Données projet'!$B$12,Paramètres!$A$1:$I$89,5,0)</f>
        <v>1.738044375088066E-13</v>
      </c>
      <c r="CA103" s="13">
        <f t="shared" si="93"/>
        <v>2.4483293633950478E-12</v>
      </c>
      <c r="CB103" s="20">
        <f t="shared" si="64"/>
        <v>4.566883036574213E-12</v>
      </c>
      <c r="CC103" s="59">
        <f t="shared" si="65"/>
        <v>293.33333333333786</v>
      </c>
      <c r="CD103" s="59">
        <f ca="1">AVERAGE(OFFSET($CC$3,0,0,'Données projet'!$E$12+1,1))-AVERAGE(OFFSET($H$3,0,0,'Données projet'!$E$12+1,1))</f>
        <v>321.23599968992932</v>
      </c>
      <c r="CE103" s="59">
        <f t="shared" si="94"/>
        <v>388.05195847800502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0.91358902168774392</v>
      </c>
      <c r="CL103" s="21">
        <f>EXP(-LN(2)/25)*CL102+(1-EXP(-LN(2)/25))/(LN(2)/25)*Calculateur!CG103*Calculateur!CI103*VLOOKUP('Données projet'!$B$12,Paramètres!$A$1:$I$89,3,0)*0.475*44/12</f>
        <v>3.0296202373984733</v>
      </c>
      <c r="CM103" s="21">
        <f>EXP(-LN(2)/2)*CM102+(1-EXP(-LN(2)/2))/(LN(2)/2)*CG103*CJ103*VLOOKUP('Données projet'!$B$12,Paramètres!$A$1:$I$89,3,0)*0.475*44/12</f>
        <v>3.5107610059978296E-10</v>
      </c>
      <c r="CN103" s="22">
        <f t="shared" si="66"/>
        <v>3.9432092594372934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6.4</v>
      </c>
      <c r="CT103" s="12">
        <f>IF('Données projet'!$A$140&gt;35,CT102+CS103-DB102,IF(A103&lt;'Données projet'!$A$140,$CQ$205^A103,IF(A103='Données projet'!$A$140,'Données projet'!$B$140,CT102+CS103-DB102)))</f>
        <v>242.2000000000001</v>
      </c>
      <c r="CU103" s="17">
        <f>CT103*VLOOKUP('Données projet'!$B$13,Paramètres!$A$1:$I$89,3,0)*VLOOKUP('Données projet'!$B$13,Paramètres!$A$1:$I$89,5,0)</f>
        <v>234.25584000000012</v>
      </c>
      <c r="CV103" s="13">
        <f t="shared" si="95"/>
        <v>57.201909410446461</v>
      </c>
      <c r="CW103" s="20">
        <f t="shared" si="67"/>
        <v>507.62224688986112</v>
      </c>
      <c r="CX103" s="59">
        <f t="shared" si="68"/>
        <v>800.95558022319437</v>
      </c>
      <c r="CY103" s="59">
        <f ca="1">AVERAGE(OFFSET($CX$3,0,0,'Données projet'!$E$13+1,1))-AVERAGE(OFFSET($H$3,0,0,'Données projet'!$E$13+1,1))</f>
        <v>399.24912109442175</v>
      </c>
      <c r="CZ103" s="59">
        <f t="shared" si="96"/>
        <v>269.83150082245305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6.4</v>
      </c>
      <c r="DO103" s="12">
        <f>IF('Données projet'!$A$166&gt;35,DO102+DN103-DW102,IF(A103&lt;'Données projet'!$A$166,$DL$205^A103,IF(A103='Données projet'!$A$166,'Données projet'!$B$166,DO102+DN103-DW102)))</f>
        <v>242.2000000000001</v>
      </c>
      <c r="DP103" s="17">
        <f>DO103*VLOOKUP('Données projet'!$B$14,Paramètres!$A$1:$I$89,3,0)*VLOOKUP('Données projet'!$B$14,Paramètres!$A$1:$I$89,5,0)</f>
        <v>260.70408000000009</v>
      </c>
      <c r="DQ103" s="13">
        <f t="shared" si="97"/>
        <v>62.872435729778559</v>
      </c>
      <c r="DR103" s="20">
        <f t="shared" si="70"/>
        <v>563.56243156269772</v>
      </c>
      <c r="DS103" s="59">
        <f t="shared" si="71"/>
        <v>856.8957648960311</v>
      </c>
      <c r="DT103" s="59">
        <f ca="1">AVERAGE(OFFSET($DS$3,0,0,'Données projet'!$E$14+1,1))-AVERAGE(OFFSET($H$3,0,0,'Données projet'!$E$14+1,1))</f>
        <v>439.66981240211362</v>
      </c>
      <c r="DU103" s="59">
        <f t="shared" si="98"/>
        <v>295.47805371292458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6.4</v>
      </c>
      <c r="EJ103" s="12">
        <f>IF('Données projet'!$A$192&gt;35,EJ102+EI103-ER102,IF(A103&lt;'Données projet'!$A$192,$EG$205^A103,IF(A103='Données projet'!$A$192,'Données projet'!$B$192,EJ102+EI103-ER102)))</f>
        <v>242.2000000000001</v>
      </c>
      <c r="EK103" s="17">
        <f>EJ103*VLOOKUP('Données projet'!$B$15,Paramètres!$A$1:$I$89,3,0)*VLOOKUP('Données projet'!$B$15,Paramètres!$A$1:$I$89,5,0)</f>
        <v>230.47752000000008</v>
      </c>
      <c r="EL103" s="13">
        <f t="shared" si="99"/>
        <v>56.385920053029309</v>
      </c>
      <c r="EM103" s="20">
        <f t="shared" si="73"/>
        <v>499.62049142569282</v>
      </c>
      <c r="EN103" s="59">
        <f t="shared" si="74"/>
        <v>792.95382475902613</v>
      </c>
      <c r="EO103" s="59">
        <f ca="1">AVERAGE(OFFSET($EN$3,0,0,'Données projet'!$E$15+1,1))-AVERAGE(OFFSET($H$3,0,0,'Données projet'!$E$15+1,1))</f>
        <v>393.46715670823653</v>
      </c>
      <c r="EP103" s="59">
        <f t="shared" si="100"/>
        <v>266.16261355327214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549.43232095729741</v>
      </c>
      <c r="T104" s="59">
        <f t="shared" si="88"/>
        <v>280.26155987300996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3.070742960391962</v>
      </c>
      <c r="AA104" s="21">
        <f>EXP(-LN(2)/25)*AA103+(1-EXP(-LN(2)/25))/(LN(2)/25)*Calculateur!V104*Calculateur!X104*VLOOKUP('Données projet'!$B$9,Paramètres!$A$1:$I$89,3,0)*0.475*44/12</f>
        <v>1.3348516558615684</v>
      </c>
      <c r="AB104" s="21">
        <f>EXP(-LN(2)/2)*AB103+(1-EXP(-LN(2)/2))/(LN(2)/2)*V104*Y104*VLOOKUP('Données projet'!$B$9,Paramètres!$A$1:$I$89,3,0)*0.475*44/12</f>
        <v>9.2714690890969759E-11</v>
      </c>
      <c r="AC104" s="22">
        <f t="shared" si="57"/>
        <v>4.4055946163462449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348.62416478262719</v>
      </c>
      <c r="AO104" s="59">
        <f t="shared" si="90"/>
        <v>371.70674704563288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3.2463491592735214</v>
      </c>
      <c r="AV104" s="21">
        <f>EXP(-LN(2)/25)*AV103+(1-EXP(-LN(2)/25))/(LN(2)/25)*Calculateur!AQ104*Calculateur!AS104*VLOOKUP('Données projet'!$B$10,Paramètres!$A$1:$I$89,3,0)*0.475*44/12</f>
        <v>1.7049804183171118</v>
      </c>
      <c r="AW104" s="21">
        <f>EXP(-LN(2)/2)*AW103+(1-EXP(-LN(2)/2))/(LN(2)/2)*AQ104*AT104*VLOOKUP('Données projet'!$B$10,Paramètres!$A$1:$I$89,3,0)*0.475*44/12</f>
        <v>2.5632928951142647E-10</v>
      </c>
      <c r="AX104" s="21">
        <f t="shared" si="60"/>
        <v>4.9513295778469626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405.7176439604217</v>
      </c>
      <c r="BJ104" s="59">
        <f t="shared" si="92"/>
        <v>278.21741231699929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1.7912826021125616</v>
      </c>
      <c r="BQ104" s="21">
        <f>EXP(-LN(2)/25)*BQ103+(1-EXP(-LN(2)/25))/(LN(2)/25)*Calculateur!BL104*Calculateur!BN104*VLOOKUP('Données projet'!$B$11,Paramètres!$A$1:$I$89,3,0)*0.475*44/12</f>
        <v>1.3078915931649433</v>
      </c>
      <c r="BR104" s="21">
        <f>EXP(-LN(2)/2)*BR103+(1-EXP(-LN(2)/2))/(LN(2)/2)*BL104*BO104*VLOOKUP('Données projet'!$B$11,Paramètres!$A$1:$I$89,3,0)*0.475*44/12</f>
        <v>1.7564272275813366E-10</v>
      </c>
      <c r="BS104" s="22">
        <f t="shared" si="63"/>
        <v>3.0991741954531475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1.9895196601282805E-13</v>
      </c>
      <c r="BZ104" s="13">
        <f>BY104*VLOOKUP('Données projet'!$B$12,Paramètres!$A$1:$I$89,3,0)*VLOOKUP('Données projet'!$B$12,Paramètres!$A$1:$I$89,5,0)</f>
        <v>1.738044375088066E-13</v>
      </c>
      <c r="CA104" s="13">
        <f t="shared" si="93"/>
        <v>2.4483293633950478E-12</v>
      </c>
      <c r="CB104" s="20">
        <f t="shared" si="64"/>
        <v>4.566883036574213E-12</v>
      </c>
      <c r="CC104" s="59">
        <f t="shared" si="65"/>
        <v>293.33333333333786</v>
      </c>
      <c r="CD104" s="59">
        <f ca="1">AVERAGE(OFFSET($CC$3,0,0,'Données projet'!$E$12+1,1))-AVERAGE(OFFSET($H$3,0,0,'Données projet'!$E$12+1,1))</f>
        <v>321.23599968992932</v>
      </c>
      <c r="CE104" s="59">
        <f t="shared" si="94"/>
        <v>388.05195847800502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0.89567409820672816</v>
      </c>
      <c r="CL104" s="21">
        <f>EXP(-LN(2)/25)*CL103+(1-EXP(-LN(2)/25))/(LN(2)/25)*Calculateur!CG104*Calculateur!CI104*VLOOKUP('Données projet'!$B$12,Paramètres!$A$1:$I$89,3,0)*0.475*44/12</f>
        <v>2.9467751126860082</v>
      </c>
      <c r="CM104" s="21">
        <f>EXP(-LN(2)/2)*CM103+(1-EXP(-LN(2)/2))/(LN(2)/2)*CG104*CJ104*VLOOKUP('Données projet'!$B$12,Paramètres!$A$1:$I$89,3,0)*0.475*44/12</f>
        <v>2.4824829144663707E-10</v>
      </c>
      <c r="CN104" s="22">
        <f t="shared" si="66"/>
        <v>3.8424492111409845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6.4</v>
      </c>
      <c r="CT104" s="12">
        <f>IF('Données projet'!$A$140&gt;35,CT103+CS104-DB103,IF(A104&lt;'Données projet'!$A$140,$CQ$205^A104,IF(A104='Données projet'!$A$140,'Données projet'!$B$140,CT103+CS104-DB103)))</f>
        <v>248.60000000000011</v>
      </c>
      <c r="CU104" s="17">
        <f>CT104*VLOOKUP('Données projet'!$B$13,Paramètres!$A$1:$I$89,3,0)*VLOOKUP('Données projet'!$B$13,Paramètres!$A$1:$I$89,5,0)</f>
        <v>240.44592000000011</v>
      </c>
      <c r="CV104" s="13">
        <f t="shared" si="95"/>
        <v>58.535461974901317</v>
      </c>
      <c r="CW104" s="20">
        <f t="shared" si="67"/>
        <v>520.7259069396199</v>
      </c>
      <c r="CX104" s="59">
        <f t="shared" si="68"/>
        <v>814.05924027295328</v>
      </c>
      <c r="CY104" s="59">
        <f ca="1">AVERAGE(OFFSET($CX$3,0,0,'Données projet'!$E$13+1,1))-AVERAGE(OFFSET($H$3,0,0,'Données projet'!$E$13+1,1))</f>
        <v>399.24912109442175</v>
      </c>
      <c r="CZ104" s="59">
        <f t="shared" si="96"/>
        <v>269.83150082245305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6.4</v>
      </c>
      <c r="DO104" s="12">
        <f>IF('Données projet'!$A$166&gt;35,DO103+DN104-DW103,IF(A104&lt;'Données projet'!$A$166,$DL$205^A104,IF(A104='Données projet'!$A$166,'Données projet'!$B$166,DO103+DN104-DW103)))</f>
        <v>248.60000000000011</v>
      </c>
      <c r="DP104" s="17">
        <f>DO104*VLOOKUP('Données projet'!$B$14,Paramètres!$A$1:$I$89,3,0)*VLOOKUP('Données projet'!$B$14,Paramètres!$A$1:$I$89,5,0)</f>
        <v>267.59304000000009</v>
      </c>
      <c r="DQ104" s="13">
        <f t="shared" si="97"/>
        <v>64.338185715488962</v>
      </c>
      <c r="DR104" s="20">
        <f t="shared" si="70"/>
        <v>578.11355145447681</v>
      </c>
      <c r="DS104" s="59">
        <f t="shared" si="71"/>
        <v>871.44688478781018</v>
      </c>
      <c r="DT104" s="59">
        <f ca="1">AVERAGE(OFFSET($DS$3,0,0,'Données projet'!$E$14+1,1))-AVERAGE(OFFSET($H$3,0,0,'Données projet'!$E$14+1,1))</f>
        <v>439.66981240211362</v>
      </c>
      <c r="DU104" s="59">
        <f t="shared" si="98"/>
        <v>295.47805371292458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6.4</v>
      </c>
      <c r="EJ104" s="12">
        <f>IF('Données projet'!$A$192&gt;35,EJ103+EI104-ER103,IF(A104&lt;'Données projet'!$A$192,$EG$205^A104,IF(A104='Données projet'!$A$192,'Données projet'!$B$192,EJ103+EI104-ER103)))</f>
        <v>248.60000000000011</v>
      </c>
      <c r="EK104" s="17">
        <f>EJ104*VLOOKUP('Données projet'!$B$15,Paramètres!$A$1:$I$89,3,0)*VLOOKUP('Données projet'!$B$15,Paramètres!$A$1:$I$89,5,0)</f>
        <v>236.56776000000011</v>
      </c>
      <c r="EL104" s="13">
        <f t="shared" si="99"/>
        <v>57.700449394109867</v>
      </c>
      <c r="EM104" s="20">
        <f t="shared" si="73"/>
        <v>512.51713136140813</v>
      </c>
      <c r="EN104" s="59">
        <f t="shared" si="74"/>
        <v>805.8504646947415</v>
      </c>
      <c r="EO104" s="59">
        <f ca="1">AVERAGE(OFFSET($EN$3,0,0,'Données projet'!$E$15+1,1))-AVERAGE(OFFSET($H$3,0,0,'Données projet'!$E$15+1,1))</f>
        <v>393.46715670823653</v>
      </c>
      <c r="EP104" s="59">
        <f t="shared" si="100"/>
        <v>266.16261355327214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549.43232095729741</v>
      </c>
      <c r="T105" s="59">
        <f t="shared" si="88"/>
        <v>280.26155987300996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3.0105275639069413</v>
      </c>
      <c r="AA105" s="21">
        <f>EXP(-LN(2)/25)*AA104+(1-EXP(-LN(2)/25))/(LN(2)/25)*Calculateur!V105*Calculateur!X105*VLOOKUP('Données projet'!$B$9,Paramètres!$A$1:$I$89,3,0)*0.475*44/12</f>
        <v>1.2983500671352362</v>
      </c>
      <c r="AB105" s="21">
        <f>EXP(-LN(2)/2)*AB104+(1-EXP(-LN(2)/2))/(LN(2)/2)*V105*Y105*VLOOKUP('Données projet'!$B$9,Paramètres!$A$1:$I$89,3,0)*0.475*44/12</f>
        <v>6.5559186644619344E-11</v>
      </c>
      <c r="AC105" s="22">
        <f t="shared" si="57"/>
        <v>4.3088776311077366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348.62416478262719</v>
      </c>
      <c r="AO105" s="59">
        <f t="shared" si="90"/>
        <v>371.70674704563288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3.1826902323376385</v>
      </c>
      <c r="AV105" s="21">
        <f>EXP(-LN(2)/25)*AV104+(1-EXP(-LN(2)/25))/(LN(2)/25)*Calculateur!AQ105*Calculateur!AS105*VLOOKUP('Données projet'!$B$10,Paramètres!$A$1:$I$89,3,0)*0.475*44/12</f>
        <v>1.658357639117207</v>
      </c>
      <c r="AW105" s="21">
        <f>EXP(-LN(2)/2)*AW104+(1-EXP(-LN(2)/2))/(LN(2)/2)*AQ105*AT105*VLOOKUP('Données projet'!$B$10,Paramètres!$A$1:$I$89,3,0)*0.475*44/12</f>
        <v>1.8125217883025943E-10</v>
      </c>
      <c r="AX105" s="21">
        <f t="shared" si="60"/>
        <v>4.8410478716360981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405.7176439604217</v>
      </c>
      <c r="BJ105" s="59">
        <f t="shared" si="92"/>
        <v>278.21741231699929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1.7561566428596389</v>
      </c>
      <c r="BQ105" s="21">
        <f>EXP(-LN(2)/25)*BQ104+(1-EXP(-LN(2)/25))/(LN(2)/25)*Calculateur!BL105*Calculateur!BN105*VLOOKUP('Données projet'!$B$11,Paramètres!$A$1:$I$89,3,0)*0.475*44/12</f>
        <v>1.2721272287708183</v>
      </c>
      <c r="BR105" s="21">
        <f>EXP(-LN(2)/2)*BR104+(1-EXP(-LN(2)/2))/(LN(2)/2)*BL105*BO105*VLOOKUP('Données projet'!$B$11,Paramètres!$A$1:$I$89,3,0)*0.475*44/12</f>
        <v>1.2419816032834505E-10</v>
      </c>
      <c r="BS105" s="22">
        <f t="shared" si="63"/>
        <v>3.0282838717546552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1.9895196601282805E-13</v>
      </c>
      <c r="BZ105" s="13">
        <f>BY105*VLOOKUP('Données projet'!$B$12,Paramètres!$A$1:$I$89,3,0)*VLOOKUP('Données projet'!$B$12,Paramètres!$A$1:$I$89,5,0)</f>
        <v>1.738044375088066E-13</v>
      </c>
      <c r="CA105" s="13">
        <f t="shared" si="93"/>
        <v>2.4483293633950478E-12</v>
      </c>
      <c r="CB105" s="20">
        <f t="shared" si="64"/>
        <v>4.566883036574213E-12</v>
      </c>
      <c r="CC105" s="59">
        <f t="shared" si="65"/>
        <v>293.33333333333786</v>
      </c>
      <c r="CD105" s="59">
        <f ca="1">AVERAGE(OFFSET($CC$3,0,0,'Données projet'!$E$12+1,1))-AVERAGE(OFFSET($H$3,0,0,'Données projet'!$E$12+1,1))</f>
        <v>321.23599968992932</v>
      </c>
      <c r="CE105" s="59">
        <f t="shared" si="94"/>
        <v>388.05195847800502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0.8781104754481508</v>
      </c>
      <c r="CL105" s="21">
        <f>EXP(-LN(2)/25)*CL104+(1-EXP(-LN(2)/25))/(LN(2)/25)*Calculateur!CG105*Calculateur!CI105*VLOOKUP('Données projet'!$B$12,Paramètres!$A$1:$I$89,3,0)*0.475*44/12</f>
        <v>2.8661953922654413</v>
      </c>
      <c r="CM105" s="21">
        <f>EXP(-LN(2)/2)*CM104+(1-EXP(-LN(2)/2))/(LN(2)/2)*CG105*CJ105*VLOOKUP('Données projet'!$B$12,Paramètres!$A$1:$I$89,3,0)*0.475*44/12</f>
        <v>1.7553805029989148E-10</v>
      </c>
      <c r="CN105" s="22">
        <f t="shared" si="66"/>
        <v>3.7443058678891306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6.4</v>
      </c>
      <c r="CT105" s="12">
        <f>IF('Données projet'!$A$140&gt;35,CT104+CS105-DB104,IF(A105&lt;'Données projet'!$A$140,$CQ$205^A105,IF(A105='Données projet'!$A$140,'Données projet'!$B$140,CT104+CS105-DB104)))</f>
        <v>255.00000000000011</v>
      </c>
      <c r="CU105" s="17">
        <f>CT105*VLOOKUP('Données projet'!$B$13,Paramètres!$A$1:$I$89,3,0)*VLOOKUP('Données projet'!$B$13,Paramètres!$A$1:$I$89,5,0)</f>
        <v>246.63600000000014</v>
      </c>
      <c r="CV105" s="13">
        <f t="shared" si="95"/>
        <v>59.865023903294535</v>
      </c>
      <c r="CW105" s="20">
        <f t="shared" si="67"/>
        <v>533.82261663157146</v>
      </c>
      <c r="CX105" s="59">
        <f t="shared" si="68"/>
        <v>827.15594996490472</v>
      </c>
      <c r="CY105" s="59">
        <f ca="1">AVERAGE(OFFSET($CX$3,0,0,'Données projet'!$E$13+1,1))-AVERAGE(OFFSET($H$3,0,0,'Données projet'!$E$13+1,1))</f>
        <v>399.24912109442175</v>
      </c>
      <c r="CZ105" s="59">
        <f t="shared" si="96"/>
        <v>269.83150082245305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6.4</v>
      </c>
      <c r="DO105" s="12">
        <f>IF('Données projet'!$A$166&gt;35,DO104+DN105-DW104,IF(A105&lt;'Données projet'!$A$166,$DL$205^A105,IF(A105='Données projet'!$A$166,'Données projet'!$B$166,DO104+DN105-DW104)))</f>
        <v>255.00000000000011</v>
      </c>
      <c r="DP105" s="17">
        <f>DO105*VLOOKUP('Données projet'!$B$14,Paramètres!$A$1:$I$89,3,0)*VLOOKUP('Données projet'!$B$14,Paramètres!$A$1:$I$89,5,0)</f>
        <v>274.48200000000014</v>
      </c>
      <c r="DQ105" s="13">
        <f t="shared" si="97"/>
        <v>65.799549466336003</v>
      </c>
      <c r="DR105" s="20">
        <f t="shared" si="70"/>
        <v>592.65703198720212</v>
      </c>
      <c r="DS105" s="59">
        <f t="shared" si="71"/>
        <v>885.99036532053537</v>
      </c>
      <c r="DT105" s="59">
        <f ca="1">AVERAGE(OFFSET($DS$3,0,0,'Données projet'!$E$14+1,1))-AVERAGE(OFFSET($H$3,0,0,'Données projet'!$E$14+1,1))</f>
        <v>439.66981240211362</v>
      </c>
      <c r="DU105" s="59">
        <f t="shared" si="98"/>
        <v>295.47805371292458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6.4</v>
      </c>
      <c r="EJ105" s="12">
        <f>IF('Données projet'!$A$192&gt;35,EJ104+EI105-ER104,IF(A105&lt;'Données projet'!$A$192,$EG$205^A105,IF(A105='Données projet'!$A$192,'Données projet'!$B$192,EJ104+EI105-ER104)))</f>
        <v>255.00000000000011</v>
      </c>
      <c r="EK105" s="17">
        <f>EJ105*VLOOKUP('Données projet'!$B$15,Paramètres!$A$1:$I$89,3,0)*VLOOKUP('Données projet'!$B$15,Paramètres!$A$1:$I$89,5,0)</f>
        <v>242.6580000000001</v>
      </c>
      <c r="EL105" s="13">
        <f t="shared" si="99"/>
        <v>59.011045025839607</v>
      </c>
      <c r="EM105" s="20">
        <f t="shared" si="73"/>
        <v>525.40692008667077</v>
      </c>
      <c r="EN105" s="59">
        <f t="shared" si="74"/>
        <v>818.74025342000414</v>
      </c>
      <c r="EO105" s="59">
        <f ca="1">AVERAGE(OFFSET($EN$3,0,0,'Données projet'!$E$15+1,1))-AVERAGE(OFFSET($H$3,0,0,'Données projet'!$E$15+1,1))</f>
        <v>393.46715670823653</v>
      </c>
      <c r="EP105" s="59">
        <f t="shared" si="100"/>
        <v>266.16261355327214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549.43232095729741</v>
      </c>
      <c r="T106" s="59">
        <f t="shared" si="88"/>
        <v>280.26155987300996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2.9514929546192263</v>
      </c>
      <c r="AA106" s="21">
        <f>EXP(-LN(2)/25)*AA105+(1-EXP(-LN(2)/25))/(LN(2)/25)*Calculateur!V106*Calculateur!X106*VLOOKUP('Données projet'!$B$9,Paramètres!$A$1:$I$89,3,0)*0.475*44/12</f>
        <v>1.2628466162721605</v>
      </c>
      <c r="AB106" s="21">
        <f>EXP(-LN(2)/2)*AB105+(1-EXP(-LN(2)/2))/(LN(2)/2)*V106*Y106*VLOOKUP('Données projet'!$B$9,Paramètres!$A$1:$I$89,3,0)*0.475*44/12</f>
        <v>4.6357345445484879E-11</v>
      </c>
      <c r="AC106" s="22">
        <f t="shared" si="57"/>
        <v>4.214339570937744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348.62416478262719</v>
      </c>
      <c r="AO106" s="59">
        <f t="shared" si="90"/>
        <v>371.70674704563288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3.1202796181308567</v>
      </c>
      <c r="AV106" s="21">
        <f>EXP(-LN(2)/25)*AV105+(1-EXP(-LN(2)/25))/(LN(2)/25)*Calculateur!AQ106*Calculateur!AS106*VLOOKUP('Données projet'!$B$10,Paramètres!$A$1:$I$89,3,0)*0.475*44/12</f>
        <v>1.6130097622663089</v>
      </c>
      <c r="AW106" s="21">
        <f>EXP(-LN(2)/2)*AW105+(1-EXP(-LN(2)/2))/(LN(2)/2)*AQ106*AT106*VLOOKUP('Données projet'!$B$10,Paramètres!$A$1:$I$89,3,0)*0.475*44/12</f>
        <v>1.2816464475571323E-10</v>
      </c>
      <c r="AX106" s="21">
        <f t="shared" si="60"/>
        <v>4.7332893805253304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405.7176439604217</v>
      </c>
      <c r="BJ106" s="59">
        <f t="shared" si="92"/>
        <v>278.21741231699929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1.7217194822429462</v>
      </c>
      <c r="BQ106" s="21">
        <f>EXP(-LN(2)/25)*BQ105+(1-EXP(-LN(2)/25))/(LN(2)/25)*Calculateur!BL106*Calculateur!BN106*VLOOKUP('Données projet'!$B$11,Paramètres!$A$1:$I$89,3,0)*0.475*44/12</f>
        <v>1.2373408428018169</v>
      </c>
      <c r="BR106" s="21">
        <f>EXP(-LN(2)/2)*BR105+(1-EXP(-LN(2)/2))/(LN(2)/2)*BL106*BO106*VLOOKUP('Données projet'!$B$11,Paramètres!$A$1:$I$89,3,0)*0.475*44/12</f>
        <v>8.7821361379066829E-11</v>
      </c>
      <c r="BS106" s="22">
        <f t="shared" si="63"/>
        <v>2.9590603251325844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1.9895196601282805E-13</v>
      </c>
      <c r="BZ106" s="13">
        <f>BY106*VLOOKUP('Données projet'!$B$12,Paramètres!$A$1:$I$89,3,0)*VLOOKUP('Données projet'!$B$12,Paramètres!$A$1:$I$89,5,0)</f>
        <v>1.738044375088066E-13</v>
      </c>
      <c r="CA106" s="13">
        <f t="shared" si="93"/>
        <v>2.4483293633950478E-12</v>
      </c>
      <c r="CB106" s="20">
        <f t="shared" si="64"/>
        <v>4.566883036574213E-12</v>
      </c>
      <c r="CC106" s="59">
        <f t="shared" si="65"/>
        <v>293.33333333333786</v>
      </c>
      <c r="CD106" s="59">
        <f ca="1">AVERAGE(OFFSET($CC$3,0,0,'Données projet'!$E$12+1,1))-AVERAGE(OFFSET($H$3,0,0,'Données projet'!$E$12+1,1))</f>
        <v>321.23599968992932</v>
      </c>
      <c r="CE106" s="59">
        <f t="shared" si="94"/>
        <v>388.05195847800502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0.86089126461911702</v>
      </c>
      <c r="CL106" s="21">
        <f>EXP(-LN(2)/25)*CL105+(1-EXP(-LN(2)/25))/(LN(2)/25)*Calculateur!CG106*Calculateur!CI106*VLOOKUP('Données projet'!$B$12,Paramètres!$A$1:$I$89,3,0)*0.475*44/12</f>
        <v>2.787819128537278</v>
      </c>
      <c r="CM106" s="21">
        <f>EXP(-LN(2)/2)*CM105+(1-EXP(-LN(2)/2))/(LN(2)/2)*CG106*CJ106*VLOOKUP('Données projet'!$B$12,Paramètres!$A$1:$I$89,3,0)*0.475*44/12</f>
        <v>1.2412414572331854E-10</v>
      </c>
      <c r="CN106" s="22">
        <f t="shared" si="66"/>
        <v>3.6487103932805192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6.4</v>
      </c>
      <c r="CT106" s="12">
        <f>IF('Données projet'!$A$140&gt;35,CT105+CS106-DB105,IF(A106&lt;'Données projet'!$A$140,$CQ$205^A106,IF(A106='Données projet'!$A$140,'Données projet'!$B$140,CT105+CS106-DB105)))</f>
        <v>261.40000000000009</v>
      </c>
      <c r="CU106" s="17">
        <f>CT106*VLOOKUP('Données projet'!$B$13,Paramètres!$A$1:$I$89,3,0)*VLOOKUP('Données projet'!$B$13,Paramètres!$A$1:$I$89,5,0)</f>
        <v>252.8260800000001</v>
      </c>
      <c r="CV106" s="13">
        <f t="shared" si="95"/>
        <v>61.190706871606714</v>
      </c>
      <c r="CW106" s="20">
        <f t="shared" si="67"/>
        <v>546.91257046804856</v>
      </c>
      <c r="CX106" s="59">
        <f t="shared" si="68"/>
        <v>840.24590380138193</v>
      </c>
      <c r="CY106" s="59">
        <f ca="1">AVERAGE(OFFSET($CX$3,0,0,'Données projet'!$E$13+1,1))-AVERAGE(OFFSET($H$3,0,0,'Données projet'!$E$13+1,1))</f>
        <v>399.24912109442175</v>
      </c>
      <c r="CZ106" s="59">
        <f t="shared" si="96"/>
        <v>269.83150082245305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6.4</v>
      </c>
      <c r="DO106" s="12">
        <f>IF('Données projet'!$A$166&gt;35,DO105+DN106-DW105,IF(A106&lt;'Données projet'!$A$166,$DL$205^A106,IF(A106='Données projet'!$A$166,'Données projet'!$B$166,DO105+DN106-DW105)))</f>
        <v>261.40000000000009</v>
      </c>
      <c r="DP106" s="17">
        <f>DO106*VLOOKUP('Données projet'!$B$14,Paramètres!$A$1:$I$89,3,0)*VLOOKUP('Données projet'!$B$14,Paramètres!$A$1:$I$89,5,0)</f>
        <v>281.37096000000008</v>
      </c>
      <c r="DQ106" s="13">
        <f t="shared" si="97"/>
        <v>67.256649728937461</v>
      </c>
      <c r="DR106" s="20">
        <f t="shared" si="70"/>
        <v>607.19308694456629</v>
      </c>
      <c r="DS106" s="59">
        <f t="shared" si="71"/>
        <v>900.52642027789966</v>
      </c>
      <c r="DT106" s="59">
        <f ca="1">AVERAGE(OFFSET($DS$3,0,0,'Données projet'!$E$14+1,1))-AVERAGE(OFFSET($H$3,0,0,'Données projet'!$E$14+1,1))</f>
        <v>439.66981240211362</v>
      </c>
      <c r="DU106" s="59">
        <f t="shared" si="98"/>
        <v>295.47805371292458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6.4</v>
      </c>
      <c r="EJ106" s="12">
        <f>IF('Données projet'!$A$192&gt;35,EJ105+EI106-ER105,IF(A106&lt;'Données projet'!$A$192,$EG$205^A106,IF(A106='Données projet'!$A$192,'Données projet'!$B$192,EJ105+EI106-ER105)))</f>
        <v>261.40000000000009</v>
      </c>
      <c r="EK106" s="17">
        <f>EJ106*VLOOKUP('Données projet'!$B$15,Paramètres!$A$1:$I$89,3,0)*VLOOKUP('Données projet'!$B$15,Paramètres!$A$1:$I$89,5,0)</f>
        <v>248.7482400000001</v>
      </c>
      <c r="EL106" s="13">
        <f t="shared" si="99"/>
        <v>60.317817031133224</v>
      </c>
      <c r="EM106" s="20">
        <f t="shared" si="73"/>
        <v>538.29004932922385</v>
      </c>
      <c r="EN106" s="59">
        <f t="shared" si="74"/>
        <v>831.62338266255711</v>
      </c>
      <c r="EO106" s="59">
        <f ca="1">AVERAGE(OFFSET($EN$3,0,0,'Données projet'!$E$15+1,1))-AVERAGE(OFFSET($H$3,0,0,'Données projet'!$E$15+1,1))</f>
        <v>393.46715670823653</v>
      </c>
      <c r="EP106" s="59">
        <f t="shared" si="100"/>
        <v>266.16261355327214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549.43232095729741</v>
      </c>
      <c r="T107" s="59">
        <f t="shared" si="88"/>
        <v>280.26155987300996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2.8936159780120874</v>
      </c>
      <c r="AA107" s="21">
        <f>EXP(-LN(2)/25)*AA106+(1-EXP(-LN(2)/25))/(LN(2)/25)*Calculateur!V107*Calculateur!X107*VLOOKUP('Données projet'!$B$9,Paramètres!$A$1:$I$89,3,0)*0.475*44/12</f>
        <v>1.2283140091399811</v>
      </c>
      <c r="AB107" s="21">
        <f>EXP(-LN(2)/2)*AB106+(1-EXP(-LN(2)/2))/(LN(2)/2)*V107*Y107*VLOOKUP('Données projet'!$B$9,Paramètres!$A$1:$I$89,3,0)*0.475*44/12</f>
        <v>3.2779593322309672E-11</v>
      </c>
      <c r="AC107" s="22">
        <f t="shared" si="57"/>
        <v>4.1219299871848483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348.62416478262719</v>
      </c>
      <c r="AO107" s="59">
        <f t="shared" si="90"/>
        <v>371.70674704563288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3.0590928380019542</v>
      </c>
      <c r="AV107" s="21">
        <f>EXP(-LN(2)/25)*AV106+(1-EXP(-LN(2)/25))/(LN(2)/25)*Calculateur!AQ107*Calculateur!AS107*VLOOKUP('Données projet'!$B$10,Paramètres!$A$1:$I$89,3,0)*0.475*44/12</f>
        <v>1.5689019254926397</v>
      </c>
      <c r="AW107" s="21">
        <f>EXP(-LN(2)/2)*AW106+(1-EXP(-LN(2)/2))/(LN(2)/2)*AQ107*AT107*VLOOKUP('Données projet'!$B$10,Paramètres!$A$1:$I$89,3,0)*0.475*44/12</f>
        <v>9.0626089415129714E-11</v>
      </c>
      <c r="AX107" s="21">
        <f t="shared" si="60"/>
        <v>4.6279947635852201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405.7176439604217</v>
      </c>
      <c r="BJ107" s="59">
        <f t="shared" si="92"/>
        <v>278.21741231699929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1.687957613341353</v>
      </c>
      <c r="BQ107" s="21">
        <f>EXP(-LN(2)/25)*BQ106+(1-EXP(-LN(2)/25))/(LN(2)/25)*Calculateur!BL107*Calculateur!BN107*VLOOKUP('Données projet'!$B$11,Paramètres!$A$1:$I$89,3,0)*0.475*44/12</f>
        <v>1.2035056923864742</v>
      </c>
      <c r="BR107" s="21">
        <f>EXP(-LN(2)/2)*BR106+(1-EXP(-LN(2)/2))/(LN(2)/2)*BL107*BO107*VLOOKUP('Données projet'!$B$11,Paramètres!$A$1:$I$89,3,0)*0.475*44/12</f>
        <v>6.2099080164172523E-11</v>
      </c>
      <c r="BS107" s="22">
        <f t="shared" si="63"/>
        <v>2.8914633057899262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1.9895196601282805E-13</v>
      </c>
      <c r="BZ107" s="13">
        <f>BY107*VLOOKUP('Données projet'!$B$12,Paramètres!$A$1:$I$89,3,0)*VLOOKUP('Données projet'!$B$12,Paramètres!$A$1:$I$89,5,0)</f>
        <v>1.738044375088066E-13</v>
      </c>
      <c r="CA107" s="13">
        <f t="shared" si="93"/>
        <v>2.4483293633950478E-12</v>
      </c>
      <c r="CB107" s="20">
        <f t="shared" si="64"/>
        <v>4.566883036574213E-12</v>
      </c>
      <c r="CC107" s="59">
        <f t="shared" si="65"/>
        <v>293.33333333333786</v>
      </c>
      <c r="CD107" s="59">
        <f ca="1">AVERAGE(OFFSET($CC$3,0,0,'Données projet'!$E$12+1,1))-AVERAGE(OFFSET($H$3,0,0,'Données projet'!$E$12+1,1))</f>
        <v>321.23599968992932</v>
      </c>
      <c r="CE107" s="59">
        <f t="shared" si="94"/>
        <v>388.05195847800502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0.84400971201175901</v>
      </c>
      <c r="CL107" s="21">
        <f>EXP(-LN(2)/25)*CL106+(1-EXP(-LN(2)/25))/(LN(2)/25)*Calculateur!CG107*Calculateur!CI107*VLOOKUP('Données projet'!$B$12,Paramètres!$A$1:$I$89,3,0)*0.475*44/12</f>
        <v>2.71158606786239</v>
      </c>
      <c r="CM107" s="21">
        <f>EXP(-LN(2)/2)*CM106+(1-EXP(-LN(2)/2))/(LN(2)/2)*CG107*CJ107*VLOOKUP('Données projet'!$B$12,Paramètres!$A$1:$I$89,3,0)*0.475*44/12</f>
        <v>8.7769025149945741E-11</v>
      </c>
      <c r="CN107" s="22">
        <f t="shared" si="66"/>
        <v>3.555595779961918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6.4</v>
      </c>
      <c r="CT107" s="12">
        <f>IF('Données projet'!$A$140&gt;35,CT106+CS107-DB106,IF(A107&lt;'Données projet'!$A$140,$CQ$205^A107,IF(A107='Données projet'!$A$140,'Données projet'!$B$140,CT106+CS107-DB106)))</f>
        <v>267.80000000000007</v>
      </c>
      <c r="CU107" s="17">
        <f>CT107*VLOOKUP('Données projet'!$B$13,Paramètres!$A$1:$I$89,3,0)*VLOOKUP('Données projet'!$B$13,Paramètres!$A$1:$I$89,5,0)</f>
        <v>259.01616000000007</v>
      </c>
      <c r="CV107" s="13">
        <f t="shared" si="95"/>
        <v>62.512616775603618</v>
      </c>
      <c r="CW107" s="20">
        <f t="shared" si="67"/>
        <v>559.9959528841764</v>
      </c>
      <c r="CX107" s="59">
        <f t="shared" si="68"/>
        <v>853.32928621750966</v>
      </c>
      <c r="CY107" s="59">
        <f ca="1">AVERAGE(OFFSET($CX$3,0,0,'Données projet'!$E$13+1,1))-AVERAGE(OFFSET($H$3,0,0,'Données projet'!$E$13+1,1))</f>
        <v>399.24912109442175</v>
      </c>
      <c r="CZ107" s="59">
        <f t="shared" si="96"/>
        <v>269.83150082245305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6.4</v>
      </c>
      <c r="DO107" s="12">
        <f>IF('Données projet'!$A$166&gt;35,DO106+DN107-DW106,IF(A107&lt;'Données projet'!$A$166,$DL$205^A107,IF(A107='Données projet'!$A$166,'Données projet'!$B$166,DO106+DN107-DW106)))</f>
        <v>267.80000000000007</v>
      </c>
      <c r="DP107" s="17">
        <f>DO107*VLOOKUP('Données projet'!$B$14,Paramètres!$A$1:$I$89,3,0)*VLOOKUP('Données projet'!$B$14,Paramètres!$A$1:$I$89,5,0)</f>
        <v>288.25992000000008</v>
      </c>
      <c r="DQ107" s="13">
        <f t="shared" si="97"/>
        <v>68.709602896693511</v>
      </c>
      <c r="DR107" s="20">
        <f t="shared" si="70"/>
        <v>621.72191904507463</v>
      </c>
      <c r="DS107" s="59">
        <f t="shared" si="71"/>
        <v>915.05525237840789</v>
      </c>
      <c r="DT107" s="59">
        <f ca="1">AVERAGE(OFFSET($DS$3,0,0,'Données projet'!$E$14+1,1))-AVERAGE(OFFSET($H$3,0,0,'Données projet'!$E$14+1,1))</f>
        <v>439.66981240211362</v>
      </c>
      <c r="DU107" s="59">
        <f t="shared" si="98"/>
        <v>295.47805371292458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6.4</v>
      </c>
      <c r="EJ107" s="12">
        <f>IF('Données projet'!$A$192&gt;35,EJ106+EI107-ER106,IF(A107&lt;'Données projet'!$A$192,$EG$205^A107,IF(A107='Données projet'!$A$192,'Données projet'!$B$192,EJ106+EI107-ER106)))</f>
        <v>267.80000000000007</v>
      </c>
      <c r="EK107" s="17">
        <f>EJ107*VLOOKUP('Données projet'!$B$15,Paramètres!$A$1:$I$89,3,0)*VLOOKUP('Données projet'!$B$15,Paramètres!$A$1:$I$89,5,0)</f>
        <v>254.83848000000006</v>
      </c>
      <c r="EL107" s="13">
        <f t="shared" si="99"/>
        <v>61.620869795145765</v>
      </c>
      <c r="EM107" s="20">
        <f t="shared" si="73"/>
        <v>551.16670089321224</v>
      </c>
      <c r="EN107" s="59">
        <f t="shared" si="74"/>
        <v>844.50003422654549</v>
      </c>
      <c r="EO107" s="59">
        <f ca="1">AVERAGE(OFFSET($EN$3,0,0,'Données projet'!$E$15+1,1))-AVERAGE(OFFSET($H$3,0,0,'Données projet'!$E$15+1,1))</f>
        <v>393.46715670823653</v>
      </c>
      <c r="EP107" s="59">
        <f t="shared" si="100"/>
        <v>266.16261355327214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549.43232095729741</v>
      </c>
      <c r="T108" s="59">
        <f t="shared" si="88"/>
        <v>280.26155987300996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2.8368739336147444</v>
      </c>
      <c r="AA108" s="21">
        <f>EXP(-LN(2)/25)*AA107+(1-EXP(-LN(2)/25))/(LN(2)/25)*Calculateur!V108*Calculateur!X108*VLOOKUP('Données projet'!$B$9,Paramètres!$A$1:$I$89,3,0)*0.475*44/12</f>
        <v>1.1947256979658218</v>
      </c>
      <c r="AB108" s="21">
        <f>EXP(-LN(2)/2)*AB107+(1-EXP(-LN(2)/2))/(LN(2)/2)*V108*Y108*VLOOKUP('Données projet'!$B$9,Paramètres!$A$1:$I$89,3,0)*0.475*44/12</f>
        <v>2.317867272274244E-11</v>
      </c>
      <c r="AC108" s="22">
        <f t="shared" si="57"/>
        <v>4.0315996316037452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348.62416478262719</v>
      </c>
      <c r="AO108" s="59">
        <f t="shared" si="90"/>
        <v>371.70674704563288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2.9991058933111283</v>
      </c>
      <c r="AV108" s="21">
        <f>EXP(-LN(2)/25)*AV107+(1-EXP(-LN(2)/25))/(LN(2)/25)*Calculateur!AQ108*Calculateur!AS108*VLOOKUP('Données projet'!$B$10,Paramètres!$A$1:$I$89,3,0)*0.475*44/12</f>
        <v>1.5260002198350771</v>
      </c>
      <c r="AW108" s="21">
        <f>EXP(-LN(2)/2)*AW107+(1-EXP(-LN(2)/2))/(LN(2)/2)*AQ108*AT108*VLOOKUP('Données projet'!$B$10,Paramètres!$A$1:$I$89,3,0)*0.475*44/12</f>
        <v>6.4082322377856617E-11</v>
      </c>
      <c r="AX108" s="21">
        <f t="shared" si="60"/>
        <v>4.5251061132102874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405.7176439604217</v>
      </c>
      <c r="BJ108" s="59">
        <f t="shared" si="92"/>
        <v>278.21741231699929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1.6548577940962133</v>
      </c>
      <c r="BQ108" s="21">
        <f>EXP(-LN(2)/25)*BQ107+(1-EXP(-LN(2)/25))/(LN(2)/25)*Calculateur!BL108*Calculateur!BN108*VLOOKUP('Données projet'!$B$11,Paramètres!$A$1:$I$89,3,0)*0.475*44/12</f>
        <v>1.1705957659385524</v>
      </c>
      <c r="BR108" s="21">
        <f>EXP(-LN(2)/2)*BR107+(1-EXP(-LN(2)/2))/(LN(2)/2)*BL108*BO108*VLOOKUP('Données projet'!$B$11,Paramètres!$A$1:$I$89,3,0)*0.475*44/12</f>
        <v>4.3910680689533414E-11</v>
      </c>
      <c r="BS108" s="22">
        <f t="shared" si="63"/>
        <v>2.8254535600786763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1.9895196601282805E-13</v>
      </c>
      <c r="BZ108" s="13">
        <f>BY108*VLOOKUP('Données projet'!$B$12,Paramètres!$A$1:$I$89,3,0)*VLOOKUP('Données projet'!$B$12,Paramètres!$A$1:$I$89,5,0)</f>
        <v>1.738044375088066E-13</v>
      </c>
      <c r="CA108" s="13">
        <f t="shared" si="93"/>
        <v>2.4483293633950478E-12</v>
      </c>
      <c r="CB108" s="20">
        <f t="shared" si="64"/>
        <v>4.566883036574213E-12</v>
      </c>
      <c r="CC108" s="59">
        <f t="shared" si="65"/>
        <v>293.33333333333786</v>
      </c>
      <c r="CD108" s="59">
        <f ca="1">AVERAGE(OFFSET($CC$3,0,0,'Données projet'!$E$12+1,1))-AVERAGE(OFFSET($H$3,0,0,'Données projet'!$E$12+1,1))</f>
        <v>321.23599968992932</v>
      </c>
      <c r="CE108" s="59">
        <f t="shared" si="94"/>
        <v>388.05195847800502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0.82745919635430099</v>
      </c>
      <c r="CL108" s="21">
        <f>EXP(-LN(2)/25)*CL107+(1-EXP(-LN(2)/25))/(LN(2)/25)*Calculateur!CG108*Calculateur!CI108*VLOOKUP('Données projet'!$B$12,Paramètres!$A$1:$I$89,3,0)*0.475*44/12</f>
        <v>2.6374376042405792</v>
      </c>
      <c r="CM108" s="21">
        <f>EXP(-LN(2)/2)*CM107+(1-EXP(-LN(2)/2))/(LN(2)/2)*CG108*CJ108*VLOOKUP('Données projet'!$B$12,Paramètres!$A$1:$I$89,3,0)*0.475*44/12</f>
        <v>6.2062072861659269E-11</v>
      </c>
      <c r="CN108" s="22">
        <f t="shared" si="66"/>
        <v>3.4648968006569421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6.4</v>
      </c>
      <c r="CT108" s="12">
        <f>IF('Données projet'!$A$140&gt;35,CT107+CS108-DB107,IF(A108&lt;'Données projet'!$A$140,$CQ$205^A108,IF(A108='Données projet'!$A$140,'Données projet'!$B$140,CT107+CS108-DB107)))</f>
        <v>274.20000000000005</v>
      </c>
      <c r="CU108" s="17">
        <f>CT108*VLOOKUP('Données projet'!$B$13,Paramètres!$A$1:$I$89,3,0)*VLOOKUP('Données projet'!$B$13,Paramètres!$A$1:$I$89,5,0)</f>
        <v>265.20624000000004</v>
      </c>
      <c r="CV108" s="13">
        <f t="shared" si="95"/>
        <v>63.830854160896443</v>
      </c>
      <c r="CW108" s="20">
        <f t="shared" si="67"/>
        <v>573.07293899689466</v>
      </c>
      <c r="CX108" s="59">
        <f t="shared" si="68"/>
        <v>866.40627233022792</v>
      </c>
      <c r="CY108" s="59">
        <f ca="1">AVERAGE(OFFSET($CX$3,0,0,'Données projet'!$E$13+1,1))-AVERAGE(OFFSET($H$3,0,0,'Données projet'!$E$13+1,1))</f>
        <v>399.24912109442175</v>
      </c>
      <c r="CZ108" s="59">
        <f t="shared" si="96"/>
        <v>269.83150082245305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6.4</v>
      </c>
      <c r="DO108" s="12">
        <f>IF('Données projet'!$A$166&gt;35,DO107+DN108-DW107,IF(A108&lt;'Données projet'!$A$166,$DL$205^A108,IF(A108='Données projet'!$A$166,'Données projet'!$B$166,DO107+DN108-DW107)))</f>
        <v>274.20000000000005</v>
      </c>
      <c r="DP108" s="17">
        <f>DO108*VLOOKUP('Données projet'!$B$14,Paramètres!$A$1:$I$89,3,0)*VLOOKUP('Données projet'!$B$14,Paramètres!$A$1:$I$89,5,0)</f>
        <v>295.14888000000002</v>
      </c>
      <c r="DQ108" s="13">
        <f t="shared" si="97"/>
        <v>70.158519482479406</v>
      </c>
      <c r="DR108" s="20">
        <f t="shared" si="70"/>
        <v>636.24372076531824</v>
      </c>
      <c r="DS108" s="59">
        <f t="shared" si="71"/>
        <v>929.57705409865162</v>
      </c>
      <c r="DT108" s="59">
        <f ca="1">AVERAGE(OFFSET($DS$3,0,0,'Données projet'!$E$14+1,1))-AVERAGE(OFFSET($H$3,0,0,'Données projet'!$E$14+1,1))</f>
        <v>439.66981240211362</v>
      </c>
      <c r="DU108" s="59">
        <f t="shared" si="98"/>
        <v>295.47805371292458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6.4</v>
      </c>
      <c r="EJ108" s="12">
        <f>IF('Données projet'!$A$192&gt;35,EJ107+EI108-ER107,IF(A108&lt;'Données projet'!$A$192,$EG$205^A108,IF(A108='Données projet'!$A$192,'Données projet'!$B$192,EJ107+EI108-ER107)))</f>
        <v>274.20000000000005</v>
      </c>
      <c r="EK108" s="17">
        <f>EJ108*VLOOKUP('Données projet'!$B$15,Paramètres!$A$1:$I$89,3,0)*VLOOKUP('Données projet'!$B$15,Paramètres!$A$1:$I$89,5,0)</f>
        <v>260.92872000000006</v>
      </c>
      <c r="EL108" s="13">
        <f t="shared" si="99"/>
        <v>62.920302429198031</v>
      </c>
      <c r="EM108" s="20">
        <f t="shared" si="73"/>
        <v>564.03704739752004</v>
      </c>
      <c r="EN108" s="59">
        <f t="shared" si="74"/>
        <v>857.37038073085341</v>
      </c>
      <c r="EO108" s="59">
        <f ca="1">AVERAGE(OFFSET($EN$3,0,0,'Données projet'!$E$15+1,1))-AVERAGE(OFFSET($H$3,0,0,'Données projet'!$E$15+1,1))</f>
        <v>393.46715670823653</v>
      </c>
      <c r="EP108" s="59">
        <f t="shared" si="100"/>
        <v>266.16261355327214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549.43232095729741</v>
      </c>
      <c r="T109" s="59">
        <f t="shared" si="88"/>
        <v>280.26155987300996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2.7812445660988034</v>
      </c>
      <c r="AA109" s="21">
        <f>EXP(-LN(2)/25)*AA108+(1-EXP(-LN(2)/25))/(LN(2)/25)*Calculateur!V109*Calculateur!X109*VLOOKUP('Données projet'!$B$9,Paramètres!$A$1:$I$89,3,0)*0.475*44/12</f>
        <v>1.1620558609270526</v>
      </c>
      <c r="AB109" s="21">
        <f>EXP(-LN(2)/2)*AB108+(1-EXP(-LN(2)/2))/(LN(2)/2)*V109*Y109*VLOOKUP('Données projet'!$B$9,Paramètres!$A$1:$I$89,3,0)*0.475*44/12</f>
        <v>1.6389796661154836E-11</v>
      </c>
      <c r="AC109" s="22">
        <f t="shared" si="57"/>
        <v>3.9433004270422463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348.62416478262719</v>
      </c>
      <c r="AO109" s="59">
        <f t="shared" si="90"/>
        <v>371.70674704563288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2.9402952560172664</v>
      </c>
      <c r="AV109" s="21">
        <f>EXP(-LN(2)/25)*AV108+(1-EXP(-LN(2)/25))/(LN(2)/25)*Calculateur!AQ109*Calculateur!AS109*VLOOKUP('Données projet'!$B$10,Paramètres!$A$1:$I$89,3,0)*0.475*44/12</f>
        <v>1.484271663574823</v>
      </c>
      <c r="AW109" s="21">
        <f>EXP(-LN(2)/2)*AW108+(1-EXP(-LN(2)/2))/(LN(2)/2)*AQ109*AT109*VLOOKUP('Données projet'!$B$10,Paramètres!$A$1:$I$89,3,0)*0.475*44/12</f>
        <v>4.5313044707564857E-11</v>
      </c>
      <c r="AX109" s="21">
        <f t="shared" si="60"/>
        <v>4.4245669196374022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405.7176439604217</v>
      </c>
      <c r="BJ109" s="59">
        <f t="shared" si="92"/>
        <v>278.21741231699929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1.6224070421175745</v>
      </c>
      <c r="BQ109" s="21">
        <f>EXP(-LN(2)/25)*BQ108+(1-EXP(-LN(2)/25))/(LN(2)/25)*Calculateur!BL109*Calculateur!BN109*VLOOKUP('Données projet'!$B$11,Paramètres!$A$1:$I$89,3,0)*0.475*44/12</f>
        <v>1.1385857631600067</v>
      </c>
      <c r="BR109" s="21">
        <f>EXP(-LN(2)/2)*BR108+(1-EXP(-LN(2)/2))/(LN(2)/2)*BL109*BO109*VLOOKUP('Données projet'!$B$11,Paramètres!$A$1:$I$89,3,0)*0.475*44/12</f>
        <v>3.1049540082086261E-11</v>
      </c>
      <c r="BS109" s="22">
        <f t="shared" si="63"/>
        <v>2.7609928053086308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1.9895196601282805E-13</v>
      </c>
      <c r="BZ109" s="13">
        <f>BY109*VLOOKUP('Données projet'!$B$12,Paramètres!$A$1:$I$89,3,0)*VLOOKUP('Données projet'!$B$12,Paramètres!$A$1:$I$89,5,0)</f>
        <v>1.738044375088066E-13</v>
      </c>
      <c r="CA109" s="13">
        <f t="shared" si="93"/>
        <v>2.4483293633950478E-12</v>
      </c>
      <c r="CB109" s="20">
        <f t="shared" si="64"/>
        <v>4.566883036574213E-12</v>
      </c>
      <c r="CC109" s="59">
        <f t="shared" si="65"/>
        <v>293.33333333333786</v>
      </c>
      <c r="CD109" s="59">
        <f ca="1">AVERAGE(OFFSET($CC$3,0,0,'Données projet'!$E$12+1,1))-AVERAGE(OFFSET($H$3,0,0,'Données projet'!$E$12+1,1))</f>
        <v>321.23599968992932</v>
      </c>
      <c r="CE109" s="59">
        <f t="shared" si="94"/>
        <v>388.05195847800502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0.8112332262140679</v>
      </c>
      <c r="CL109" s="21">
        <f>EXP(-LN(2)/25)*CL108+(1-EXP(-LN(2)/25))/(LN(2)/25)*Calculateur!CG109*Calculateur!CI109*VLOOKUP('Données projet'!$B$12,Paramètres!$A$1:$I$89,3,0)*0.475*44/12</f>
        <v>2.5653167342558048</v>
      </c>
      <c r="CM109" s="21">
        <f>EXP(-LN(2)/2)*CM108+(1-EXP(-LN(2)/2))/(LN(2)/2)*CG109*CJ109*VLOOKUP('Données projet'!$B$12,Paramètres!$A$1:$I$89,3,0)*0.475*44/12</f>
        <v>4.3884512574972871E-11</v>
      </c>
      <c r="CN109" s="22">
        <f t="shared" si="66"/>
        <v>3.3765499605137572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6.4</v>
      </c>
      <c r="CT109" s="12">
        <f>IF('Données projet'!$A$140&gt;35,CT108+CS109-DB108,IF(A109&lt;'Données projet'!$A$140,$CQ$205^A109,IF(A109='Données projet'!$A$140,'Données projet'!$B$140,CT108+CS109-DB108)))</f>
        <v>280.60000000000002</v>
      </c>
      <c r="CU109" s="17">
        <f>CT109*VLOOKUP('Données projet'!$B$13,Paramètres!$A$1:$I$89,3,0)*VLOOKUP('Données projet'!$B$13,Paramètres!$A$1:$I$89,5,0)</f>
        <v>271.39632</v>
      </c>
      <c r="CV109" s="13">
        <f t="shared" si="95"/>
        <v>65.145514611718923</v>
      </c>
      <c r="CW109" s="20">
        <f t="shared" si="67"/>
        <v>586.14369528207715</v>
      </c>
      <c r="CX109" s="59">
        <f t="shared" si="68"/>
        <v>879.47702861541052</v>
      </c>
      <c r="CY109" s="59">
        <f ca="1">AVERAGE(OFFSET($CX$3,0,0,'Données projet'!$E$13+1,1))-AVERAGE(OFFSET($H$3,0,0,'Données projet'!$E$13+1,1))</f>
        <v>399.24912109442175</v>
      </c>
      <c r="CZ109" s="59">
        <f t="shared" si="96"/>
        <v>269.83150082245305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6.4</v>
      </c>
      <c r="DO109" s="12">
        <f>IF('Données projet'!$A$166&gt;35,DO108+DN109-DW108,IF(A109&lt;'Données projet'!$A$166,$DL$205^A109,IF(A109='Données projet'!$A$166,'Données projet'!$B$166,DO108+DN109-DW108)))</f>
        <v>280.60000000000002</v>
      </c>
      <c r="DP109" s="17">
        <f>DO109*VLOOKUP('Données projet'!$B$14,Paramètres!$A$1:$I$89,3,0)*VLOOKUP('Données projet'!$B$14,Paramètres!$A$1:$I$89,5,0)</f>
        <v>302.03784000000002</v>
      </c>
      <c r="DQ109" s="13">
        <f t="shared" si="97"/>
        <v>71.603504545962679</v>
      </c>
      <c r="DR109" s="20">
        <f t="shared" si="70"/>
        <v>650.75867508421834</v>
      </c>
      <c r="DS109" s="59">
        <f t="shared" si="71"/>
        <v>944.0920084175516</v>
      </c>
      <c r="DT109" s="59">
        <f ca="1">AVERAGE(OFFSET($DS$3,0,0,'Données projet'!$E$14+1,1))-AVERAGE(OFFSET($H$3,0,0,'Données projet'!$E$14+1,1))</f>
        <v>439.66981240211362</v>
      </c>
      <c r="DU109" s="59">
        <f t="shared" si="98"/>
        <v>295.47805371292458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6.4</v>
      </c>
      <c r="EJ109" s="12">
        <f>IF('Données projet'!$A$192&gt;35,EJ108+EI109-ER108,IF(A109&lt;'Données projet'!$A$192,$EG$205^A109,IF(A109='Données projet'!$A$192,'Données projet'!$B$192,EJ108+EI109-ER108)))</f>
        <v>280.60000000000002</v>
      </c>
      <c r="EK109" s="17">
        <f>EJ109*VLOOKUP('Données projet'!$B$15,Paramètres!$A$1:$I$89,3,0)*VLOOKUP('Données projet'!$B$15,Paramètres!$A$1:$I$89,5,0)</f>
        <v>267.01895999999999</v>
      </c>
      <c r="EL109" s="13">
        <f t="shared" si="99"/>
        <v>64.216209154007785</v>
      </c>
      <c r="EM109" s="20">
        <f t="shared" si="73"/>
        <v>576.90125294323013</v>
      </c>
      <c r="EN109" s="59">
        <f t="shared" si="74"/>
        <v>870.2345862765635</v>
      </c>
      <c r="EO109" s="59">
        <f ca="1">AVERAGE(OFFSET($EN$3,0,0,'Données projet'!$E$15+1,1))-AVERAGE(OFFSET($H$3,0,0,'Données projet'!$E$15+1,1))</f>
        <v>393.46715670823653</v>
      </c>
      <c r="EP109" s="59">
        <f t="shared" si="100"/>
        <v>266.16261355327214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549.43232095729741</v>
      </c>
      <c r="T110" s="59">
        <f t="shared" si="88"/>
        <v>280.26155987300996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2.7267060565492867</v>
      </c>
      <c r="AA110" s="21">
        <f>EXP(-LN(2)/25)*AA109+(1-EXP(-LN(2)/25))/(LN(2)/25)*Calculateur!V110*Calculateur!X110*VLOOKUP('Données projet'!$B$9,Paramètres!$A$1:$I$89,3,0)*0.475*44/12</f>
        <v>1.1302793823001405</v>
      </c>
      <c r="AB110" s="21">
        <f>EXP(-LN(2)/2)*AB109+(1-EXP(-LN(2)/2))/(LN(2)/2)*V110*Y110*VLOOKUP('Données projet'!$B$9,Paramètres!$A$1:$I$89,3,0)*0.475*44/12</f>
        <v>1.158933636137122E-11</v>
      </c>
      <c r="AC110" s="22">
        <f t="shared" si="57"/>
        <v>3.8569854388610163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348.62416478262719</v>
      </c>
      <c r="AO110" s="59">
        <f t="shared" si="90"/>
        <v>371.70674704563288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2.8826378594497899</v>
      </c>
      <c r="AV110" s="21">
        <f>EXP(-LN(2)/25)*AV109+(1-EXP(-LN(2)/25))/(LN(2)/25)*Calculateur!AQ110*Calculateur!AS110*VLOOKUP('Données projet'!$B$10,Paramètres!$A$1:$I$89,3,0)*0.475*44/12</f>
        <v>1.4436841768799149</v>
      </c>
      <c r="AW110" s="21">
        <f>EXP(-LN(2)/2)*AW109+(1-EXP(-LN(2)/2))/(LN(2)/2)*AQ110*AT110*VLOOKUP('Données projet'!$B$10,Paramètres!$A$1:$I$89,3,0)*0.475*44/12</f>
        <v>3.2041161188928309E-11</v>
      </c>
      <c r="AX110" s="21">
        <f t="shared" si="60"/>
        <v>4.3263220363617458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405.7176439604217</v>
      </c>
      <c r="BJ110" s="59">
        <f t="shared" si="92"/>
        <v>278.21741231699929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1.5905926295922326</v>
      </c>
      <c r="BQ110" s="21">
        <f>EXP(-LN(2)/25)*BQ109+(1-EXP(-LN(2)/25))/(LN(2)/25)*Calculateur!BL110*Calculateur!BN110*VLOOKUP('Données projet'!$B$11,Paramètres!$A$1:$I$89,3,0)*0.475*44/12</f>
        <v>1.1074510755907734</v>
      </c>
      <c r="BR110" s="21">
        <f>EXP(-LN(2)/2)*BR109+(1-EXP(-LN(2)/2))/(LN(2)/2)*BL110*BO110*VLOOKUP('Données projet'!$B$11,Paramètres!$A$1:$I$89,3,0)*0.475*44/12</f>
        <v>2.1955340344766707E-11</v>
      </c>
      <c r="BS110" s="22">
        <f t="shared" si="63"/>
        <v>2.6980437052049613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1.9895196601282805E-13</v>
      </c>
      <c r="BZ110" s="13">
        <f>BY110*VLOOKUP('Données projet'!$B$12,Paramètres!$A$1:$I$89,3,0)*VLOOKUP('Données projet'!$B$12,Paramètres!$A$1:$I$89,5,0)</f>
        <v>1.738044375088066E-13</v>
      </c>
      <c r="CA110" s="13">
        <f t="shared" si="93"/>
        <v>2.4483293633950478E-12</v>
      </c>
      <c r="CB110" s="20">
        <f t="shared" si="64"/>
        <v>4.566883036574213E-12</v>
      </c>
      <c r="CC110" s="59">
        <f t="shared" si="65"/>
        <v>293.33333333333786</v>
      </c>
      <c r="CD110" s="59">
        <f ca="1">AVERAGE(OFFSET($CC$3,0,0,'Données projet'!$E$12+1,1))-AVERAGE(OFFSET($H$3,0,0,'Données projet'!$E$12+1,1))</f>
        <v>321.23599968992932</v>
      </c>
      <c r="CE110" s="59">
        <f t="shared" si="94"/>
        <v>388.05195847800502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0.79532543745142026</v>
      </c>
      <c r="CL110" s="21">
        <f>EXP(-LN(2)/25)*CL109+(1-EXP(-LN(2)/25))/(LN(2)/25)*Calculateur!CG110*Calculateur!CI110*VLOOKUP('Données projet'!$B$12,Paramètres!$A$1:$I$89,3,0)*0.475*44/12</f>
        <v>2.4951680132534357</v>
      </c>
      <c r="CM110" s="21">
        <f>EXP(-LN(2)/2)*CM109+(1-EXP(-LN(2)/2))/(LN(2)/2)*CG110*CJ110*VLOOKUP('Données projet'!$B$12,Paramètres!$A$1:$I$89,3,0)*0.475*44/12</f>
        <v>3.1031036430829634E-11</v>
      </c>
      <c r="CN110" s="22">
        <f t="shared" si="66"/>
        <v>3.2904934507358874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>
        <f>VLOOKUP(A110,'Données projet'!$A$139:$I$159,2,0)</f>
        <v>287</v>
      </c>
      <c r="CR110" s="12">
        <f>VLOOKUP(A110,'Données projet'!$A$139:$I$159,9,0)</f>
        <v>6.4</v>
      </c>
      <c r="CS110" s="12">
        <f t="array" ref="CS110">INDEX(CR:CR,MIN(IF(ISNUMBER(CR110:CR306),ROW(CR110:CR306),"")))</f>
        <v>6.4</v>
      </c>
      <c r="CT110" s="12">
        <f>IF('Données projet'!$A$140&gt;35,CT109+CS110-DB109,IF(A110&lt;'Données projet'!$A$140,$CQ$205^A110,IF(A110='Données projet'!$A$140,'Données projet'!$B$140,CT109+CS110-DB109)))</f>
        <v>287</v>
      </c>
      <c r="CU110" s="17">
        <f>CT110*VLOOKUP('Données projet'!$B$13,Paramètres!$A$1:$I$89,3,0)*VLOOKUP('Données projet'!$B$13,Paramètres!$A$1:$I$89,5,0)</f>
        <v>277.58640000000003</v>
      </c>
      <c r="CV110" s="13">
        <f t="shared" si="95"/>
        <v>66.456689103235576</v>
      </c>
      <c r="CW110" s="20">
        <f t="shared" si="67"/>
        <v>599.20838018813527</v>
      </c>
      <c r="CX110" s="59">
        <f t="shared" si="68"/>
        <v>892.54171352146864</v>
      </c>
      <c r="CY110" s="59">
        <f ca="1">AVERAGE(OFFSET($CX$3,0,0,'Données projet'!$E$13+1,1))-AVERAGE(OFFSET($H$3,0,0,'Données projet'!$E$13+1,1))</f>
        <v>399.24912109442175</v>
      </c>
      <c r="CZ110" s="59">
        <f t="shared" si="96"/>
        <v>269.83150082245305</v>
      </c>
      <c r="DA110" s="15">
        <f>IF(ISNA(VLOOKUP(A110,'Données projet'!$A$139:$I$159,3,0)),0,VLOOKUP(A110,'Données projet'!$A$139:$I$159,3,0))</f>
        <v>10</v>
      </c>
      <c r="DB110" s="15">
        <f>IF(ISNA(VLOOKUP(A110,'Données projet'!$A$139:$I$159,4,0)),0,VLOOKUP(A110,'Données projet'!$A$139:$I$159,4,0))</f>
        <v>46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>
        <f>VLOOKUP(A110,'Données projet'!$A$165:$I$185,2,0)</f>
        <v>287</v>
      </c>
      <c r="DM110" s="12">
        <f>VLOOKUP(A110,'Données projet'!$A$165:$I$185,9,0)</f>
        <v>6.4</v>
      </c>
      <c r="DN110" s="12">
        <f t="array" ref="DN110">INDEX(DM:DM,MIN(IF(ISNUMBER(DM110:DM306),ROW(DM110:DM306),"")))</f>
        <v>6.4</v>
      </c>
      <c r="DO110" s="12">
        <f>IF('Données projet'!$A$166&gt;35,DO109+DN110-DW109,IF(A110&lt;'Données projet'!$A$166,$DL$205^A110,IF(A110='Données projet'!$A$166,'Données projet'!$B$166,DO109+DN110-DW109)))</f>
        <v>287</v>
      </c>
      <c r="DP110" s="17">
        <f>DO110*VLOOKUP('Données projet'!$B$14,Paramètres!$A$1:$I$89,3,0)*VLOOKUP('Données projet'!$B$14,Paramètres!$A$1:$I$89,5,0)</f>
        <v>308.92679999999996</v>
      </c>
      <c r="DQ110" s="13">
        <f t="shared" si="97"/>
        <v>73.044658080836584</v>
      </c>
      <c r="DR110" s="20">
        <f t="shared" si="70"/>
        <v>665.266956157457</v>
      </c>
      <c r="DS110" s="59">
        <f t="shared" si="71"/>
        <v>958.60028949079037</v>
      </c>
      <c r="DT110" s="59">
        <f ca="1">AVERAGE(OFFSET($DS$3,0,0,'Données projet'!$E$14+1,1))-AVERAGE(OFFSET($H$3,0,0,'Données projet'!$E$14+1,1))</f>
        <v>439.66981240211362</v>
      </c>
      <c r="DU110" s="59">
        <f t="shared" si="98"/>
        <v>295.47805371292458</v>
      </c>
      <c r="DV110" s="15">
        <f>IF(ISNA(VLOOKUP(A110,'Données projet'!$A$165:$I$185,3,0)),0,VLOOKUP(A110,'Données projet'!$A$165:$I$185,3,0))</f>
        <v>10</v>
      </c>
      <c r="DW110" s="15">
        <f>IF(ISNA(VLOOKUP(A110,'Données projet'!$A$165:$I$185,4,0)),0,VLOOKUP(A110,'Données projet'!$A$165:$I$185,4,0))</f>
        <v>46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>
        <f>VLOOKUP(A110,'Données projet'!$A$191:$I$211,2,0)</f>
        <v>287</v>
      </c>
      <c r="EH110" s="12">
        <f>VLOOKUP(A110,'Données projet'!$A$191:$I$211,9,0)</f>
        <v>6.4</v>
      </c>
      <c r="EI110" s="12">
        <f t="array" ref="EI110">INDEX(EH:EH,MIN(IF(ISNUMBER(EH110:EH306),ROW(EH110:EH306),"")))</f>
        <v>6.4</v>
      </c>
      <c r="EJ110" s="12">
        <f>IF('Données projet'!$A$192&gt;35,EJ109+EI110-ER109,IF(A110&lt;'Données projet'!$A$192,$EG$205^A110,IF(A110='Données projet'!$A$192,'Données projet'!$B$192,EJ109+EI110-ER109)))</f>
        <v>287</v>
      </c>
      <c r="EK110" s="17">
        <f>EJ110*VLOOKUP('Données projet'!$B$15,Paramètres!$A$1:$I$89,3,0)*VLOOKUP('Données projet'!$B$15,Paramètres!$A$1:$I$89,5,0)</f>
        <v>273.10919999999999</v>
      </c>
      <c r="EL110" s="13">
        <f t="shared" si="99"/>
        <v>65.508679646972212</v>
      </c>
      <c r="EM110" s="20">
        <f t="shared" si="73"/>
        <v>589.75947371847656</v>
      </c>
      <c r="EN110" s="59">
        <f t="shared" si="74"/>
        <v>883.09280705180981</v>
      </c>
      <c r="EO110" s="59">
        <f ca="1">AVERAGE(OFFSET($EN$3,0,0,'Données projet'!$E$15+1,1))-AVERAGE(OFFSET($H$3,0,0,'Données projet'!$E$15+1,1))</f>
        <v>393.46715670823653</v>
      </c>
      <c r="EP110" s="59">
        <f t="shared" si="100"/>
        <v>266.16261355327214</v>
      </c>
      <c r="EQ110" s="15">
        <f>IF(ISNA(VLOOKUP(A110,'Données projet'!$A$191:$I$211,3,0)),0,VLOOKUP(A110,'Données projet'!$A$191:$I$211,3,0))</f>
        <v>10</v>
      </c>
      <c r="ER110" s="15">
        <f>IF(ISNA(VLOOKUP(A110,'Données projet'!$A$191:$I$211,4,0)),0,VLOOKUP(A110,'Données projet'!$A$191:$I$211,4,0))</f>
        <v>46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549.43232095729741</v>
      </c>
      <c r="T111" s="59">
        <f t="shared" si="88"/>
        <v>280.26155987300996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2.6732370139068293</v>
      </c>
      <c r="AA111" s="21">
        <f>EXP(-LN(2)/25)*AA110+(1-EXP(-LN(2)/25))/(LN(2)/25)*Calculateur!V111*Calculateur!X111*VLOOKUP('Données projet'!$B$9,Paramètres!$A$1:$I$89,3,0)*0.475*44/12</f>
        <v>1.0993718331523337</v>
      </c>
      <c r="AB111" s="21">
        <f>EXP(-LN(2)/2)*AB110+(1-EXP(-LN(2)/2))/(LN(2)/2)*V111*Y111*VLOOKUP('Données projet'!$B$9,Paramètres!$A$1:$I$89,3,0)*0.475*44/12</f>
        <v>8.1948983305774179E-12</v>
      </c>
      <c r="AC111" s="22">
        <f t="shared" si="57"/>
        <v>3.772608847067358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348.62416478262719</v>
      </c>
      <c r="AO111" s="59">
        <f t="shared" si="90"/>
        <v>371.70674704563288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2.8261110892614623</v>
      </c>
      <c r="AV111" s="21">
        <f>EXP(-LN(2)/25)*AV110+(1-EXP(-LN(2)/25))/(LN(2)/25)*Calculateur!AQ111*Calculateur!AS111*VLOOKUP('Données projet'!$B$10,Paramètres!$A$1:$I$89,3,0)*0.475*44/12</f>
        <v>1.4042065571430824</v>
      </c>
      <c r="AW111" s="21">
        <f>EXP(-LN(2)/2)*AW110+(1-EXP(-LN(2)/2))/(LN(2)/2)*AQ111*AT111*VLOOKUP('Données projet'!$B$10,Paramètres!$A$1:$I$89,3,0)*0.475*44/12</f>
        <v>2.2656522353782429E-11</v>
      </c>
      <c r="AX111" s="21">
        <f t="shared" si="60"/>
        <v>4.230317646427201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405.7176439604217</v>
      </c>
      <c r="BJ111" s="59">
        <f t="shared" si="92"/>
        <v>278.21741231699929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1.5594020782916371</v>
      </c>
      <c r="BQ111" s="21">
        <f>EXP(-LN(2)/25)*BQ110+(1-EXP(-LN(2)/25))/(LN(2)/25)*Calculateur!BL111*Calculateur!BN111*VLOOKUP('Données projet'!$B$11,Paramètres!$A$1:$I$89,3,0)*0.475*44/12</f>
        <v>1.0771677676904228</v>
      </c>
      <c r="BR111" s="21">
        <f>EXP(-LN(2)/2)*BR110+(1-EXP(-LN(2)/2))/(LN(2)/2)*BL111*BO111*VLOOKUP('Données projet'!$B$11,Paramètres!$A$1:$I$89,3,0)*0.475*44/12</f>
        <v>1.5524770041043131E-11</v>
      </c>
      <c r="BS111" s="22">
        <f t="shared" si="63"/>
        <v>2.636569845997585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1.9895196601282805E-13</v>
      </c>
      <c r="BZ111" s="13">
        <f>BY111*VLOOKUP('Données projet'!$B$12,Paramètres!$A$1:$I$89,3,0)*VLOOKUP('Données projet'!$B$12,Paramètres!$A$1:$I$89,5,0)</f>
        <v>1.738044375088066E-13</v>
      </c>
      <c r="CA111" s="13">
        <f t="shared" si="93"/>
        <v>2.4483293633950478E-12</v>
      </c>
      <c r="CB111" s="20">
        <f t="shared" si="64"/>
        <v>4.566883036574213E-12</v>
      </c>
      <c r="CC111" s="59">
        <f t="shared" si="65"/>
        <v>293.33333333333786</v>
      </c>
      <c r="CD111" s="59">
        <f ca="1">AVERAGE(OFFSET($CC$3,0,0,'Données projet'!$E$12+1,1))-AVERAGE(OFFSET($H$3,0,0,'Données projet'!$E$12+1,1))</f>
        <v>321.23599968992932</v>
      </c>
      <c r="CE111" s="59">
        <f t="shared" si="94"/>
        <v>388.05195847800502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0.77972959072361503</v>
      </c>
      <c r="CL111" s="21">
        <f>EXP(-LN(2)/25)*CL110+(1-EXP(-LN(2)/25))/(LN(2)/25)*Calculateur!CG111*Calculateur!CI111*VLOOKUP('Données projet'!$B$12,Paramètres!$A$1:$I$89,3,0)*0.475*44/12</f>
        <v>2.4269375127158375</v>
      </c>
      <c r="CM111" s="21">
        <f>EXP(-LN(2)/2)*CM110+(1-EXP(-LN(2)/2))/(LN(2)/2)*CG111*CJ111*VLOOKUP('Données projet'!$B$12,Paramètres!$A$1:$I$89,3,0)*0.475*44/12</f>
        <v>2.1942256287486435E-11</v>
      </c>
      <c r="CN111" s="22">
        <f t="shared" si="66"/>
        <v>3.2066671034613949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6.8</v>
      </c>
      <c r="CT111" s="12">
        <f>IF('Données projet'!$A$140&gt;35,CT110+CS111-DB110,IF(A111&lt;'Données projet'!$A$140,$CQ$205^A111,IF(A111='Données projet'!$A$140,'Données projet'!$B$140,CT110+CS111-DB110)))</f>
        <v>247.8</v>
      </c>
      <c r="CU111" s="17">
        <f>CT111*VLOOKUP('Données projet'!$B$13,Paramètres!$A$1:$I$89,3,0)*VLOOKUP('Données projet'!$B$13,Paramètres!$A$1:$I$89,5,0)</f>
        <v>239.67215999999999</v>
      </c>
      <c r="CV111" s="13">
        <f t="shared" si="95"/>
        <v>58.368988498598384</v>
      </c>
      <c r="CW111" s="20">
        <f t="shared" si="67"/>
        <v>519.0883336350588</v>
      </c>
      <c r="CX111" s="59">
        <f t="shared" si="68"/>
        <v>812.42166696839217</v>
      </c>
      <c r="CY111" s="59">
        <f ca="1">AVERAGE(OFFSET($CX$3,0,0,'Données projet'!$E$13+1,1))-AVERAGE(OFFSET($H$3,0,0,'Données projet'!$E$13+1,1))</f>
        <v>399.24912109442175</v>
      </c>
      <c r="CZ111" s="59">
        <f t="shared" si="96"/>
        <v>269.83150082245305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6.8</v>
      </c>
      <c r="DO111" s="12">
        <f>IF('Données projet'!$A$166&gt;35,DO110+DN111-DW110,IF(A111&lt;'Données projet'!$A$166,$DL$205^A111,IF(A111='Données projet'!$A$166,'Données projet'!$B$166,DO110+DN111-DW110)))</f>
        <v>247.8</v>
      </c>
      <c r="DP111" s="17">
        <f>DO111*VLOOKUP('Données projet'!$B$14,Paramètres!$A$1:$I$89,3,0)*VLOOKUP('Données projet'!$B$14,Paramètres!$A$1:$I$89,5,0)</f>
        <v>266.73192</v>
      </c>
      <c r="DQ111" s="13">
        <f t="shared" si="97"/>
        <v>64.155209429427131</v>
      </c>
      <c r="DR111" s="20">
        <f t="shared" si="70"/>
        <v>576.29508375625221</v>
      </c>
      <c r="DS111" s="59">
        <f t="shared" si="71"/>
        <v>869.62841708958558</v>
      </c>
      <c r="DT111" s="59">
        <f ca="1">AVERAGE(OFFSET($DS$3,0,0,'Données projet'!$E$14+1,1))-AVERAGE(OFFSET($H$3,0,0,'Données projet'!$E$14+1,1))</f>
        <v>439.66981240211362</v>
      </c>
      <c r="DU111" s="59">
        <f t="shared" si="98"/>
        <v>295.47805371292458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</v>
      </c>
      <c r="EJ111" s="12">
        <f>IF('Données projet'!$A$192&gt;35,EJ110+EI111-ER110,IF(A111&lt;'Données projet'!$A$192,$EG$205^A111,IF(A111='Données projet'!$A$192,'Données projet'!$B$192,EJ110+EI111-ER110)))</f>
        <v>247.8</v>
      </c>
      <c r="EK111" s="17">
        <f>EJ111*VLOOKUP('Données projet'!$B$15,Paramètres!$A$1:$I$89,3,0)*VLOOKUP('Données projet'!$B$15,Paramètres!$A$1:$I$89,5,0)</f>
        <v>235.80648000000002</v>
      </c>
      <c r="EL111" s="13">
        <f t="shared" si="99"/>
        <v>57.5363506739358</v>
      </c>
      <c r="EM111" s="20">
        <f t="shared" si="73"/>
        <v>510.9054300904383</v>
      </c>
      <c r="EN111" s="59">
        <f t="shared" si="74"/>
        <v>804.23876342377162</v>
      </c>
      <c r="EO111" s="59">
        <f ca="1">AVERAGE(OFFSET($EN$3,0,0,'Données projet'!$E$15+1,1))-AVERAGE(OFFSET($H$3,0,0,'Données projet'!$E$15+1,1))</f>
        <v>393.46715670823653</v>
      </c>
      <c r="EP111" s="59">
        <f t="shared" si="100"/>
        <v>266.16261355327214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549.43232095729741</v>
      </c>
      <c r="T112" s="59">
        <f t="shared" si="88"/>
        <v>280.26155987300996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2.6208164665776952</v>
      </c>
      <c r="AA112" s="21">
        <f>EXP(-LN(2)/25)*AA111+(1-EXP(-LN(2)/25))/(LN(2)/25)*Calculateur!V112*Calculateur!X112*VLOOKUP('Données projet'!$B$9,Paramètres!$A$1:$I$89,3,0)*0.475*44/12</f>
        <v>1.0693094525613311</v>
      </c>
      <c r="AB112" s="21">
        <f>EXP(-LN(2)/2)*AB111+(1-EXP(-LN(2)/2))/(LN(2)/2)*V112*Y112*VLOOKUP('Données projet'!$B$9,Paramètres!$A$1:$I$89,3,0)*0.475*44/12</f>
        <v>5.7946681806856099E-12</v>
      </c>
      <c r="AC112" s="22">
        <f t="shared" si="57"/>
        <v>3.6901259191448208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348.62416478262719</v>
      </c>
      <c r="AO112" s="59">
        <f t="shared" si="90"/>
        <v>371.70674704563288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2.7706927745586025</v>
      </c>
      <c r="AV112" s="21">
        <f>EXP(-LN(2)/25)*AV111+(1-EXP(-LN(2)/25))/(LN(2)/25)*Calculateur!AQ112*Calculateur!AS112*VLOOKUP('Données projet'!$B$10,Paramètres!$A$1:$I$89,3,0)*0.475*44/12</f>
        <v>1.3658084549939913</v>
      </c>
      <c r="AW112" s="21">
        <f>EXP(-LN(2)/2)*AW111+(1-EXP(-LN(2)/2))/(LN(2)/2)*AQ112*AT112*VLOOKUP('Données projet'!$B$10,Paramètres!$A$1:$I$89,3,0)*0.475*44/12</f>
        <v>1.6020580594464154E-11</v>
      </c>
      <c r="AX112" s="21">
        <f t="shared" si="60"/>
        <v>4.1365012295686148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405.7176439604217</v>
      </c>
      <c r="BJ112" s="59">
        <f t="shared" si="92"/>
        <v>278.21741231699929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1.5288231546776885</v>
      </c>
      <c r="BQ112" s="21">
        <f>EXP(-LN(2)/25)*BQ111+(1-EXP(-LN(2)/25))/(LN(2)/25)*Calculateur!BL112*Calculateur!BN112*VLOOKUP('Données projet'!$B$11,Paramètres!$A$1:$I$89,3,0)*0.475*44/12</f>
        <v>1.0477125584371372</v>
      </c>
      <c r="BR112" s="21">
        <f>EXP(-LN(2)/2)*BR111+(1-EXP(-LN(2)/2))/(LN(2)/2)*BL112*BO112*VLOOKUP('Données projet'!$B$11,Paramètres!$A$1:$I$89,3,0)*0.475*44/12</f>
        <v>1.0977670172383354E-11</v>
      </c>
      <c r="BS112" s="22">
        <f t="shared" si="63"/>
        <v>2.5765357131258035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1.9895196601282805E-13</v>
      </c>
      <c r="BZ112" s="13">
        <f>BY112*VLOOKUP('Données projet'!$B$12,Paramètres!$A$1:$I$89,3,0)*VLOOKUP('Données projet'!$B$12,Paramètres!$A$1:$I$89,5,0)</f>
        <v>1.738044375088066E-13</v>
      </c>
      <c r="CA112" s="13">
        <f t="shared" si="93"/>
        <v>2.4483293633950478E-12</v>
      </c>
      <c r="CB112" s="20">
        <f t="shared" si="64"/>
        <v>4.566883036574213E-12</v>
      </c>
      <c r="CC112" s="59">
        <f t="shared" si="65"/>
        <v>293.33333333333786</v>
      </c>
      <c r="CD112" s="59">
        <f ca="1">AVERAGE(OFFSET($CC$3,0,0,'Données projet'!$E$12+1,1))-AVERAGE(OFFSET($H$3,0,0,'Données projet'!$E$12+1,1))</f>
        <v>321.23599968992932</v>
      </c>
      <c r="CE112" s="59">
        <f t="shared" si="94"/>
        <v>388.05195847800502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0.7644395690376149</v>
      </c>
      <c r="CL112" s="21">
        <f>EXP(-LN(2)/25)*CL111+(1-EXP(-LN(2)/25))/(LN(2)/25)*Calculateur!CG112*Calculateur!CI112*VLOOKUP('Données projet'!$B$12,Paramètres!$A$1:$I$89,3,0)*0.475*44/12</f>
        <v>2.360572778803526</v>
      </c>
      <c r="CM112" s="21">
        <f>EXP(-LN(2)/2)*CM111+(1-EXP(-LN(2)/2))/(LN(2)/2)*CG112*CJ112*VLOOKUP('Données projet'!$B$12,Paramètres!$A$1:$I$89,3,0)*0.475*44/12</f>
        <v>1.5515518215414817E-11</v>
      </c>
      <c r="CN112" s="22">
        <f t="shared" si="66"/>
        <v>3.1250123478566563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6.8</v>
      </c>
      <c r="CT112" s="12">
        <f>IF('Données projet'!$A$140&gt;35,CT111+CS112-DB111,IF(A112&lt;'Données projet'!$A$140,$CQ$205^A112,IF(A112='Données projet'!$A$140,'Données projet'!$B$140,CT111+CS112-DB111)))</f>
        <v>254.60000000000002</v>
      </c>
      <c r="CU112" s="17">
        <f>CT112*VLOOKUP('Données projet'!$B$13,Paramètres!$A$1:$I$89,3,0)*VLOOKUP('Données projet'!$B$13,Paramètres!$A$1:$I$89,5,0)</f>
        <v>246.24912</v>
      </c>
      <c r="CV112" s="13">
        <f t="shared" si="95"/>
        <v>59.782041052936862</v>
      </c>
      <c r="CW112" s="20">
        <f t="shared" si="67"/>
        <v>533.00427216719834</v>
      </c>
      <c r="CX112" s="59">
        <f t="shared" si="68"/>
        <v>826.33760550053171</v>
      </c>
      <c r="CY112" s="59">
        <f ca="1">AVERAGE(OFFSET($CX$3,0,0,'Données projet'!$E$13+1,1))-AVERAGE(OFFSET($H$3,0,0,'Données projet'!$E$13+1,1))</f>
        <v>399.24912109442175</v>
      </c>
      <c r="CZ112" s="59">
        <f t="shared" si="96"/>
        <v>269.83150082245305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6.8</v>
      </c>
      <c r="DO112" s="12">
        <f>IF('Données projet'!$A$166&gt;35,DO111+DN112-DW111,IF(A112&lt;'Données projet'!$A$166,$DL$205^A112,IF(A112='Données projet'!$A$166,'Données projet'!$B$166,DO111+DN112-DW111)))</f>
        <v>254.60000000000002</v>
      </c>
      <c r="DP112" s="17">
        <f>DO112*VLOOKUP('Données projet'!$B$14,Paramètres!$A$1:$I$89,3,0)*VLOOKUP('Données projet'!$B$14,Paramètres!$A$1:$I$89,5,0)</f>
        <v>274.05144000000001</v>
      </c>
      <c r="DQ112" s="13">
        <f t="shared" si="97"/>
        <v>65.70834037944428</v>
      </c>
      <c r="DR112" s="20">
        <f t="shared" si="70"/>
        <v>591.74828416086541</v>
      </c>
      <c r="DS112" s="59">
        <f t="shared" si="71"/>
        <v>885.08161749419878</v>
      </c>
      <c r="DT112" s="59">
        <f ca="1">AVERAGE(OFFSET($DS$3,0,0,'Données projet'!$E$14+1,1))-AVERAGE(OFFSET($H$3,0,0,'Données projet'!$E$14+1,1))</f>
        <v>439.66981240211362</v>
      </c>
      <c r="DU112" s="59">
        <f t="shared" si="98"/>
        <v>295.47805371292458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</v>
      </c>
      <c r="EJ112" s="12">
        <f>IF('Données projet'!$A$192&gt;35,EJ111+EI112-ER111,IF(A112&lt;'Données projet'!$A$192,$EG$205^A112,IF(A112='Données projet'!$A$192,'Données projet'!$B$192,EJ111+EI112-ER111)))</f>
        <v>254.60000000000002</v>
      </c>
      <c r="EK112" s="17">
        <f>EJ112*VLOOKUP('Données projet'!$B$15,Paramètres!$A$1:$I$89,3,0)*VLOOKUP('Données projet'!$B$15,Paramètres!$A$1:$I$89,5,0)</f>
        <v>242.27736000000002</v>
      </c>
      <c r="EL112" s="13">
        <f t="shared" si="99"/>
        <v>58.929245931818699</v>
      </c>
      <c r="EM112" s="20">
        <f t="shared" si="73"/>
        <v>524.60150533125091</v>
      </c>
      <c r="EN112" s="59">
        <f t="shared" si="74"/>
        <v>817.93483866458428</v>
      </c>
      <c r="EO112" s="59">
        <f ca="1">AVERAGE(OFFSET($EN$3,0,0,'Données projet'!$E$15+1,1))-AVERAGE(OFFSET($H$3,0,0,'Données projet'!$E$15+1,1))</f>
        <v>393.46715670823653</v>
      </c>
      <c r="EP112" s="59">
        <f t="shared" si="100"/>
        <v>266.16261355327214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549.43232095729741</v>
      </c>
      <c r="T113" s="59">
        <f t="shared" si="88"/>
        <v>280.26155987300996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2.5694238542083085</v>
      </c>
      <c r="AA113" s="21">
        <f>EXP(-LN(2)/25)*AA112+(1-EXP(-LN(2)/25))/(LN(2)/25)*Calculateur!V113*Calculateur!X113*VLOOKUP('Données projet'!$B$9,Paramètres!$A$1:$I$89,3,0)*0.475*44/12</f>
        <v>1.0400691293485014</v>
      </c>
      <c r="AB113" s="21">
        <f>EXP(-LN(2)/2)*AB112+(1-EXP(-LN(2)/2))/(LN(2)/2)*V113*Y113*VLOOKUP('Données projet'!$B$9,Paramètres!$A$1:$I$89,3,0)*0.475*44/12</f>
        <v>4.097449165288709E-12</v>
      </c>
      <c r="AC113" s="22">
        <f t="shared" si="57"/>
        <v>3.6094929835609073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348.62416478262719</v>
      </c>
      <c r="AO113" s="59">
        <f t="shared" si="90"/>
        <v>371.70674704563288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2.7163611792052316</v>
      </c>
      <c r="AV113" s="21">
        <f>EXP(-LN(2)/25)*AV112+(1-EXP(-LN(2)/25))/(LN(2)/25)*Calculateur!AQ113*Calculateur!AS113*VLOOKUP('Données projet'!$B$10,Paramètres!$A$1:$I$89,3,0)*0.475*44/12</f>
        <v>1.3284603509674355</v>
      </c>
      <c r="AW113" s="21">
        <f>EXP(-LN(2)/2)*AW112+(1-EXP(-LN(2)/2))/(LN(2)/2)*AQ113*AT113*VLOOKUP('Données projet'!$B$10,Paramètres!$A$1:$I$89,3,0)*0.475*44/12</f>
        <v>1.1328261176891214E-11</v>
      </c>
      <c r="AX113" s="21">
        <f t="shared" si="60"/>
        <v>4.0448215301839952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405.7176439604217</v>
      </c>
      <c r="BJ113" s="59">
        <f t="shared" si="92"/>
        <v>278.21741231699929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1.4988438651045075</v>
      </c>
      <c r="BQ113" s="21">
        <f>EXP(-LN(2)/25)*BQ112+(1-EXP(-LN(2)/25))/(LN(2)/25)*Calculateur!BL113*Calculateur!BN113*VLOOKUP('Données projet'!$B$11,Paramètres!$A$1:$I$89,3,0)*0.475*44/12</f>
        <v>1.0190628034298648</v>
      </c>
      <c r="BR113" s="21">
        <f>EXP(-LN(2)/2)*BR112+(1-EXP(-LN(2)/2))/(LN(2)/2)*BL113*BO113*VLOOKUP('Données projet'!$B$11,Paramètres!$A$1:$I$89,3,0)*0.475*44/12</f>
        <v>7.7623850205215654E-12</v>
      </c>
      <c r="BS113" s="22">
        <f t="shared" si="63"/>
        <v>2.5179066685421345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1.9895196601282805E-13</v>
      </c>
      <c r="BZ113" s="13">
        <f>BY113*VLOOKUP('Données projet'!$B$12,Paramètres!$A$1:$I$89,3,0)*VLOOKUP('Données projet'!$B$12,Paramètres!$A$1:$I$89,5,0)</f>
        <v>1.738044375088066E-13</v>
      </c>
      <c r="CA113" s="13">
        <f t="shared" si="93"/>
        <v>2.4483293633950478E-12</v>
      </c>
      <c r="CB113" s="20">
        <f t="shared" si="64"/>
        <v>4.566883036574213E-12</v>
      </c>
      <c r="CC113" s="59">
        <f t="shared" si="65"/>
        <v>293.33333333333786</v>
      </c>
      <c r="CD113" s="59">
        <f ca="1">AVERAGE(OFFSET($CC$3,0,0,'Données projet'!$E$12+1,1))-AVERAGE(OFFSET($H$3,0,0,'Données projet'!$E$12+1,1))</f>
        <v>321.23599968992932</v>
      </c>
      <c r="CE113" s="59">
        <f t="shared" si="94"/>
        <v>388.05195847800502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0.74944937535088485</v>
      </c>
      <c r="CL113" s="21">
        <f>EXP(-LN(2)/25)*CL112+(1-EXP(-LN(2)/25))/(LN(2)/25)*Calculateur!CG113*Calculateur!CI113*VLOOKUP('Données projet'!$B$12,Paramètres!$A$1:$I$89,3,0)*0.475*44/12</f>
        <v>2.2960227920300165</v>
      </c>
      <c r="CM113" s="21">
        <f>EXP(-LN(2)/2)*CM112+(1-EXP(-LN(2)/2))/(LN(2)/2)*CG113*CJ113*VLOOKUP('Données projet'!$B$12,Paramètres!$A$1:$I$89,3,0)*0.475*44/12</f>
        <v>1.0971128143743218E-11</v>
      </c>
      <c r="CN113" s="22">
        <f t="shared" si="66"/>
        <v>3.0454721673918725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</v>
      </c>
      <c r="CT113" s="12">
        <f>IF('Données projet'!$A$140&gt;35,CT112+CS113-DB112,IF(A113&lt;'Données projet'!$A$140,$CQ$205^A113,IF(A113='Données projet'!$A$140,'Données projet'!$B$140,CT112+CS113-DB112)))</f>
        <v>261.40000000000003</v>
      </c>
      <c r="CU113" s="17">
        <f>CT113*VLOOKUP('Données projet'!$B$13,Paramètres!$A$1:$I$89,3,0)*VLOOKUP('Données projet'!$B$13,Paramètres!$A$1:$I$89,5,0)</f>
        <v>252.82608000000002</v>
      </c>
      <c r="CV113" s="13">
        <f t="shared" si="95"/>
        <v>61.190706871606658</v>
      </c>
      <c r="CW113" s="20">
        <f t="shared" si="67"/>
        <v>546.91257046804822</v>
      </c>
      <c r="CX113" s="59">
        <f t="shared" si="68"/>
        <v>840.24590380138147</v>
      </c>
      <c r="CY113" s="59">
        <f ca="1">AVERAGE(OFFSET($CX$3,0,0,'Données projet'!$E$13+1,1))-AVERAGE(OFFSET($H$3,0,0,'Données projet'!$E$13+1,1))</f>
        <v>399.24912109442175</v>
      </c>
      <c r="CZ113" s="59">
        <f t="shared" si="96"/>
        <v>269.83150082245305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6.8</v>
      </c>
      <c r="DO113" s="12">
        <f>IF('Données projet'!$A$166&gt;35,DO112+DN113-DW112,IF(A113&lt;'Données projet'!$A$166,$DL$205^A113,IF(A113='Données projet'!$A$166,'Données projet'!$B$166,DO112+DN113-DW112)))</f>
        <v>261.40000000000003</v>
      </c>
      <c r="DP113" s="17">
        <f>DO113*VLOOKUP('Données projet'!$B$14,Paramètres!$A$1:$I$89,3,0)*VLOOKUP('Données projet'!$B$14,Paramètres!$A$1:$I$89,5,0)</f>
        <v>281.37096000000003</v>
      </c>
      <c r="DQ113" s="13">
        <f t="shared" si="97"/>
        <v>67.256649728937461</v>
      </c>
      <c r="DR113" s="20">
        <f t="shared" si="70"/>
        <v>607.19308694456618</v>
      </c>
      <c r="DS113" s="59">
        <f t="shared" si="71"/>
        <v>900.52642027789943</v>
      </c>
      <c r="DT113" s="59">
        <f ca="1">AVERAGE(OFFSET($DS$3,0,0,'Données projet'!$E$14+1,1))-AVERAGE(OFFSET($H$3,0,0,'Données projet'!$E$14+1,1))</f>
        <v>439.66981240211362</v>
      </c>
      <c r="DU113" s="59">
        <f t="shared" si="98"/>
        <v>295.47805371292458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</v>
      </c>
      <c r="EJ113" s="12">
        <f>IF('Données projet'!$A$192&gt;35,EJ112+EI113-ER112,IF(A113&lt;'Données projet'!$A$192,$EG$205^A113,IF(A113='Données projet'!$A$192,'Données projet'!$B$192,EJ112+EI113-ER112)))</f>
        <v>261.40000000000003</v>
      </c>
      <c r="EK113" s="17">
        <f>EJ113*VLOOKUP('Données projet'!$B$15,Paramètres!$A$1:$I$89,3,0)*VLOOKUP('Données projet'!$B$15,Paramètres!$A$1:$I$89,5,0)</f>
        <v>248.74824000000001</v>
      </c>
      <c r="EL113" s="13">
        <f t="shared" si="99"/>
        <v>60.317817031133174</v>
      </c>
      <c r="EM113" s="20">
        <f t="shared" si="73"/>
        <v>538.29004932922362</v>
      </c>
      <c r="EN113" s="59">
        <f t="shared" si="74"/>
        <v>831.62338266255688</v>
      </c>
      <c r="EO113" s="59">
        <f ca="1">AVERAGE(OFFSET($EN$3,0,0,'Données projet'!$E$15+1,1))-AVERAGE(OFFSET($H$3,0,0,'Données projet'!$E$15+1,1))</f>
        <v>393.46715670823653</v>
      </c>
      <c r="EP113" s="59">
        <f t="shared" si="100"/>
        <v>266.16261355327214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549.43232095729741</v>
      </c>
      <c r="T114" s="59">
        <f t="shared" si="88"/>
        <v>280.26155987300996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2.5190390196210872</v>
      </c>
      <c r="AA114" s="21">
        <f>EXP(-LN(2)/25)*AA113+(1-EXP(-LN(2)/25))/(LN(2)/25)*Calculateur!V114*Calculateur!X114*VLOOKUP('Données projet'!$B$9,Paramètres!$A$1:$I$89,3,0)*0.475*44/12</f>
        <v>1.0116283843116083</v>
      </c>
      <c r="AB114" s="21">
        <f>EXP(-LN(2)/2)*AB113+(1-EXP(-LN(2)/2))/(LN(2)/2)*V114*Y114*VLOOKUP('Données projet'!$B$9,Paramètres!$A$1:$I$89,3,0)*0.475*44/12</f>
        <v>2.897334090342805E-12</v>
      </c>
      <c r="AC114" s="22">
        <f t="shared" si="57"/>
        <v>3.5306674039355928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348.62416478262719</v>
      </c>
      <c r="AO114" s="59">
        <f t="shared" si="90"/>
        <v>371.70674704563288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2.6630949932977392</v>
      </c>
      <c r="AV114" s="21">
        <f>EXP(-LN(2)/25)*AV113+(1-EXP(-LN(2)/25))/(LN(2)/25)*Calculateur!AQ114*Calculateur!AS114*VLOOKUP('Données projet'!$B$10,Paramètres!$A$1:$I$89,3,0)*0.475*44/12</f>
        <v>1.2921335328095374</v>
      </c>
      <c r="AW114" s="21">
        <f>EXP(-LN(2)/2)*AW113+(1-EXP(-LN(2)/2))/(LN(2)/2)*AQ114*AT114*VLOOKUP('Données projet'!$B$10,Paramètres!$A$1:$I$89,3,0)*0.475*44/12</f>
        <v>8.0102902972320771E-12</v>
      </c>
      <c r="AX114" s="21">
        <f t="shared" si="60"/>
        <v>3.9552285261152873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405.7176439604217</v>
      </c>
      <c r="BJ114" s="59">
        <f t="shared" si="92"/>
        <v>278.21741231699929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1.4694524511142957</v>
      </c>
      <c r="BQ114" s="21">
        <f>EXP(-LN(2)/25)*BQ113+(1-EXP(-LN(2)/25))/(LN(2)/25)*Calculateur!BL114*Calculateur!BN114*VLOOKUP('Données projet'!$B$11,Paramètres!$A$1:$I$89,3,0)*0.475*44/12</f>
        <v>0.99119647747989137</v>
      </c>
      <c r="BR114" s="21">
        <f>EXP(-LN(2)/2)*BR113+(1-EXP(-LN(2)/2))/(LN(2)/2)*BL114*BO114*VLOOKUP('Données projet'!$B$11,Paramètres!$A$1:$I$89,3,0)*0.475*44/12</f>
        <v>5.4888350861916768E-12</v>
      </c>
      <c r="BS114" s="22">
        <f t="shared" si="63"/>
        <v>2.4606489285996762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1.9895196601282805E-13</v>
      </c>
      <c r="BZ114" s="13">
        <f>BY114*VLOOKUP('Données projet'!$B$12,Paramètres!$A$1:$I$89,3,0)*VLOOKUP('Données projet'!$B$12,Paramètres!$A$1:$I$89,5,0)</f>
        <v>1.738044375088066E-13</v>
      </c>
      <c r="CA114" s="13">
        <f t="shared" si="93"/>
        <v>2.4483293633950478E-12</v>
      </c>
      <c r="CB114" s="20">
        <f t="shared" si="64"/>
        <v>4.566883036574213E-12</v>
      </c>
      <c r="CC114" s="59">
        <f t="shared" si="65"/>
        <v>293.33333333333786</v>
      </c>
      <c r="CD114" s="59">
        <f ca="1">AVERAGE(OFFSET($CC$3,0,0,'Données projet'!$E$12+1,1))-AVERAGE(OFFSET($H$3,0,0,'Données projet'!$E$12+1,1))</f>
        <v>321.23599968992932</v>
      </c>
      <c r="CE114" s="59">
        <f t="shared" si="94"/>
        <v>388.05195847800502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0.73475313021923616</v>
      </c>
      <c r="CL114" s="21">
        <f>EXP(-LN(2)/25)*CL113+(1-EXP(-LN(2)/25))/(LN(2)/25)*Calculateur!CG114*Calculateur!CI114*VLOOKUP('Données projet'!$B$12,Paramètres!$A$1:$I$89,3,0)*0.475*44/12</f>
        <v>2.2332379280393648</v>
      </c>
      <c r="CM114" s="21">
        <f>EXP(-LN(2)/2)*CM113+(1-EXP(-LN(2)/2))/(LN(2)/2)*CG114*CJ114*VLOOKUP('Données projet'!$B$12,Paramètres!$A$1:$I$89,3,0)*0.475*44/12</f>
        <v>7.7577591077074086E-12</v>
      </c>
      <c r="CN114" s="22">
        <f t="shared" si="66"/>
        <v>2.9679910582663589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</v>
      </c>
      <c r="CT114" s="12">
        <f>IF('Données projet'!$A$140&gt;35,CT113+CS114-DB113,IF(A114&lt;'Données projet'!$A$140,$CQ$205^A114,IF(A114='Données projet'!$A$140,'Données projet'!$B$140,CT113+CS114-DB113)))</f>
        <v>268.20000000000005</v>
      </c>
      <c r="CU114" s="17">
        <f>CT114*VLOOKUP('Données projet'!$B$13,Paramètres!$A$1:$I$89,3,0)*VLOOKUP('Données projet'!$B$13,Paramètres!$A$1:$I$89,5,0)</f>
        <v>259.40304000000003</v>
      </c>
      <c r="CV114" s="13">
        <f t="shared" si="95"/>
        <v>62.595113189556258</v>
      </c>
      <c r="CW114" s="20">
        <f t="shared" si="67"/>
        <v>560.81345013847726</v>
      </c>
      <c r="CX114" s="59">
        <f t="shared" si="68"/>
        <v>854.14678347181052</v>
      </c>
      <c r="CY114" s="59">
        <f ca="1">AVERAGE(OFFSET($CX$3,0,0,'Données projet'!$E$13+1,1))-AVERAGE(OFFSET($H$3,0,0,'Données projet'!$E$13+1,1))</f>
        <v>399.24912109442175</v>
      </c>
      <c r="CZ114" s="59">
        <f t="shared" si="96"/>
        <v>269.83150082245305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6.8</v>
      </c>
      <c r="DO114" s="12">
        <f>IF('Données projet'!$A$166&gt;35,DO113+DN114-DW113,IF(A114&lt;'Données projet'!$A$166,$DL$205^A114,IF(A114='Données projet'!$A$166,'Données projet'!$B$166,DO113+DN114-DW113)))</f>
        <v>268.20000000000005</v>
      </c>
      <c r="DP114" s="17">
        <f>DO114*VLOOKUP('Données projet'!$B$14,Paramètres!$A$1:$I$89,3,0)*VLOOKUP('Données projet'!$B$14,Paramètres!$A$1:$I$89,5,0)</f>
        <v>288.69048000000004</v>
      </c>
      <c r="DQ114" s="13">
        <f t="shared" si="97"/>
        <v>68.80027732588016</v>
      </c>
      <c r="DR114" s="20">
        <f t="shared" si="70"/>
        <v>622.62973567590791</v>
      </c>
      <c r="DS114" s="59">
        <f t="shared" si="71"/>
        <v>915.96306900924128</v>
      </c>
      <c r="DT114" s="59">
        <f ca="1">AVERAGE(OFFSET($DS$3,0,0,'Données projet'!$E$14+1,1))-AVERAGE(OFFSET($H$3,0,0,'Données projet'!$E$14+1,1))</f>
        <v>439.66981240211362</v>
      </c>
      <c r="DU114" s="59">
        <f t="shared" si="98"/>
        <v>295.47805371292458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</v>
      </c>
      <c r="EJ114" s="12">
        <f>IF('Données projet'!$A$192&gt;35,EJ113+EI114-ER113,IF(A114&lt;'Données projet'!$A$192,$EG$205^A114,IF(A114='Données projet'!$A$192,'Données projet'!$B$192,EJ113+EI114-ER113)))</f>
        <v>268.20000000000005</v>
      </c>
      <c r="EK114" s="17">
        <f>EJ114*VLOOKUP('Données projet'!$B$15,Paramètres!$A$1:$I$89,3,0)*VLOOKUP('Données projet'!$B$15,Paramètres!$A$1:$I$89,5,0)</f>
        <v>255.21912000000006</v>
      </c>
      <c r="EL114" s="13">
        <f t="shared" si="99"/>
        <v>61.702189391811984</v>
      </c>
      <c r="EM114" s="20">
        <f t="shared" si="73"/>
        <v>551.97128052407265</v>
      </c>
      <c r="EN114" s="59">
        <f t="shared" si="74"/>
        <v>845.30461385740591</v>
      </c>
      <c r="EO114" s="59">
        <f ca="1">AVERAGE(OFFSET($EN$3,0,0,'Données projet'!$E$15+1,1))-AVERAGE(OFFSET($H$3,0,0,'Données projet'!$E$15+1,1))</f>
        <v>393.46715670823653</v>
      </c>
      <c r="EP114" s="59">
        <f t="shared" si="100"/>
        <v>266.16261355327214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549.43232095729741</v>
      </c>
      <c r="T115" s="59">
        <f t="shared" si="88"/>
        <v>280.26155987300996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2.4696422009084067</v>
      </c>
      <c r="AA115" s="21">
        <f>EXP(-LN(2)/25)*AA114+(1-EXP(-LN(2)/25))/(LN(2)/25)*Calculateur!V115*Calculateur!X115*VLOOKUP('Données projet'!$B$9,Paramètres!$A$1:$I$89,3,0)*0.475*44/12</f>
        <v>0.98396535294338272</v>
      </c>
      <c r="AB115" s="21">
        <f>EXP(-LN(2)/2)*AB114+(1-EXP(-LN(2)/2))/(LN(2)/2)*V115*Y115*VLOOKUP('Données projet'!$B$9,Paramètres!$A$1:$I$89,3,0)*0.475*44/12</f>
        <v>2.0487245826443545E-12</v>
      </c>
      <c r="AC115" s="22">
        <f t="shared" si="57"/>
        <v>3.4536075538538378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348.62416478262719</v>
      </c>
      <c r="AO115" s="59">
        <f t="shared" si="90"/>
        <v>371.70674704563288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2.6108733248067275</v>
      </c>
      <c r="AV115" s="21">
        <f>EXP(-LN(2)/25)*AV114+(1-EXP(-LN(2)/25))/(LN(2)/25)*Calculateur!AQ115*Calculateur!AS115*VLOOKUP('Données projet'!$B$10,Paramètres!$A$1:$I$89,3,0)*0.475*44/12</f>
        <v>1.2568000734045113</v>
      </c>
      <c r="AW115" s="21">
        <f>EXP(-LN(2)/2)*AW114+(1-EXP(-LN(2)/2))/(LN(2)/2)*AQ115*AT115*VLOOKUP('Données projet'!$B$10,Paramètres!$A$1:$I$89,3,0)*0.475*44/12</f>
        <v>5.6641305884456071E-12</v>
      </c>
      <c r="AX115" s="21">
        <f t="shared" si="60"/>
        <v>3.8676733982169029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405.7176439604217</v>
      </c>
      <c r="BJ115" s="59">
        <f t="shared" si="92"/>
        <v>278.21741231699929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1.4406373848254395</v>
      </c>
      <c r="BQ115" s="21">
        <f>EXP(-LN(2)/25)*BQ114+(1-EXP(-LN(2)/25))/(LN(2)/25)*Calculateur!BL115*Calculateur!BN115*VLOOKUP('Données projet'!$B$11,Paramètres!$A$1:$I$89,3,0)*0.475*44/12</f>
        <v>0.96409215767844636</v>
      </c>
      <c r="BR115" s="21">
        <f>EXP(-LN(2)/2)*BR114+(1-EXP(-LN(2)/2))/(LN(2)/2)*BL115*BO115*VLOOKUP('Données projet'!$B$11,Paramètres!$A$1:$I$89,3,0)*0.475*44/12</f>
        <v>3.8811925102607827E-12</v>
      </c>
      <c r="BS115" s="22">
        <f t="shared" si="63"/>
        <v>2.4047295425077673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1.9895196601282805E-13</v>
      </c>
      <c r="BZ115" s="13">
        <f>BY115*VLOOKUP('Données projet'!$B$12,Paramètres!$A$1:$I$89,3,0)*VLOOKUP('Données projet'!$B$12,Paramètres!$A$1:$I$89,5,0)</f>
        <v>1.738044375088066E-13</v>
      </c>
      <c r="CA115" s="13">
        <f t="shared" si="93"/>
        <v>2.4483293633950478E-12</v>
      </c>
      <c r="CB115" s="20">
        <f t="shared" si="64"/>
        <v>4.566883036574213E-12</v>
      </c>
      <c r="CC115" s="59">
        <f t="shared" si="65"/>
        <v>293.33333333333786</v>
      </c>
      <c r="CD115" s="59">
        <f ca="1">AVERAGE(OFFSET($CC$3,0,0,'Données projet'!$E$12+1,1))-AVERAGE(OFFSET($H$3,0,0,'Données projet'!$E$12+1,1))</f>
        <v>321.23599968992932</v>
      </c>
      <c r="CE115" s="59">
        <f t="shared" si="94"/>
        <v>388.05195847800502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0.72034506949079469</v>
      </c>
      <c r="CL115" s="21">
        <f>EXP(-LN(2)/25)*CL114+(1-EXP(-LN(2)/25))/(LN(2)/25)*Calculateur!CG115*Calculateur!CI115*VLOOKUP('Données projet'!$B$12,Paramètres!$A$1:$I$89,3,0)*0.475*44/12</f>
        <v>2.17216991945625</v>
      </c>
      <c r="CM115" s="21">
        <f>EXP(-LN(2)/2)*CM114+(1-EXP(-LN(2)/2))/(LN(2)/2)*CG115*CJ115*VLOOKUP('Données projet'!$B$12,Paramètres!$A$1:$I$89,3,0)*0.475*44/12</f>
        <v>5.4855640718716088E-12</v>
      </c>
      <c r="CN115" s="22">
        <f t="shared" si="66"/>
        <v>2.8925149889525299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</v>
      </c>
      <c r="CT115" s="12">
        <f>IF('Données projet'!$A$140&gt;35,CT114+CS115-DB114,IF(A115&lt;'Données projet'!$A$140,$CQ$205^A115,IF(A115='Données projet'!$A$140,'Données projet'!$B$140,CT114+CS115-DB114)))</f>
        <v>275.00000000000006</v>
      </c>
      <c r="CU115" s="17">
        <f>CT115*VLOOKUP('Données projet'!$B$13,Paramètres!$A$1:$I$89,3,0)*VLOOKUP('Données projet'!$B$13,Paramètres!$A$1:$I$89,5,0)</f>
        <v>265.98000000000008</v>
      </c>
      <c r="CV115" s="13">
        <f t="shared" si="95"/>
        <v>63.995380422211646</v>
      </c>
      <c r="CW115" s="20">
        <f t="shared" si="67"/>
        <v>574.7071209020188</v>
      </c>
      <c r="CX115" s="59">
        <f t="shared" si="68"/>
        <v>868.04045423535217</v>
      </c>
      <c r="CY115" s="59">
        <f ca="1">AVERAGE(OFFSET($CX$3,0,0,'Données projet'!$E$13+1,1))-AVERAGE(OFFSET($H$3,0,0,'Données projet'!$E$13+1,1))</f>
        <v>399.24912109442175</v>
      </c>
      <c r="CZ115" s="59">
        <f t="shared" si="96"/>
        <v>269.83150082245305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6.8</v>
      </c>
      <c r="DO115" s="12">
        <f>IF('Données projet'!$A$166&gt;35,DO114+DN115-DW114,IF(A115&lt;'Données projet'!$A$166,$DL$205^A115,IF(A115='Données projet'!$A$166,'Données projet'!$B$166,DO114+DN115-DW114)))</f>
        <v>275.00000000000006</v>
      </c>
      <c r="DP115" s="17">
        <f>DO115*VLOOKUP('Données projet'!$B$14,Paramètres!$A$1:$I$89,3,0)*VLOOKUP('Données projet'!$B$14,Paramètres!$A$1:$I$89,5,0)</f>
        <v>296.01000000000005</v>
      </c>
      <c r="DQ115" s="13">
        <f t="shared" si="97"/>
        <v>70.339355522692159</v>
      </c>
      <c r="DR115" s="20">
        <f t="shared" si="70"/>
        <v>638.05846086868894</v>
      </c>
      <c r="DS115" s="59">
        <f t="shared" si="71"/>
        <v>931.39179420202231</v>
      </c>
      <c r="DT115" s="59">
        <f ca="1">AVERAGE(OFFSET($DS$3,0,0,'Données projet'!$E$14+1,1))-AVERAGE(OFFSET($H$3,0,0,'Données projet'!$E$14+1,1))</f>
        <v>439.66981240211362</v>
      </c>
      <c r="DU115" s="59">
        <f t="shared" si="98"/>
        <v>295.47805371292458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</v>
      </c>
      <c r="EJ115" s="12">
        <f>IF('Données projet'!$A$192&gt;35,EJ114+EI115-ER114,IF(A115&lt;'Données projet'!$A$192,$EG$205^A115,IF(A115='Données projet'!$A$192,'Données projet'!$B$192,EJ114+EI115-ER114)))</f>
        <v>275.00000000000006</v>
      </c>
      <c r="EK115" s="17">
        <f>EJ115*VLOOKUP('Données projet'!$B$15,Paramètres!$A$1:$I$89,3,0)*VLOOKUP('Données projet'!$B$15,Paramètres!$A$1:$I$89,5,0)</f>
        <v>261.69000000000005</v>
      </c>
      <c r="EL115" s="13">
        <f t="shared" si="99"/>
        <v>63.0824817115464</v>
      </c>
      <c r="EM115" s="20">
        <f t="shared" si="73"/>
        <v>565.64540564761012</v>
      </c>
      <c r="EN115" s="59">
        <f t="shared" si="74"/>
        <v>858.97873898094349</v>
      </c>
      <c r="EO115" s="59">
        <f ca="1">AVERAGE(OFFSET($EN$3,0,0,'Données projet'!$E$15+1,1))-AVERAGE(OFFSET($H$3,0,0,'Données projet'!$E$15+1,1))</f>
        <v>393.46715670823653</v>
      </c>
      <c r="EP115" s="59">
        <f t="shared" si="100"/>
        <v>266.16261355327214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549.43232095729741</v>
      </c>
      <c r="T116" s="59">
        <f t="shared" si="88"/>
        <v>280.26155987300996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2.4212140236815975</v>
      </c>
      <c r="AA116" s="21">
        <f>EXP(-LN(2)/25)*AA115+(1-EXP(-LN(2)/25))/(LN(2)/25)*Calculateur!V116*Calculateur!X116*VLOOKUP('Données projet'!$B$9,Paramètres!$A$1:$I$89,3,0)*0.475*44/12</f>
        <v>0.95705876862265693</v>
      </c>
      <c r="AB116" s="21">
        <f>EXP(-LN(2)/2)*AB115+(1-EXP(-LN(2)/2))/(LN(2)/2)*V116*Y116*VLOOKUP('Données projet'!$B$9,Paramètres!$A$1:$I$89,3,0)*0.475*44/12</f>
        <v>1.4486670451714025E-12</v>
      </c>
      <c r="AC116" s="22">
        <f t="shared" si="57"/>
        <v>3.3782727923057032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348.62416478262719</v>
      </c>
      <c r="AO116" s="59">
        <f t="shared" si="90"/>
        <v>371.70674704563288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2.5596756913827519</v>
      </c>
      <c r="AV116" s="21">
        <f>EXP(-LN(2)/25)*AV115+(1-EXP(-LN(2)/25))/(LN(2)/25)*Calculateur!AQ116*Calculateur!AS116*VLOOKUP('Données projet'!$B$10,Paramètres!$A$1:$I$89,3,0)*0.475*44/12</f>
        <v>1.2224328093050214</v>
      </c>
      <c r="AW116" s="21">
        <f>EXP(-LN(2)/2)*AW115+(1-EXP(-LN(2)/2))/(LN(2)/2)*AQ116*AT116*VLOOKUP('Données projet'!$B$10,Paramètres!$A$1:$I$89,3,0)*0.475*44/12</f>
        <v>4.0051451486160386E-12</v>
      </c>
      <c r="AX116" s="21">
        <f t="shared" si="60"/>
        <v>3.7821085006917783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405.7176439604217</v>
      </c>
      <c r="BJ116" s="59">
        <f t="shared" si="92"/>
        <v>278.21741231699929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1.4123873644110527</v>
      </c>
      <c r="BQ116" s="21">
        <f>EXP(-LN(2)/25)*BQ115+(1-EXP(-LN(2)/25))/(LN(2)/25)*Calculateur!BL116*Calculateur!BN116*VLOOKUP('Données projet'!$B$11,Paramètres!$A$1:$I$89,3,0)*0.475*44/12</f>
        <v>0.93772900692732608</v>
      </c>
      <c r="BR116" s="21">
        <f>EXP(-LN(2)/2)*BR115+(1-EXP(-LN(2)/2))/(LN(2)/2)*BL116*BO116*VLOOKUP('Données projet'!$B$11,Paramètres!$A$1:$I$89,3,0)*0.475*44/12</f>
        <v>2.7444175430958384E-12</v>
      </c>
      <c r="BS116" s="22">
        <f t="shared" si="63"/>
        <v>2.3501163713411231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1.9895196601282805E-13</v>
      </c>
      <c r="BZ116" s="13">
        <f>BY116*VLOOKUP('Données projet'!$B$12,Paramètres!$A$1:$I$89,3,0)*VLOOKUP('Données projet'!$B$12,Paramètres!$A$1:$I$89,5,0)</f>
        <v>1.738044375088066E-13</v>
      </c>
      <c r="CA116" s="13">
        <f t="shared" si="93"/>
        <v>2.4483293633950478E-12</v>
      </c>
      <c r="CB116" s="20">
        <f t="shared" si="64"/>
        <v>4.566883036574213E-12</v>
      </c>
      <c r="CC116" s="59">
        <f t="shared" si="65"/>
        <v>293.33333333333786</v>
      </c>
      <c r="CD116" s="59">
        <f ca="1">AVERAGE(OFFSET($CC$3,0,0,'Données projet'!$E$12+1,1))-AVERAGE(OFFSET($H$3,0,0,'Données projet'!$E$12+1,1))</f>
        <v>321.23599968992932</v>
      </c>
      <c r="CE116" s="59">
        <f t="shared" si="94"/>
        <v>388.05195847800502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0.70621954204518866</v>
      </c>
      <c r="CL116" s="21">
        <f>EXP(-LN(2)/25)*CL115+(1-EXP(-LN(2)/25))/(LN(2)/25)*Calculateur!CG116*Calculateur!CI116*VLOOKUP('Données projet'!$B$12,Paramètres!$A$1:$I$89,3,0)*0.475*44/12</f>
        <v>2.1127718187792675</v>
      </c>
      <c r="CM116" s="21">
        <f>EXP(-LN(2)/2)*CM115+(1-EXP(-LN(2)/2))/(LN(2)/2)*CG116*CJ116*VLOOKUP('Données projet'!$B$12,Paramètres!$A$1:$I$89,3,0)*0.475*44/12</f>
        <v>3.8788795538537043E-12</v>
      </c>
      <c r="CN116" s="22">
        <f t="shared" si="66"/>
        <v>2.8189913608283348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</v>
      </c>
      <c r="CT116" s="12">
        <f>IF('Données projet'!$A$140&gt;35,CT115+CS116-DB115,IF(A116&lt;'Données projet'!$A$140,$CQ$205^A116,IF(A116='Données projet'!$A$140,'Données projet'!$B$140,CT115+CS116-DB115)))</f>
        <v>281.80000000000007</v>
      </c>
      <c r="CU116" s="17">
        <f>CT116*VLOOKUP('Données projet'!$B$13,Paramètres!$A$1:$I$89,3,0)*VLOOKUP('Données projet'!$B$13,Paramètres!$A$1:$I$89,5,0)</f>
        <v>272.55696000000006</v>
      </c>
      <c r="CV116" s="13">
        <f t="shared" si="95"/>
        <v>65.391622690449154</v>
      </c>
      <c r="CW116" s="20">
        <f t="shared" si="67"/>
        <v>588.59378151919896</v>
      </c>
      <c r="CX116" s="59">
        <f t="shared" si="68"/>
        <v>881.92711485253221</v>
      </c>
      <c r="CY116" s="59">
        <f ca="1">AVERAGE(OFFSET($CX$3,0,0,'Données projet'!$E$13+1,1))-AVERAGE(OFFSET($H$3,0,0,'Données projet'!$E$13+1,1))</f>
        <v>399.24912109442175</v>
      </c>
      <c r="CZ116" s="59">
        <f t="shared" si="96"/>
        <v>269.83150082245305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6.8</v>
      </c>
      <c r="DO116" s="12">
        <f>IF('Données projet'!$A$166&gt;35,DO115+DN116-DW115,IF(A116&lt;'Données projet'!$A$166,$DL$205^A116,IF(A116='Données projet'!$A$166,'Données projet'!$B$166,DO115+DN116-DW115)))</f>
        <v>281.80000000000007</v>
      </c>
      <c r="DP116" s="17">
        <f>DO116*VLOOKUP('Données projet'!$B$14,Paramètres!$A$1:$I$89,3,0)*VLOOKUP('Données projet'!$B$14,Paramètres!$A$1:$I$89,5,0)</f>
        <v>303.32952000000006</v>
      </c>
      <c r="DQ116" s="13">
        <f t="shared" si="97"/>
        <v>71.874009753254171</v>
      </c>
      <c r="DR116" s="20">
        <f t="shared" si="70"/>
        <v>653.47948098691779</v>
      </c>
      <c r="DS116" s="59">
        <f t="shared" si="71"/>
        <v>946.81281432025116</v>
      </c>
      <c r="DT116" s="59">
        <f ca="1">AVERAGE(OFFSET($DS$3,0,0,'Données projet'!$E$14+1,1))-AVERAGE(OFFSET($H$3,0,0,'Données projet'!$E$14+1,1))</f>
        <v>439.66981240211362</v>
      </c>
      <c r="DU116" s="59">
        <f t="shared" si="98"/>
        <v>295.47805371292458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6.8</v>
      </c>
      <c r="EJ116" s="12">
        <f>IF('Données projet'!$A$192&gt;35,EJ115+EI116-ER115,IF(A116&lt;'Données projet'!$A$192,$EG$205^A116,IF(A116='Données projet'!$A$192,'Données projet'!$B$192,EJ115+EI116-ER115)))</f>
        <v>281.80000000000007</v>
      </c>
      <c r="EK116" s="17">
        <f>EJ116*VLOOKUP('Données projet'!$B$15,Paramètres!$A$1:$I$89,3,0)*VLOOKUP('Données projet'!$B$15,Paramètres!$A$1:$I$89,5,0)</f>
        <v>268.16088000000002</v>
      </c>
      <c r="EL116" s="13">
        <f t="shared" si="99"/>
        <v>64.45880648327018</v>
      </c>
      <c r="EM116" s="20">
        <f t="shared" si="73"/>
        <v>579.3126206250289</v>
      </c>
      <c r="EN116" s="59">
        <f t="shared" si="74"/>
        <v>872.64595395836227</v>
      </c>
      <c r="EO116" s="59">
        <f ca="1">AVERAGE(OFFSET($EN$3,0,0,'Données projet'!$E$15+1,1))-AVERAGE(OFFSET($H$3,0,0,'Données projet'!$E$15+1,1))</f>
        <v>393.46715670823653</v>
      </c>
      <c r="EP116" s="59">
        <f t="shared" si="100"/>
        <v>266.16261355327214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549.43232095729741</v>
      </c>
      <c r="T117" s="59">
        <f t="shared" si="88"/>
        <v>280.26155987300996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2.3737354934719344</v>
      </c>
      <c r="AA117" s="21">
        <f>EXP(-LN(2)/25)*AA116+(1-EXP(-LN(2)/25))/(LN(2)/25)*Calculateur!V117*Calculateur!X117*VLOOKUP('Données projet'!$B$9,Paramètres!$A$1:$I$89,3,0)*0.475*44/12</f>
        <v>0.93088794626513716</v>
      </c>
      <c r="AB117" s="21">
        <f>EXP(-LN(2)/2)*AB116+(1-EXP(-LN(2)/2))/(LN(2)/2)*V117*Y117*VLOOKUP('Données projet'!$B$9,Paramètres!$A$1:$I$89,3,0)*0.475*44/12</f>
        <v>1.0243622913221772E-12</v>
      </c>
      <c r="AC117" s="22">
        <f t="shared" si="57"/>
        <v>3.304623439738096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348.62416478262719</v>
      </c>
      <c r="AO117" s="59">
        <f t="shared" si="90"/>
        <v>371.70674704563288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2.5094820123227475</v>
      </c>
      <c r="AV117" s="21">
        <f>EXP(-LN(2)/25)*AV116+(1-EXP(-LN(2)/25))/(LN(2)/25)*Calculateur!AQ117*Calculateur!AS117*VLOOKUP('Données projet'!$B$10,Paramètres!$A$1:$I$89,3,0)*0.475*44/12</f>
        <v>1.189005319849628</v>
      </c>
      <c r="AW117" s="21">
        <f>EXP(-LN(2)/2)*AW116+(1-EXP(-LN(2)/2))/(LN(2)/2)*AQ117*AT117*VLOOKUP('Données projet'!$B$10,Paramètres!$A$1:$I$89,3,0)*0.475*44/12</f>
        <v>2.8320652942228036E-12</v>
      </c>
      <c r="AX117" s="21">
        <f t="shared" si="60"/>
        <v>3.6984873321752074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405.7176439604217</v>
      </c>
      <c r="BJ117" s="59">
        <f t="shared" si="92"/>
        <v>278.21741231699929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1.384691309666181</v>
      </c>
      <c r="BQ117" s="21">
        <f>EXP(-LN(2)/25)*BQ116+(1-EXP(-LN(2)/25))/(LN(2)/25)*Calculateur!BL117*Calculateur!BN117*VLOOKUP('Données projet'!$B$11,Paramètres!$A$1:$I$89,3,0)*0.475*44/12</f>
        <v>0.91208675791987304</v>
      </c>
      <c r="BR117" s="21">
        <f>EXP(-LN(2)/2)*BR116+(1-EXP(-LN(2)/2))/(LN(2)/2)*BL117*BO117*VLOOKUP('Données projet'!$B$11,Paramètres!$A$1:$I$89,3,0)*0.475*44/12</f>
        <v>1.9405962551303913E-12</v>
      </c>
      <c r="BS117" s="22">
        <f t="shared" si="63"/>
        <v>2.2967780675879945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1.9895196601282805E-13</v>
      </c>
      <c r="BZ117" s="13">
        <f>BY117*VLOOKUP('Données projet'!$B$12,Paramètres!$A$1:$I$89,3,0)*VLOOKUP('Données projet'!$B$12,Paramètres!$A$1:$I$89,5,0)</f>
        <v>1.738044375088066E-13</v>
      </c>
      <c r="CA117" s="13">
        <f t="shared" si="93"/>
        <v>2.4483293633950478E-12</v>
      </c>
      <c r="CB117" s="20">
        <f t="shared" si="64"/>
        <v>4.566883036574213E-12</v>
      </c>
      <c r="CC117" s="59">
        <f t="shared" si="65"/>
        <v>293.33333333333786</v>
      </c>
      <c r="CD117" s="59">
        <f ca="1">AVERAGE(OFFSET($CC$3,0,0,'Données projet'!$E$12+1,1))-AVERAGE(OFFSET($H$3,0,0,'Données projet'!$E$12+1,1))</f>
        <v>321.23599968992932</v>
      </c>
      <c r="CE117" s="59">
        <f t="shared" si="94"/>
        <v>388.05195847800502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0.69237100757707004</v>
      </c>
      <c r="CL117" s="21">
        <f>EXP(-LN(2)/25)*CL116+(1-EXP(-LN(2)/25))/(LN(2)/25)*Calculateur!CG117*Calculateur!CI117*VLOOKUP('Données projet'!$B$12,Paramètres!$A$1:$I$89,3,0)*0.475*44/12</f>
        <v>2.0549979622889074</v>
      </c>
      <c r="CM117" s="21">
        <f>EXP(-LN(2)/2)*CM116+(1-EXP(-LN(2)/2))/(LN(2)/2)*CG117*CJ117*VLOOKUP('Données projet'!$B$12,Paramètres!$A$1:$I$89,3,0)*0.475*44/12</f>
        <v>2.7427820359358044E-12</v>
      </c>
      <c r="CN117" s="22">
        <f t="shared" si="66"/>
        <v>2.7473689698687203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</v>
      </c>
      <c r="CT117" s="12">
        <f>IF('Données projet'!$A$140&gt;35,CT116+CS117-DB116,IF(A117&lt;'Données projet'!$A$140,$CQ$205^A117,IF(A117='Données projet'!$A$140,'Données projet'!$B$140,CT116+CS117-DB116)))</f>
        <v>288.60000000000008</v>
      </c>
      <c r="CU117" s="17">
        <f>CT117*VLOOKUP('Données projet'!$B$13,Paramètres!$A$1:$I$89,3,0)*VLOOKUP('Données projet'!$B$13,Paramètres!$A$1:$I$89,5,0)</f>
        <v>279.1339200000001</v>
      </c>
      <c r="CV117" s="13">
        <f t="shared" si="95"/>
        <v>66.783948293470388</v>
      </c>
      <c r="CW117" s="20">
        <f t="shared" si="67"/>
        <v>602.47362061112779</v>
      </c>
      <c r="CX117" s="59">
        <f t="shared" si="68"/>
        <v>895.80695394446116</v>
      </c>
      <c r="CY117" s="59">
        <f ca="1">AVERAGE(OFFSET($CX$3,0,0,'Données projet'!$E$13+1,1))-AVERAGE(OFFSET($H$3,0,0,'Données projet'!$E$13+1,1))</f>
        <v>399.24912109442175</v>
      </c>
      <c r="CZ117" s="59">
        <f t="shared" si="96"/>
        <v>269.83150082245305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6.8</v>
      </c>
      <c r="DO117" s="12">
        <f>IF('Données projet'!$A$166&gt;35,DO116+DN117-DW116,IF(A117&lt;'Données projet'!$A$166,$DL$205^A117,IF(A117='Données projet'!$A$166,'Données projet'!$B$166,DO116+DN117-DW116)))</f>
        <v>288.60000000000008</v>
      </c>
      <c r="DP117" s="17">
        <f>DO117*VLOOKUP('Données projet'!$B$14,Paramètres!$A$1:$I$89,3,0)*VLOOKUP('Données projet'!$B$14,Paramètres!$A$1:$I$89,5,0)</f>
        <v>310.64904000000007</v>
      </c>
      <c r="DQ117" s="13">
        <f t="shared" si="97"/>
        <v>73.404359052658691</v>
      </c>
      <c r="DR117" s="20">
        <f t="shared" si="70"/>
        <v>668.89300335004725</v>
      </c>
      <c r="DS117" s="59">
        <f t="shared" si="71"/>
        <v>962.22633668338062</v>
      </c>
      <c r="DT117" s="59">
        <f ca="1">AVERAGE(OFFSET($DS$3,0,0,'Données projet'!$E$14+1,1))-AVERAGE(OFFSET($H$3,0,0,'Données projet'!$E$14+1,1))</f>
        <v>439.66981240211362</v>
      </c>
      <c r="DU117" s="59">
        <f t="shared" si="98"/>
        <v>295.47805371292458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6.8</v>
      </c>
      <c r="EJ117" s="12">
        <f>IF('Données projet'!$A$192&gt;35,EJ116+EI117-ER116,IF(A117&lt;'Données projet'!$A$192,$EG$205^A117,IF(A117='Données projet'!$A$192,'Données projet'!$B$192,EJ116+EI117-ER116)))</f>
        <v>288.60000000000008</v>
      </c>
      <c r="EK117" s="17">
        <f>EJ117*VLOOKUP('Données projet'!$B$15,Paramètres!$A$1:$I$89,3,0)*VLOOKUP('Données projet'!$B$15,Paramètres!$A$1:$I$89,5,0)</f>
        <v>274.6317600000001</v>
      </c>
      <c r="EL117" s="13">
        <f t="shared" si="99"/>
        <v>65.831270461289193</v>
      </c>
      <c r="EM117" s="20">
        <f t="shared" si="73"/>
        <v>592.97311138674547</v>
      </c>
      <c r="EN117" s="59">
        <f t="shared" si="74"/>
        <v>886.30644472007884</v>
      </c>
      <c r="EO117" s="59">
        <f ca="1">AVERAGE(OFFSET($EN$3,0,0,'Données projet'!$E$15+1,1))-AVERAGE(OFFSET($H$3,0,0,'Données projet'!$E$15+1,1))</f>
        <v>393.46715670823653</v>
      </c>
      <c r="EP117" s="59">
        <f t="shared" si="100"/>
        <v>266.16261355327214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549.43232095729741</v>
      </c>
      <c r="T118" s="59">
        <f t="shared" si="88"/>
        <v>280.26155987300996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2.327187988280639</v>
      </c>
      <c r="AA118" s="21">
        <f>EXP(-LN(2)/25)*AA117+(1-EXP(-LN(2)/25))/(LN(2)/25)*Calculateur!V118*Calculateur!X118*VLOOKUP('Données projet'!$B$9,Paramètres!$A$1:$I$89,3,0)*0.475*44/12</f>
        <v>0.90543276642124748</v>
      </c>
      <c r="AB118" s="21">
        <f>EXP(-LN(2)/2)*AB117+(1-EXP(-LN(2)/2))/(LN(2)/2)*V118*Y118*VLOOKUP('Données projet'!$B$9,Paramètres!$A$1:$I$89,3,0)*0.475*44/12</f>
        <v>7.2433352258570124E-13</v>
      </c>
      <c r="AC118" s="22">
        <f t="shared" si="57"/>
        <v>3.2326207547026109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348.62416478262719</v>
      </c>
      <c r="AO118" s="59">
        <f t="shared" si="90"/>
        <v>371.70674704563288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2.4602726006939886</v>
      </c>
      <c r="AV118" s="21">
        <f>EXP(-LN(2)/25)*AV117+(1-EXP(-LN(2)/25))/(LN(2)/25)*Calculateur!AQ118*Calculateur!AS118*VLOOKUP('Données projet'!$B$10,Paramètres!$A$1:$I$89,3,0)*0.475*44/12</f>
        <v>1.1564919068512676</v>
      </c>
      <c r="AW118" s="21">
        <f>EXP(-LN(2)/2)*AW117+(1-EXP(-LN(2)/2))/(LN(2)/2)*AQ118*AT118*VLOOKUP('Données projet'!$B$10,Paramètres!$A$1:$I$89,3,0)*0.475*44/12</f>
        <v>2.0025725743080193E-12</v>
      </c>
      <c r="AX118" s="21">
        <f t="shared" si="60"/>
        <v>3.6167645075472588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405.7176439604217</v>
      </c>
      <c r="BJ118" s="59">
        <f t="shared" si="92"/>
        <v>278.21741231699929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1.3575383576619309</v>
      </c>
      <c r="BQ118" s="21">
        <f>EXP(-LN(2)/25)*BQ117+(1-EXP(-LN(2)/25))/(LN(2)/25)*Calculateur!BL118*Calculateur!BN118*VLOOKUP('Données projet'!$B$11,Paramètres!$A$1:$I$89,3,0)*0.475*44/12</f>
        <v>0.88714569755999606</v>
      </c>
      <c r="BR118" s="21">
        <f>EXP(-LN(2)/2)*BR117+(1-EXP(-LN(2)/2))/(LN(2)/2)*BL118*BO118*VLOOKUP('Données projet'!$B$11,Paramètres!$A$1:$I$89,3,0)*0.475*44/12</f>
        <v>1.3722087715479192E-12</v>
      </c>
      <c r="BS118" s="22">
        <f t="shared" si="63"/>
        <v>2.2446840552232992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1.9895196601282805E-13</v>
      </c>
      <c r="BZ118" s="13">
        <f>BY118*VLOOKUP('Données projet'!$B$12,Paramètres!$A$1:$I$89,3,0)*VLOOKUP('Données projet'!$B$12,Paramètres!$A$1:$I$89,5,0)</f>
        <v>1.738044375088066E-13</v>
      </c>
      <c r="CA118" s="13">
        <f t="shared" si="93"/>
        <v>2.4483293633950478E-12</v>
      </c>
      <c r="CB118" s="20">
        <f t="shared" si="64"/>
        <v>4.566883036574213E-12</v>
      </c>
      <c r="CC118" s="59">
        <f t="shared" si="65"/>
        <v>293.33333333333786</v>
      </c>
      <c r="CD118" s="59">
        <f ca="1">AVERAGE(OFFSET($CC$3,0,0,'Données projet'!$E$12+1,1))-AVERAGE(OFFSET($H$3,0,0,'Données projet'!$E$12+1,1))</f>
        <v>321.23599968992932</v>
      </c>
      <c r="CE118" s="59">
        <f t="shared" si="94"/>
        <v>388.05195847800502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0.67879403442309916</v>
      </c>
      <c r="CL118" s="21">
        <f>EXP(-LN(2)/25)*CL117+(1-EXP(-LN(2)/25))/(LN(2)/25)*Calculateur!CG118*Calculateur!CI118*VLOOKUP('Données projet'!$B$12,Paramètres!$A$1:$I$89,3,0)*0.475*44/12</f>
        <v>1.9988039349424711</v>
      </c>
      <c r="CM118" s="21">
        <f>EXP(-LN(2)/2)*CM117+(1-EXP(-LN(2)/2))/(LN(2)/2)*CG118*CJ118*VLOOKUP('Données projet'!$B$12,Paramètres!$A$1:$I$89,3,0)*0.475*44/12</f>
        <v>1.9394397769268521E-12</v>
      </c>
      <c r="CN118" s="22">
        <f t="shared" si="66"/>
        <v>2.6775979693675098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</v>
      </c>
      <c r="CT118" s="12">
        <f>IF('Données projet'!$A$140&gt;35,CT117+CS118-DB117,IF(A118&lt;'Données projet'!$A$140,$CQ$205^A118,IF(A118='Données projet'!$A$140,'Données projet'!$B$140,CT117+CS118-DB117)))</f>
        <v>295.40000000000009</v>
      </c>
      <c r="CU118" s="17">
        <f>CT118*VLOOKUP('Données projet'!$B$13,Paramètres!$A$1:$I$89,3,0)*VLOOKUP('Données projet'!$B$13,Paramètres!$A$1:$I$89,5,0)</f>
        <v>285.71088000000009</v>
      </c>
      <c r="CV118" s="13">
        <f t="shared" si="95"/>
        <v>68.172460135852972</v>
      </c>
      <c r="CW118" s="20">
        <f t="shared" si="67"/>
        <v>616.34681740327744</v>
      </c>
      <c r="CX118" s="59">
        <f t="shared" si="68"/>
        <v>909.68015073661081</v>
      </c>
      <c r="CY118" s="59">
        <f ca="1">AVERAGE(OFFSET($CX$3,0,0,'Données projet'!$E$13+1,1))-AVERAGE(OFFSET($H$3,0,0,'Données projet'!$E$13+1,1))</f>
        <v>399.24912109442175</v>
      </c>
      <c r="CZ118" s="59">
        <f t="shared" si="96"/>
        <v>269.83150082245305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6.8</v>
      </c>
      <c r="DO118" s="12">
        <f>IF('Données projet'!$A$166&gt;35,DO117+DN118-DW117,IF(A118&lt;'Données projet'!$A$166,$DL$205^A118,IF(A118='Données projet'!$A$166,'Données projet'!$B$166,DO117+DN118-DW117)))</f>
        <v>295.40000000000009</v>
      </c>
      <c r="DP118" s="17">
        <f>DO118*VLOOKUP('Données projet'!$B$14,Paramètres!$A$1:$I$89,3,0)*VLOOKUP('Données projet'!$B$14,Paramètres!$A$1:$I$89,5,0)</f>
        <v>317.96856000000008</v>
      </c>
      <c r="DQ118" s="13">
        <f t="shared" si="97"/>
        <v>74.930516526595966</v>
      </c>
      <c r="DR118" s="20">
        <f t="shared" si="70"/>
        <v>684.29922495048811</v>
      </c>
      <c r="DS118" s="59">
        <f t="shared" si="71"/>
        <v>977.63255828382148</v>
      </c>
      <c r="DT118" s="59">
        <f ca="1">AVERAGE(OFFSET($DS$3,0,0,'Données projet'!$E$14+1,1))-AVERAGE(OFFSET($H$3,0,0,'Données projet'!$E$14+1,1))</f>
        <v>439.66981240211362</v>
      </c>
      <c r="DU118" s="59">
        <f t="shared" si="98"/>
        <v>295.47805371292458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6.8</v>
      </c>
      <c r="EJ118" s="12">
        <f>IF('Données projet'!$A$192&gt;35,EJ117+EI118-ER117,IF(A118&lt;'Données projet'!$A$192,$EG$205^A118,IF(A118='Données projet'!$A$192,'Données projet'!$B$192,EJ117+EI118-ER117)))</f>
        <v>295.40000000000009</v>
      </c>
      <c r="EK118" s="17">
        <f>EJ118*VLOOKUP('Données projet'!$B$15,Paramètres!$A$1:$I$89,3,0)*VLOOKUP('Données projet'!$B$15,Paramètres!$A$1:$I$89,5,0)</f>
        <v>281.10264000000006</v>
      </c>
      <c r="EL118" s="13">
        <f t="shared" si="99"/>
        <v>67.199975082239675</v>
      </c>
      <c r="EM118" s="20">
        <f t="shared" si="73"/>
        <v>606.62705460156758</v>
      </c>
      <c r="EN118" s="59">
        <f t="shared" si="74"/>
        <v>899.96038793490084</v>
      </c>
      <c r="EO118" s="59">
        <f ca="1">AVERAGE(OFFSET($EN$3,0,0,'Données projet'!$E$15+1,1))-AVERAGE(OFFSET($H$3,0,0,'Données projet'!$E$15+1,1))</f>
        <v>393.46715670823653</v>
      </c>
      <c r="EP118" s="59">
        <f t="shared" si="100"/>
        <v>266.16261355327214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549.43232095729741</v>
      </c>
      <c r="T119" s="59">
        <f t="shared" si="88"/>
        <v>280.26155987300996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2.2815532512749699</v>
      </c>
      <c r="AA119" s="21">
        <f>EXP(-LN(2)/25)*AA118+(1-EXP(-LN(2)/25))/(LN(2)/25)*Calculateur!V119*Calculateur!X119*VLOOKUP('Données projet'!$B$9,Paramètres!$A$1:$I$89,3,0)*0.475*44/12</f>
        <v>0.88067365980881873</v>
      </c>
      <c r="AB119" s="21">
        <f>EXP(-LN(2)/2)*AB118+(1-EXP(-LN(2)/2))/(LN(2)/2)*V119*Y119*VLOOKUP('Données projet'!$B$9,Paramètres!$A$1:$I$89,3,0)*0.475*44/12</f>
        <v>5.1218114566108862E-13</v>
      </c>
      <c r="AC119" s="22">
        <f t="shared" si="57"/>
        <v>3.1622269110843004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348.62416478262719</v>
      </c>
      <c r="AO119" s="59">
        <f t="shared" si="90"/>
        <v>371.70674704563288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2.4120281556124921</v>
      </c>
      <c r="AV119" s="21">
        <f>EXP(-LN(2)/25)*AV118+(1-EXP(-LN(2)/25))/(LN(2)/25)*Calculateur!AQ119*Calculateur!AS119*VLOOKUP('Données projet'!$B$10,Paramètres!$A$1:$I$89,3,0)*0.475*44/12</f>
        <v>1.1248675748411534</v>
      </c>
      <c r="AW119" s="21">
        <f>EXP(-LN(2)/2)*AW118+(1-EXP(-LN(2)/2))/(LN(2)/2)*AQ119*AT119*VLOOKUP('Données projet'!$B$10,Paramètres!$A$1:$I$89,3,0)*0.475*44/12</f>
        <v>1.4160326471114018E-12</v>
      </c>
      <c r="AX119" s="21">
        <f t="shared" si="60"/>
        <v>3.5368957304550617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405.7176439604217</v>
      </c>
      <c r="BJ119" s="59">
        <f t="shared" si="92"/>
        <v>278.21741231699929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1.3309178584848187</v>
      </c>
      <c r="BQ119" s="21">
        <f>EXP(-LN(2)/25)*BQ118+(1-EXP(-LN(2)/25))/(LN(2)/25)*Calculateur!BL119*Calculateur!BN119*VLOOKUP('Données projet'!$B$11,Paramètres!$A$1:$I$89,3,0)*0.475*44/12</f>
        <v>0.86288665180725332</v>
      </c>
      <c r="BR119" s="21">
        <f>EXP(-LN(2)/2)*BR118+(1-EXP(-LN(2)/2))/(LN(2)/2)*BL119*BO119*VLOOKUP('Données projet'!$B$11,Paramètres!$A$1:$I$89,3,0)*0.475*44/12</f>
        <v>9.7029812756519567E-13</v>
      </c>
      <c r="BS119" s="22">
        <f t="shared" si="63"/>
        <v>2.1938045102930421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1.9895196601282805E-13</v>
      </c>
      <c r="BZ119" s="13">
        <f>BY119*VLOOKUP('Données projet'!$B$12,Paramètres!$A$1:$I$89,3,0)*VLOOKUP('Données projet'!$B$12,Paramètres!$A$1:$I$89,5,0)</f>
        <v>1.738044375088066E-13</v>
      </c>
      <c r="CA119" s="13">
        <f t="shared" si="93"/>
        <v>2.4483293633950478E-12</v>
      </c>
      <c r="CB119" s="20">
        <f t="shared" si="64"/>
        <v>4.566883036574213E-12</v>
      </c>
      <c r="CC119" s="59">
        <f t="shared" si="65"/>
        <v>293.33333333333786</v>
      </c>
      <c r="CD119" s="59">
        <f ca="1">AVERAGE(OFFSET($CC$3,0,0,'Données projet'!$E$12+1,1))-AVERAGE(OFFSET($H$3,0,0,'Données projet'!$E$12+1,1))</f>
        <v>321.23599968992932</v>
      </c>
      <c r="CE119" s="59">
        <f t="shared" si="94"/>
        <v>388.05195847800502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0.66548329743154178</v>
      </c>
      <c r="CL119" s="21">
        <f>EXP(-LN(2)/25)*CL118+(1-EXP(-LN(2)/25))/(LN(2)/25)*Calculateur!CG119*Calculateur!CI119*VLOOKUP('Données projet'!$B$12,Paramètres!$A$1:$I$89,3,0)*0.475*44/12</f>
        <v>1.9441465362289385</v>
      </c>
      <c r="CM119" s="21">
        <f>EXP(-LN(2)/2)*CM118+(1-EXP(-LN(2)/2))/(LN(2)/2)*CG119*CJ119*VLOOKUP('Données projet'!$B$12,Paramètres!$A$1:$I$89,3,0)*0.475*44/12</f>
        <v>1.3713910179679022E-12</v>
      </c>
      <c r="CN119" s="22">
        <f t="shared" si="66"/>
        <v>2.6096298336618515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</v>
      </c>
      <c r="CT119" s="12">
        <f>IF('Données projet'!$A$140&gt;35,CT118+CS119-DB118,IF(A119&lt;'Données projet'!$A$140,$CQ$205^A119,IF(A119='Données projet'!$A$140,'Données projet'!$B$140,CT118+CS119-DB118)))</f>
        <v>302.2000000000001</v>
      </c>
      <c r="CU119" s="17">
        <f>CT119*VLOOKUP('Données projet'!$B$13,Paramètres!$A$1:$I$89,3,0)*VLOOKUP('Données projet'!$B$13,Paramètres!$A$1:$I$89,5,0)</f>
        <v>292.28784000000013</v>
      </c>
      <c r="CV119" s="13">
        <f t="shared" si="95"/>
        <v>69.557256114171707</v>
      </c>
      <c r="CW119" s="20">
        <f t="shared" si="67"/>
        <v>630.21354239884931</v>
      </c>
      <c r="CX119" s="59">
        <f t="shared" si="68"/>
        <v>923.54687573218257</v>
      </c>
      <c r="CY119" s="59">
        <f ca="1">AVERAGE(OFFSET($CX$3,0,0,'Données projet'!$E$13+1,1))-AVERAGE(OFFSET($H$3,0,0,'Données projet'!$E$13+1,1))</f>
        <v>399.24912109442175</v>
      </c>
      <c r="CZ119" s="59">
        <f t="shared" si="96"/>
        <v>269.83150082245305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6.8</v>
      </c>
      <c r="DO119" s="12">
        <f>IF('Données projet'!$A$166&gt;35,DO118+DN119-DW118,IF(A119&lt;'Données projet'!$A$166,$DL$205^A119,IF(A119='Données projet'!$A$166,'Données projet'!$B$166,DO118+DN119-DW118)))</f>
        <v>302.2000000000001</v>
      </c>
      <c r="DP119" s="17">
        <f>DO119*VLOOKUP('Données projet'!$B$14,Paramètres!$A$1:$I$89,3,0)*VLOOKUP('Données projet'!$B$14,Paramètres!$A$1:$I$89,5,0)</f>
        <v>325.28808000000009</v>
      </c>
      <c r="DQ119" s="13">
        <f t="shared" si="97"/>
        <v>76.452589776301224</v>
      </c>
      <c r="DR119" s="20">
        <f t="shared" si="70"/>
        <v>699.69833319372481</v>
      </c>
      <c r="DS119" s="59">
        <f t="shared" si="71"/>
        <v>993.03166652705818</v>
      </c>
      <c r="DT119" s="59">
        <f ca="1">AVERAGE(OFFSET($DS$3,0,0,'Données projet'!$E$14+1,1))-AVERAGE(OFFSET($H$3,0,0,'Données projet'!$E$14+1,1))</f>
        <v>439.66981240211362</v>
      </c>
      <c r="DU119" s="59">
        <f t="shared" si="98"/>
        <v>295.47805371292458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6.8</v>
      </c>
      <c r="EJ119" s="12">
        <f>IF('Données projet'!$A$192&gt;35,EJ118+EI119-ER118,IF(A119&lt;'Données projet'!$A$192,$EG$205^A119,IF(A119='Données projet'!$A$192,'Données projet'!$B$192,EJ118+EI119-ER118)))</f>
        <v>302.2000000000001</v>
      </c>
      <c r="EK119" s="17">
        <f>EJ119*VLOOKUP('Données projet'!$B$15,Paramètres!$A$1:$I$89,3,0)*VLOOKUP('Données projet'!$B$15,Paramètres!$A$1:$I$89,5,0)</f>
        <v>287.57352000000014</v>
      </c>
      <c r="EL119" s="13">
        <f t="shared" si="99"/>
        <v>68.565016846194794</v>
      </c>
      <c r="EM119" s="20">
        <f t="shared" si="73"/>
        <v>620.27461834045619</v>
      </c>
      <c r="EN119" s="59">
        <f t="shared" si="74"/>
        <v>913.60795167378956</v>
      </c>
      <c r="EO119" s="59">
        <f ca="1">AVERAGE(OFFSET($EN$3,0,0,'Données projet'!$E$15+1,1))-AVERAGE(OFFSET($H$3,0,0,'Données projet'!$E$15+1,1))</f>
        <v>393.46715670823653</v>
      </c>
      <c r="EP119" s="59">
        <f t="shared" si="100"/>
        <v>266.16261355327214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549.43232095729741</v>
      </c>
      <c r="T120" s="59">
        <f t="shared" si="88"/>
        <v>280.26155987300996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2.236813383627541</v>
      </c>
      <c r="AA120" s="21">
        <f>EXP(-LN(2)/25)*AA119+(1-EXP(-LN(2)/25))/(LN(2)/25)*Calculateur!V120*Calculateur!X120*VLOOKUP('Données projet'!$B$9,Paramètres!$A$1:$I$89,3,0)*0.475*44/12</f>
        <v>0.85659159226873161</v>
      </c>
      <c r="AB120" s="21">
        <f>EXP(-LN(2)/2)*AB119+(1-EXP(-LN(2)/2))/(LN(2)/2)*V120*Y120*VLOOKUP('Données projet'!$B$9,Paramètres!$A$1:$I$89,3,0)*0.475*44/12</f>
        <v>3.6216676129285062E-13</v>
      </c>
      <c r="AC120" s="22">
        <f t="shared" si="57"/>
        <v>3.0934049758966351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348.62416478262719</v>
      </c>
      <c r="AO120" s="59">
        <f t="shared" si="90"/>
        <v>371.70674704563288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2.3647297546728381</v>
      </c>
      <c r="AV120" s="21">
        <f>EXP(-LN(2)/25)*AV119+(1-EXP(-LN(2)/25))/(LN(2)/25)*Calculateur!AQ120*Calculateur!AS120*VLOOKUP('Données projet'!$B$10,Paramètres!$A$1:$I$89,3,0)*0.475*44/12</f>
        <v>1.0941080118529072</v>
      </c>
      <c r="AW120" s="21">
        <f>EXP(-LN(2)/2)*AW119+(1-EXP(-LN(2)/2))/(LN(2)/2)*AQ120*AT120*VLOOKUP('Données projet'!$B$10,Paramètres!$A$1:$I$89,3,0)*0.475*44/12</f>
        <v>1.0012862871540096E-12</v>
      </c>
      <c r="AX120" s="21">
        <f t="shared" si="60"/>
        <v>3.4588377665267465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405.7176439604217</v>
      </c>
      <c r="BJ120" s="59">
        <f t="shared" si="92"/>
        <v>278.21741231699929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1.3048193710596685</v>
      </c>
      <c r="BQ120" s="21">
        <f>EXP(-LN(2)/25)*BQ119+(1-EXP(-LN(2)/25))/(LN(2)/25)*Calculateur!BL120*Calculateur!BN120*VLOOKUP('Données projet'!$B$11,Paramètres!$A$1:$I$89,3,0)*0.475*44/12</f>
        <v>0.83929097093634708</v>
      </c>
      <c r="BR120" s="21">
        <f>EXP(-LN(2)/2)*BR119+(1-EXP(-LN(2)/2))/(LN(2)/2)*BL120*BO120*VLOOKUP('Données projet'!$B$11,Paramètres!$A$1:$I$89,3,0)*0.475*44/12</f>
        <v>6.861043857739596E-13</v>
      </c>
      <c r="BS120" s="22">
        <f t="shared" si="63"/>
        <v>2.1441103419967016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1.9895196601282805E-13</v>
      </c>
      <c r="BZ120" s="13">
        <f>BY120*VLOOKUP('Données projet'!$B$12,Paramètres!$A$1:$I$89,3,0)*VLOOKUP('Données projet'!$B$12,Paramètres!$A$1:$I$89,5,0)</f>
        <v>1.738044375088066E-13</v>
      </c>
      <c r="CA120" s="13">
        <f t="shared" si="93"/>
        <v>2.4483293633950478E-12</v>
      </c>
      <c r="CB120" s="20">
        <f t="shared" si="64"/>
        <v>4.566883036574213E-12</v>
      </c>
      <c r="CC120" s="59">
        <f t="shared" si="65"/>
        <v>293.33333333333786</v>
      </c>
      <c r="CD120" s="59">
        <f ca="1">AVERAGE(OFFSET($CC$3,0,0,'Données projet'!$E$12+1,1))-AVERAGE(OFFSET($H$3,0,0,'Données projet'!$E$12+1,1))</f>
        <v>321.23599968992932</v>
      </c>
      <c r="CE120" s="59">
        <f t="shared" si="94"/>
        <v>388.05195847800502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0.65243357587364093</v>
      </c>
      <c r="CL120" s="21">
        <f>EXP(-LN(2)/25)*CL119+(1-EXP(-LN(2)/25))/(LN(2)/25)*Calculateur!CG120*Calculateur!CI120*VLOOKUP('Données projet'!$B$12,Paramètres!$A$1:$I$89,3,0)*0.475*44/12</f>
        <v>1.8909837469575352</v>
      </c>
      <c r="CM120" s="21">
        <f>EXP(-LN(2)/2)*CM119+(1-EXP(-LN(2)/2))/(LN(2)/2)*CG120*CJ120*VLOOKUP('Données projet'!$B$12,Paramètres!$A$1:$I$89,3,0)*0.475*44/12</f>
        <v>9.6971988846342607E-13</v>
      </c>
      <c r="CN120" s="22">
        <f t="shared" si="66"/>
        <v>2.5434173228321462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>
        <f>VLOOKUP(A120,'Données projet'!$A$139:$I$159,2,0)</f>
        <v>309</v>
      </c>
      <c r="CR120" s="12">
        <f>VLOOKUP(A120,'Données projet'!$A$139:$I$159,9,0)</f>
        <v>6.8</v>
      </c>
      <c r="CS120" s="12">
        <f t="array" ref="CS120">INDEX(CR:CR,MIN(IF(ISNUMBER(CR120:CR316),ROW(CR120:CR316),"")))</f>
        <v>6.8</v>
      </c>
      <c r="CT120" s="12">
        <f>IF('Données projet'!$A$140&gt;35,CT119+CS120-DB119,IF(A120&lt;'Données projet'!$A$140,$CQ$205^A120,IF(A120='Données projet'!$A$140,'Données projet'!$B$140,CT119+CS120-DB119)))</f>
        <v>309.00000000000011</v>
      </c>
      <c r="CU120" s="17">
        <f>CT120*VLOOKUP('Données projet'!$B$13,Paramètres!$A$1:$I$89,3,0)*VLOOKUP('Données projet'!$B$13,Paramètres!$A$1:$I$89,5,0)</f>
        <v>298.86480000000012</v>
      </c>
      <c r="CV120" s="13">
        <f t="shared" si="95"/>
        <v>70.938429467840038</v>
      </c>
      <c r="CW120" s="20">
        <f t="shared" si="67"/>
        <v>644.07395798982145</v>
      </c>
      <c r="CX120" s="59">
        <f t="shared" si="68"/>
        <v>937.40729132315482</v>
      </c>
      <c r="CY120" s="59">
        <f ca="1">AVERAGE(OFFSET($CX$3,0,0,'Données projet'!$E$13+1,1))-AVERAGE(OFFSET($H$3,0,0,'Données projet'!$E$13+1,1))</f>
        <v>399.24912109442175</v>
      </c>
      <c r="CZ120" s="59">
        <f t="shared" si="96"/>
        <v>269.83150082245305</v>
      </c>
      <c r="DA120" s="15">
        <f>IF(ISNA(VLOOKUP(A120,'Données projet'!$A$139:$I$159,3,0)),0,VLOOKUP(A120,'Données projet'!$A$139:$I$159,3,0))</f>
        <v>11</v>
      </c>
      <c r="DB120" s="15">
        <f>IF(ISNA(VLOOKUP(A120,'Données projet'!$A$139:$I$159,4,0)),0,VLOOKUP(A120,'Données projet'!$A$139:$I$159,4,0))</f>
        <v>45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>
        <f>VLOOKUP(A120,'Données projet'!$A$165:$I$185,2,0)</f>
        <v>309</v>
      </c>
      <c r="DM120" s="12">
        <f>VLOOKUP(A120,'Données projet'!$A$165:$I$185,9,0)</f>
        <v>6.8</v>
      </c>
      <c r="DN120" s="12">
        <f t="array" ref="DN120">INDEX(DM:DM,MIN(IF(ISNUMBER(DM120:DM316),ROW(DM120:DM316),"")))</f>
        <v>6.8</v>
      </c>
      <c r="DO120" s="12">
        <f>IF('Données projet'!$A$166&gt;35,DO119+DN120-DW119,IF(A120&lt;'Données projet'!$A$166,$DL$205^A120,IF(A120='Données projet'!$A$166,'Données projet'!$B$166,DO119+DN120-DW119)))</f>
        <v>309.00000000000011</v>
      </c>
      <c r="DP120" s="17">
        <f>DO120*VLOOKUP('Données projet'!$B$14,Paramètres!$A$1:$I$89,3,0)*VLOOKUP('Données projet'!$B$14,Paramètres!$A$1:$I$89,5,0)</f>
        <v>332.6076000000001</v>
      </c>
      <c r="DQ120" s="13">
        <f t="shared" si="97"/>
        <v>77.97068128417547</v>
      </c>
      <c r="DR120" s="20">
        <f t="shared" si="70"/>
        <v>715.09050656993907</v>
      </c>
      <c r="DS120" s="59">
        <f t="shared" si="71"/>
        <v>1008.4238399032724</v>
      </c>
      <c r="DT120" s="59">
        <f ca="1">AVERAGE(OFFSET($DS$3,0,0,'Données projet'!$E$14+1,1))-AVERAGE(OFFSET($H$3,0,0,'Données projet'!$E$14+1,1))</f>
        <v>439.66981240211362</v>
      </c>
      <c r="DU120" s="59">
        <f t="shared" si="98"/>
        <v>295.47805371292458</v>
      </c>
      <c r="DV120" s="15">
        <f>IF(ISNA(VLOOKUP(A120,'Données projet'!$A$165:$I$185,3,0)),0,VLOOKUP(A120,'Données projet'!$A$165:$I$185,3,0))</f>
        <v>11</v>
      </c>
      <c r="DW120" s="15">
        <f>IF(ISNA(VLOOKUP(A120,'Données projet'!$A$165:$I$185,4,0)),0,VLOOKUP(A120,'Données projet'!$A$165:$I$185,4,0))</f>
        <v>45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>
        <f>VLOOKUP(A120,'Données projet'!$A$191:$I$211,2,0)</f>
        <v>309</v>
      </c>
      <c r="EH120" s="12">
        <f>VLOOKUP(A120,'Données projet'!$A$191:$I$211,9,0)</f>
        <v>6.8</v>
      </c>
      <c r="EI120" s="12">
        <f t="array" ref="EI120">INDEX(EH:EH,MIN(IF(ISNUMBER(EH120:EH316),ROW(EH120:EH316),"")))</f>
        <v>6.8</v>
      </c>
      <c r="EJ120" s="12">
        <f>IF('Données projet'!$A$192&gt;35,EJ119+EI120-ER119,IF(A120&lt;'Données projet'!$A$192,$EG$205^A120,IF(A120='Données projet'!$A$192,'Données projet'!$B$192,EJ119+EI120-ER119)))</f>
        <v>309.00000000000011</v>
      </c>
      <c r="EK120" s="17">
        <f>EJ120*VLOOKUP('Données projet'!$B$15,Paramètres!$A$1:$I$89,3,0)*VLOOKUP('Données projet'!$B$15,Paramètres!$A$1:$I$89,5,0)</f>
        <v>294.04440000000011</v>
      </c>
      <c r="EL120" s="13">
        <f t="shared" si="99"/>
        <v>69.926487662501046</v>
      </c>
      <c r="EM120" s="20">
        <f t="shared" si="73"/>
        <v>633.91596267885609</v>
      </c>
      <c r="EN120" s="59">
        <f t="shared" si="74"/>
        <v>927.24929601218946</v>
      </c>
      <c r="EO120" s="59">
        <f ca="1">AVERAGE(OFFSET($EN$3,0,0,'Données projet'!$E$15+1,1))-AVERAGE(OFFSET($H$3,0,0,'Données projet'!$E$15+1,1))</f>
        <v>393.46715670823653</v>
      </c>
      <c r="EP120" s="59">
        <f t="shared" si="100"/>
        <v>266.16261355327214</v>
      </c>
      <c r="EQ120" s="15">
        <f>IF(ISNA(VLOOKUP(A120,'Données projet'!$A$191:$I$211,3,0)),0,VLOOKUP(A120,'Données projet'!$A$191:$I$211,3,0))</f>
        <v>11</v>
      </c>
      <c r="ER120" s="15">
        <f>IF(ISNA(VLOOKUP(A120,'Données projet'!$A$191:$I$211,4,0)),0,VLOOKUP(A120,'Données projet'!$A$191:$I$211,4,0))</f>
        <v>45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549.43232095729741</v>
      </c>
      <c r="T121" s="59">
        <f t="shared" si="88"/>
        <v>280.26155987300996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2.1929508374960536</v>
      </c>
      <c r="AA121" s="21">
        <f>EXP(-LN(2)/25)*AA120+(1-EXP(-LN(2)/25))/(LN(2)/25)*Calculateur!V121*Calculateur!X121*VLOOKUP('Données projet'!$B$9,Paramètres!$A$1:$I$89,3,0)*0.475*44/12</f>
        <v>0.83316805013194906</v>
      </c>
      <c r="AB121" s="21">
        <f>EXP(-LN(2)/2)*AB120+(1-EXP(-LN(2)/2))/(LN(2)/2)*V121*Y121*VLOOKUP('Données projet'!$B$9,Paramètres!$A$1:$I$89,3,0)*0.475*44/12</f>
        <v>2.5609057283054431E-13</v>
      </c>
      <c r="AC121" s="22">
        <f t="shared" si="57"/>
        <v>3.0261188876282588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348.62416478262719</v>
      </c>
      <c r="AO121" s="59">
        <f t="shared" si="90"/>
        <v>371.70674704563288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2.3183588465264346</v>
      </c>
      <c r="AV121" s="21">
        <f>EXP(-LN(2)/25)*AV120+(1-EXP(-LN(2)/25))/(LN(2)/25)*Calculateur!AQ121*Calculateur!AS121*VLOOKUP('Données projet'!$B$10,Paramètres!$A$1:$I$89,3,0)*0.475*44/12</f>
        <v>1.0641895707321498</v>
      </c>
      <c r="AW121" s="21">
        <f>EXP(-LN(2)/2)*AW120+(1-EXP(-LN(2)/2))/(LN(2)/2)*AQ121*AT121*VLOOKUP('Données projet'!$B$10,Paramètres!$A$1:$I$89,3,0)*0.475*44/12</f>
        <v>7.0801632355570089E-13</v>
      </c>
      <c r="AX121" s="21">
        <f t="shared" si="60"/>
        <v>3.3825484172592923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405.7176439604217</v>
      </c>
      <c r="BJ121" s="59">
        <f t="shared" si="92"/>
        <v>278.21741231699929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1.2792326590544201</v>
      </c>
      <c r="BQ121" s="21">
        <f>EXP(-LN(2)/25)*BQ120+(1-EXP(-LN(2)/25))/(LN(2)/25)*Calculateur!BL121*Calculateur!BN121*VLOOKUP('Données projet'!$B$11,Paramètres!$A$1:$I$89,3,0)*0.475*44/12</f>
        <v>0.81634051519969875</v>
      </c>
      <c r="BR121" s="21">
        <f>EXP(-LN(2)/2)*BR120+(1-EXP(-LN(2)/2))/(LN(2)/2)*BL121*BO121*VLOOKUP('Données projet'!$B$11,Paramètres!$A$1:$I$89,3,0)*0.475*44/12</f>
        <v>4.8514906378259784E-13</v>
      </c>
      <c r="BS121" s="22">
        <f t="shared" si="63"/>
        <v>2.0955731742546035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1.9895196601282805E-13</v>
      </c>
      <c r="BZ121" s="13">
        <f>BY121*VLOOKUP('Données projet'!$B$12,Paramètres!$A$1:$I$89,3,0)*VLOOKUP('Données projet'!$B$12,Paramètres!$A$1:$I$89,5,0)</f>
        <v>1.738044375088066E-13</v>
      </c>
      <c r="CA121" s="13">
        <f t="shared" si="93"/>
        <v>2.4483293633950478E-12</v>
      </c>
      <c r="CB121" s="20">
        <f t="shared" si="64"/>
        <v>4.566883036574213E-12</v>
      </c>
      <c r="CC121" s="59">
        <f t="shared" si="65"/>
        <v>293.33333333333786</v>
      </c>
      <c r="CD121" s="59">
        <f ca="1">AVERAGE(OFFSET($CC$3,0,0,'Données projet'!$E$12+1,1))-AVERAGE(OFFSET($H$3,0,0,'Données projet'!$E$12+1,1))</f>
        <v>321.23599968992932</v>
      </c>
      <c r="CE121" s="59">
        <f t="shared" si="94"/>
        <v>388.05195847800502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0.63963975139594631</v>
      </c>
      <c r="CL121" s="21">
        <f>EXP(-LN(2)/25)*CL120+(1-EXP(-LN(2)/25))/(LN(2)/25)*Calculateur!CG121*Calculateur!CI121*VLOOKUP('Données projet'!$B$12,Paramètres!$A$1:$I$89,3,0)*0.475*44/12</f>
        <v>1.839274696954468</v>
      </c>
      <c r="CM121" s="21">
        <f>EXP(-LN(2)/2)*CM120+(1-EXP(-LN(2)/2))/(LN(2)/2)*CG121*CJ121*VLOOKUP('Données projet'!$B$12,Paramètres!$A$1:$I$89,3,0)*0.475*44/12</f>
        <v>6.856955089839511E-13</v>
      </c>
      <c r="CN121" s="22">
        <f t="shared" si="66"/>
        <v>2.4789144483510999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6.083333333333333</v>
      </c>
      <c r="CT121" s="12">
        <f>IF('Données projet'!$A$140&gt;35,CT120+CS121-DB120,IF(A121&lt;'Données projet'!$A$140,$CQ$205^A121,IF(A121='Données projet'!$A$140,'Données projet'!$B$140,CT120+CS121-DB120)))</f>
        <v>270.08333333333343</v>
      </c>
      <c r="CU121" s="17">
        <f>CT121*VLOOKUP('Données projet'!$B$13,Paramètres!$A$1:$I$89,3,0)*VLOOKUP('Données projet'!$B$13,Paramètres!$A$1:$I$89,5,0)</f>
        <v>261.22460000000007</v>
      </c>
      <c r="CV121" s="13">
        <f t="shared" si="95"/>
        <v>62.983341758563071</v>
      </c>
      <c r="CW121" s="20">
        <f t="shared" si="67"/>
        <v>564.66216522949742</v>
      </c>
      <c r="CX121" s="59">
        <f t="shared" si="68"/>
        <v>857.99549856283079</v>
      </c>
      <c r="CY121" s="59">
        <f ca="1">AVERAGE(OFFSET($CX$3,0,0,'Données projet'!$E$13+1,1))-AVERAGE(OFFSET($H$3,0,0,'Données projet'!$E$13+1,1))</f>
        <v>399.24912109442175</v>
      </c>
      <c r="CZ121" s="59">
        <f t="shared" si="96"/>
        <v>269.83150082245305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6.083333333333333</v>
      </c>
      <c r="DO121" s="12">
        <f>IF('Données projet'!$A$166&gt;35,DO120+DN121-DW120,IF(A121&lt;'Données projet'!$A$166,$DL$205^A121,IF(A121='Données projet'!$A$166,'Données projet'!$B$166,DO120+DN121-DW120)))</f>
        <v>270.08333333333343</v>
      </c>
      <c r="DP121" s="17">
        <f>DO121*VLOOKUP('Données projet'!$B$14,Paramètres!$A$1:$I$89,3,0)*VLOOKUP('Données projet'!$B$14,Paramètres!$A$1:$I$89,5,0)</f>
        <v>290.71770000000009</v>
      </c>
      <c r="DQ121" s="13">
        <f t="shared" si="97"/>
        <v>69.226991678686062</v>
      </c>
      <c r="DR121" s="20">
        <f t="shared" si="70"/>
        <v>626.90367134037831</v>
      </c>
      <c r="DS121" s="59">
        <f t="shared" si="71"/>
        <v>920.23700467371168</v>
      </c>
      <c r="DT121" s="59">
        <f ca="1">AVERAGE(OFFSET($DS$3,0,0,'Données projet'!$E$14+1,1))-AVERAGE(OFFSET($H$3,0,0,'Données projet'!$E$14+1,1))</f>
        <v>439.66981240211362</v>
      </c>
      <c r="DU121" s="59">
        <f t="shared" si="98"/>
        <v>295.47805371292458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6.083333333333333</v>
      </c>
      <c r="EJ121" s="12">
        <f>IF('Données projet'!$A$192&gt;35,EJ120+EI121-ER120,IF(A121&lt;'Données projet'!$A$192,$EG$205^A121,IF(A121='Données projet'!$A$192,'Données projet'!$B$192,EJ120+EI121-ER120)))</f>
        <v>270.08333333333343</v>
      </c>
      <c r="EK121" s="17">
        <f>EJ121*VLOOKUP('Données projet'!$B$15,Paramètres!$A$1:$I$89,3,0)*VLOOKUP('Données projet'!$B$15,Paramètres!$A$1:$I$89,5,0)</f>
        <v>257.01130000000012</v>
      </c>
      <c r="EL121" s="13">
        <f t="shared" si="99"/>
        <v>62.08487985232172</v>
      </c>
      <c r="EM121" s="20">
        <f t="shared" si="73"/>
        <v>555.7591799094605</v>
      </c>
      <c r="EN121" s="59">
        <f t="shared" si="74"/>
        <v>849.09251324279376</v>
      </c>
      <c r="EO121" s="59">
        <f ca="1">AVERAGE(OFFSET($EN$3,0,0,'Données projet'!$E$15+1,1))-AVERAGE(OFFSET($H$3,0,0,'Données projet'!$E$15+1,1))</f>
        <v>393.46715670823653</v>
      </c>
      <c r="EP121" s="59">
        <f t="shared" si="100"/>
        <v>266.16261355327214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549.43232095729741</v>
      </c>
      <c r="T122" s="59">
        <f t="shared" si="88"/>
        <v>280.26155987300996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2.1499484091406931</v>
      </c>
      <c r="AA122" s="21">
        <f>EXP(-LN(2)/25)*AA121+(1-EXP(-LN(2)/25))/(LN(2)/25)*Calculateur!V122*Calculateur!X122*VLOOKUP('Données projet'!$B$9,Paramètres!$A$1:$I$89,3,0)*0.475*44/12</f>
        <v>0.81038502598668738</v>
      </c>
      <c r="AB122" s="21">
        <f>EXP(-LN(2)/2)*AB121+(1-EXP(-LN(2)/2))/(LN(2)/2)*V122*Y122*VLOOKUP('Données projet'!$B$9,Paramètres!$A$1:$I$89,3,0)*0.475*44/12</f>
        <v>1.8108338064642531E-13</v>
      </c>
      <c r="AC122" s="22">
        <f t="shared" si="57"/>
        <v>2.9603334351275619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348.62416478262719</v>
      </c>
      <c r="AO122" s="59">
        <f t="shared" si="90"/>
        <v>371.70674704563288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2.2728972436053207</v>
      </c>
      <c r="AV122" s="21">
        <f>EXP(-LN(2)/25)*AV121+(1-EXP(-LN(2)/25))/(LN(2)/25)*Calculateur!AQ122*Calculateur!AS122*VLOOKUP('Données projet'!$B$10,Paramètres!$A$1:$I$89,3,0)*0.475*44/12</f>
        <v>1.0350892509571819</v>
      </c>
      <c r="AW122" s="21">
        <f>EXP(-LN(2)/2)*AW121+(1-EXP(-LN(2)/2))/(LN(2)/2)*AQ122*AT122*VLOOKUP('Données projet'!$B$10,Paramètres!$A$1:$I$89,3,0)*0.475*44/12</f>
        <v>5.0064314357700482E-13</v>
      </c>
      <c r="AX122" s="21">
        <f t="shared" si="60"/>
        <v>3.3079864945630031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405.7176439604217</v>
      </c>
      <c r="BJ122" s="59">
        <f t="shared" si="92"/>
        <v>278.21741231699929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1.2541476868652413</v>
      </c>
      <c r="BQ122" s="21">
        <f>EXP(-LN(2)/25)*BQ121+(1-EXP(-LN(2)/25))/(LN(2)/25)*Calculateur!BL122*Calculateur!BN122*VLOOKUP('Données projet'!$B$11,Paramètres!$A$1:$I$89,3,0)*0.475*44/12</f>
        <v>0.79401764088208104</v>
      </c>
      <c r="BR122" s="21">
        <f>EXP(-LN(2)/2)*BR121+(1-EXP(-LN(2)/2))/(LN(2)/2)*BL122*BO122*VLOOKUP('Données projet'!$B$11,Paramètres!$A$1:$I$89,3,0)*0.475*44/12</f>
        <v>3.430521928869798E-13</v>
      </c>
      <c r="BS122" s="22">
        <f t="shared" si="63"/>
        <v>2.048165327747665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1.9895196601282805E-13</v>
      </c>
      <c r="BZ122" s="13">
        <f>BY122*VLOOKUP('Données projet'!$B$12,Paramètres!$A$1:$I$89,3,0)*VLOOKUP('Données projet'!$B$12,Paramètres!$A$1:$I$89,5,0)</f>
        <v>1.738044375088066E-13</v>
      </c>
      <c r="CA122" s="13">
        <f t="shared" si="93"/>
        <v>2.4483293633950478E-12</v>
      </c>
      <c r="CB122" s="20">
        <f t="shared" si="64"/>
        <v>4.566883036574213E-12</v>
      </c>
      <c r="CC122" s="59">
        <f t="shared" si="65"/>
        <v>293.33333333333786</v>
      </c>
      <c r="CD122" s="59">
        <f ca="1">AVERAGE(OFFSET($CC$3,0,0,'Données projet'!$E$12+1,1))-AVERAGE(OFFSET($H$3,0,0,'Données projet'!$E$12+1,1))</f>
        <v>321.23599968992932</v>
      </c>
      <c r="CE122" s="59">
        <f t="shared" si="94"/>
        <v>388.05195847800502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0.62709680601279683</v>
      </c>
      <c r="CL122" s="21">
        <f>EXP(-LN(2)/25)*CL121+(1-EXP(-LN(2)/25))/(LN(2)/25)*Calculateur!CG122*Calculateur!CI122*VLOOKUP('Données projet'!$B$12,Paramètres!$A$1:$I$89,3,0)*0.475*44/12</f>
        <v>1.7889796336429955</v>
      </c>
      <c r="CM122" s="21">
        <f>EXP(-LN(2)/2)*CM121+(1-EXP(-LN(2)/2))/(LN(2)/2)*CG122*CJ122*VLOOKUP('Données projet'!$B$12,Paramètres!$A$1:$I$89,3,0)*0.475*44/12</f>
        <v>4.8485994423171304E-13</v>
      </c>
      <c r="CN122" s="22">
        <f t="shared" si="66"/>
        <v>2.4160764396562771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6.083333333333333</v>
      </c>
      <c r="CT122" s="12">
        <f>IF('Données projet'!$A$140&gt;35,CT121+CS122-DB121,IF(A122&lt;'Données projet'!$A$140,$CQ$205^A122,IF(A122='Données projet'!$A$140,'Données projet'!$B$140,CT121+CS122-DB121)))</f>
        <v>276.16666666666674</v>
      </c>
      <c r="CU122" s="17">
        <f>CT122*VLOOKUP('Données projet'!$B$13,Paramètres!$A$1:$I$89,3,0)*VLOOKUP('Données projet'!$B$13,Paramètres!$A$1:$I$89,5,0)</f>
        <v>267.10840000000007</v>
      </c>
      <c r="CV122" s="13">
        <f t="shared" si="95"/>
        <v>64.235214754537097</v>
      </c>
      <c r="CW122" s="20">
        <f t="shared" si="67"/>
        <v>577.09012903081884</v>
      </c>
      <c r="CX122" s="59">
        <f t="shared" si="68"/>
        <v>870.4234623641521</v>
      </c>
      <c r="CY122" s="59">
        <f ca="1">AVERAGE(OFFSET($CX$3,0,0,'Données projet'!$E$13+1,1))-AVERAGE(OFFSET($H$3,0,0,'Données projet'!$E$13+1,1))</f>
        <v>399.24912109442175</v>
      </c>
      <c r="CZ122" s="59">
        <f t="shared" si="96"/>
        <v>269.83150082245305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6.083333333333333</v>
      </c>
      <c r="DO122" s="12">
        <f>IF('Données projet'!$A$166&gt;35,DO121+DN122-DW121,IF(A122&lt;'Données projet'!$A$166,$DL$205^A122,IF(A122='Données projet'!$A$166,'Données projet'!$B$166,DO121+DN122-DW121)))</f>
        <v>276.16666666666674</v>
      </c>
      <c r="DP122" s="17">
        <f>DO122*VLOOKUP('Données projet'!$B$14,Paramètres!$A$1:$I$89,3,0)*VLOOKUP('Données projet'!$B$14,Paramètres!$A$1:$I$89,5,0)</f>
        <v>297.26580000000007</v>
      </c>
      <c r="DQ122" s="13">
        <f t="shared" si="97"/>
        <v>70.602965056016231</v>
      </c>
      <c r="DR122" s="20">
        <f t="shared" si="70"/>
        <v>640.70476580589502</v>
      </c>
      <c r="DS122" s="59">
        <f t="shared" si="71"/>
        <v>934.03809913922828</v>
      </c>
      <c r="DT122" s="59">
        <f ca="1">AVERAGE(OFFSET($DS$3,0,0,'Données projet'!$E$14+1,1))-AVERAGE(OFFSET($H$3,0,0,'Données projet'!$E$14+1,1))</f>
        <v>439.66981240211362</v>
      </c>
      <c r="DU122" s="59">
        <f t="shared" si="98"/>
        <v>295.47805371292458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6.083333333333333</v>
      </c>
      <c r="EJ122" s="12">
        <f>IF('Données projet'!$A$192&gt;35,EJ121+EI122-ER121,IF(A122&lt;'Données projet'!$A$192,$EG$205^A122,IF(A122='Données projet'!$A$192,'Données projet'!$B$192,EJ121+EI122-ER121)))</f>
        <v>276.16666666666674</v>
      </c>
      <c r="EK122" s="17">
        <f>EJ122*VLOOKUP('Données projet'!$B$15,Paramètres!$A$1:$I$89,3,0)*VLOOKUP('Données projet'!$B$15,Paramètres!$A$1:$I$89,5,0)</f>
        <v>262.80020000000007</v>
      </c>
      <c r="EL122" s="13">
        <f t="shared" si="99"/>
        <v>63.318894789848379</v>
      </c>
      <c r="EM122" s="20">
        <f t="shared" si="73"/>
        <v>567.99075675898609</v>
      </c>
      <c r="EN122" s="59">
        <f t="shared" si="74"/>
        <v>861.32409009231947</v>
      </c>
      <c r="EO122" s="59">
        <f ca="1">AVERAGE(OFFSET($EN$3,0,0,'Données projet'!$E$15+1,1))-AVERAGE(OFFSET($H$3,0,0,'Données projet'!$E$15+1,1))</f>
        <v>393.46715670823653</v>
      </c>
      <c r="EP122" s="59">
        <f t="shared" si="100"/>
        <v>266.16261355327214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549.43232095729741</v>
      </c>
      <c r="T123" s="59">
        <f t="shared" si="88"/>
        <v>280.26155987300996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2.1077892321764895</v>
      </c>
      <c r="AA123" s="21">
        <f>EXP(-LN(2)/25)*AA122+(1-EXP(-LN(2)/25))/(LN(2)/25)*Calculateur!V123*Calculateur!X123*VLOOKUP('Données projet'!$B$9,Paramètres!$A$1:$I$89,3,0)*0.475*44/12</f>
        <v>0.78822500483478508</v>
      </c>
      <c r="AB123" s="21">
        <f>EXP(-LN(2)/2)*AB122+(1-EXP(-LN(2)/2))/(LN(2)/2)*V123*Y123*VLOOKUP('Données projet'!$B$9,Paramètres!$A$1:$I$89,3,0)*0.475*44/12</f>
        <v>1.2804528641527216E-13</v>
      </c>
      <c r="AC123" s="22">
        <f t="shared" si="57"/>
        <v>2.8960142370114026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348.62416478262719</v>
      </c>
      <c r="AO123" s="59">
        <f t="shared" si="90"/>
        <v>371.70674704563288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2.2283271149886503</v>
      </c>
      <c r="AV123" s="21">
        <f>EXP(-LN(2)/25)*AV122+(1-EXP(-LN(2)/25))/(LN(2)/25)*Calculateur!AQ123*Calculateur!AS123*VLOOKUP('Données projet'!$B$10,Paramètres!$A$1:$I$89,3,0)*0.475*44/12</f>
        <v>1.0067846809567798</v>
      </c>
      <c r="AW123" s="21">
        <f>EXP(-LN(2)/2)*AW122+(1-EXP(-LN(2)/2))/(LN(2)/2)*AQ123*AT123*VLOOKUP('Données projet'!$B$10,Paramètres!$A$1:$I$89,3,0)*0.475*44/12</f>
        <v>3.5400816177785045E-13</v>
      </c>
      <c r="AX123" s="21">
        <f t="shared" si="60"/>
        <v>3.2351117959457842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405.7176439604217</v>
      </c>
      <c r="BJ123" s="59">
        <f t="shared" si="92"/>
        <v>278.21741231699929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1.2295546156803698</v>
      </c>
      <c r="BQ123" s="21">
        <f>EXP(-LN(2)/25)*BQ122+(1-EXP(-LN(2)/25))/(LN(2)/25)*Calculateur!BL123*Calculateur!BN123*VLOOKUP('Données projet'!$B$11,Paramètres!$A$1:$I$89,3,0)*0.475*44/12</f>
        <v>0.77230518673658755</v>
      </c>
      <c r="BR123" s="21">
        <f>EXP(-LN(2)/2)*BR122+(1-EXP(-LN(2)/2))/(LN(2)/2)*BL123*BO123*VLOOKUP('Données projet'!$B$11,Paramètres!$A$1:$I$89,3,0)*0.475*44/12</f>
        <v>2.4257453189129892E-13</v>
      </c>
      <c r="BS123" s="22">
        <f t="shared" si="63"/>
        <v>2.0018598024171999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1.9895196601282805E-13</v>
      </c>
      <c r="BZ123" s="13">
        <f>BY123*VLOOKUP('Données projet'!$B$12,Paramètres!$A$1:$I$89,3,0)*VLOOKUP('Données projet'!$B$12,Paramètres!$A$1:$I$89,5,0)</f>
        <v>1.738044375088066E-13</v>
      </c>
      <c r="CA123" s="13">
        <f t="shared" si="93"/>
        <v>2.4483293633950478E-12</v>
      </c>
      <c r="CB123" s="20">
        <f t="shared" si="64"/>
        <v>4.566883036574213E-12</v>
      </c>
      <c r="CC123" s="59">
        <f t="shared" si="65"/>
        <v>293.33333333333786</v>
      </c>
      <c r="CD123" s="59">
        <f ca="1">AVERAGE(OFFSET($CC$3,0,0,'Données projet'!$E$12+1,1))-AVERAGE(OFFSET($H$3,0,0,'Données projet'!$E$12+1,1))</f>
        <v>321.23599968992932</v>
      </c>
      <c r="CE123" s="59">
        <f t="shared" si="94"/>
        <v>388.05195847800502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0.61479982013816969</v>
      </c>
      <c r="CL123" s="21">
        <f>EXP(-LN(2)/25)*CL122+(1-EXP(-LN(2)/25))/(LN(2)/25)*Calculateur!CG123*Calculateur!CI123*VLOOKUP('Données projet'!$B$12,Paramètres!$A$1:$I$89,3,0)*0.475*44/12</f>
        <v>1.7400598914826777</v>
      </c>
      <c r="CM123" s="21">
        <f>EXP(-LN(2)/2)*CM122+(1-EXP(-LN(2)/2))/(LN(2)/2)*CG123*CJ123*VLOOKUP('Données projet'!$B$12,Paramètres!$A$1:$I$89,3,0)*0.475*44/12</f>
        <v>3.4284775449197555E-13</v>
      </c>
      <c r="CN123" s="22">
        <f t="shared" si="66"/>
        <v>2.3548597116211902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6.083333333333333</v>
      </c>
      <c r="CT123" s="12">
        <f>IF('Données projet'!$A$140&gt;35,CT122+CS123-DB122,IF(A123&lt;'Données projet'!$A$140,$CQ$205^A123,IF(A123='Données projet'!$A$140,'Données projet'!$B$140,CT122+CS123-DB122)))</f>
        <v>282.25000000000006</v>
      </c>
      <c r="CU123" s="17">
        <f>CT123*VLOOKUP('Données projet'!$B$13,Paramètres!$A$1:$I$89,3,0)*VLOOKUP('Données projet'!$B$13,Paramètres!$A$1:$I$89,5,0)</f>
        <v>272.99220000000008</v>
      </c>
      <c r="CV123" s="13">
        <f t="shared" si="95"/>
        <v>65.483881746374806</v>
      </c>
      <c r="CW123" s="20">
        <f t="shared" si="67"/>
        <v>589.51250904160293</v>
      </c>
      <c r="CX123" s="59">
        <f t="shared" si="68"/>
        <v>882.84584237493618</v>
      </c>
      <c r="CY123" s="59">
        <f ca="1">AVERAGE(OFFSET($CX$3,0,0,'Données projet'!$E$13+1,1))-AVERAGE(OFFSET($H$3,0,0,'Données projet'!$E$13+1,1))</f>
        <v>399.24912109442175</v>
      </c>
      <c r="CZ123" s="59">
        <f t="shared" si="96"/>
        <v>269.83150082245305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6.083333333333333</v>
      </c>
      <c r="DO123" s="12">
        <f>IF('Données projet'!$A$166&gt;35,DO122+DN123-DW122,IF(A123&lt;'Données projet'!$A$166,$DL$205^A123,IF(A123='Données projet'!$A$166,'Données projet'!$B$166,DO122+DN123-DW122)))</f>
        <v>282.25000000000006</v>
      </c>
      <c r="DP123" s="17">
        <f>DO123*VLOOKUP('Données projet'!$B$14,Paramètres!$A$1:$I$89,3,0)*VLOOKUP('Données projet'!$B$14,Paramètres!$A$1:$I$89,5,0)</f>
        <v>303.81390000000005</v>
      </c>
      <c r="DQ123" s="13">
        <f t="shared" si="97"/>
        <v>71.975414612356929</v>
      </c>
      <c r="DR123" s="20">
        <f t="shared" si="70"/>
        <v>654.49972294985503</v>
      </c>
      <c r="DS123" s="59">
        <f t="shared" si="71"/>
        <v>947.8330562831884</v>
      </c>
      <c r="DT123" s="59">
        <f ca="1">AVERAGE(OFFSET($DS$3,0,0,'Données projet'!$E$14+1,1))-AVERAGE(OFFSET($H$3,0,0,'Données projet'!$E$14+1,1))</f>
        <v>439.66981240211362</v>
      </c>
      <c r="DU123" s="59">
        <f t="shared" si="98"/>
        <v>295.47805371292458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6.083333333333333</v>
      </c>
      <c r="EJ123" s="12">
        <f>IF('Données projet'!$A$192&gt;35,EJ122+EI123-ER122,IF(A123&lt;'Données projet'!$A$192,$EG$205^A123,IF(A123='Données projet'!$A$192,'Données projet'!$B$192,EJ122+EI123-ER122)))</f>
        <v>282.25000000000006</v>
      </c>
      <c r="EK123" s="17">
        <f>EJ123*VLOOKUP('Données projet'!$B$15,Paramètres!$A$1:$I$89,3,0)*VLOOKUP('Données projet'!$B$15,Paramètres!$A$1:$I$89,5,0)</f>
        <v>268.58910000000009</v>
      </c>
      <c r="EL123" s="13">
        <f t="shared" si="99"/>
        <v>64.549749457118622</v>
      </c>
      <c r="EM123" s="20">
        <f t="shared" si="73"/>
        <v>580.21682947114834</v>
      </c>
      <c r="EN123" s="59">
        <f t="shared" si="74"/>
        <v>873.55016280448172</v>
      </c>
      <c r="EO123" s="59">
        <f ca="1">AVERAGE(OFFSET($EN$3,0,0,'Données projet'!$E$15+1,1))-AVERAGE(OFFSET($H$3,0,0,'Données projet'!$E$15+1,1))</f>
        <v>393.46715670823653</v>
      </c>
      <c r="EP123" s="59">
        <f t="shared" si="100"/>
        <v>266.16261355327214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549.43232095729741</v>
      </c>
      <c r="T124" s="59">
        <f t="shared" si="88"/>
        <v>280.26155987300996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2.0664567709579953</v>
      </c>
      <c r="AA124" s="21">
        <f>EXP(-LN(2)/25)*AA123+(1-EXP(-LN(2)/25))/(LN(2)/25)*Calculateur!V124*Calculateur!X124*VLOOKUP('Données projet'!$B$9,Paramètres!$A$1:$I$89,3,0)*0.475*44/12</f>
        <v>0.76667095062662638</v>
      </c>
      <c r="AB124" s="21">
        <f>EXP(-LN(2)/2)*AB123+(1-EXP(-LN(2)/2))/(LN(2)/2)*V124*Y124*VLOOKUP('Données projet'!$B$9,Paramètres!$A$1:$I$89,3,0)*0.475*44/12</f>
        <v>9.0541690323212655E-14</v>
      </c>
      <c r="AC124" s="22">
        <f t="shared" si="57"/>
        <v>2.8331277215847122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348.62416478262719</v>
      </c>
      <c r="AO124" s="59">
        <f t="shared" si="90"/>
        <v>371.70674704563288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2.1846309794090586</v>
      </c>
      <c r="AV124" s="21">
        <f>EXP(-LN(2)/25)*AV123+(1-EXP(-LN(2)/25))/(LN(2)/25)*Calculateur!AQ124*Calculateur!AS124*VLOOKUP('Données projet'!$B$10,Paramètres!$A$1:$I$89,3,0)*0.475*44/12</f>
        <v>0.97925410091151133</v>
      </c>
      <c r="AW124" s="21">
        <f>EXP(-LN(2)/2)*AW123+(1-EXP(-LN(2)/2))/(LN(2)/2)*AQ124*AT124*VLOOKUP('Données projet'!$B$10,Paramètres!$A$1:$I$89,3,0)*0.475*44/12</f>
        <v>2.5032157178850241E-13</v>
      </c>
      <c r="AX124" s="21">
        <f t="shared" si="60"/>
        <v>3.1638850803208203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405.7176439604217</v>
      </c>
      <c r="BJ124" s="59">
        <f t="shared" si="92"/>
        <v>278.21741231699929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1.2054437996211416</v>
      </c>
      <c r="BQ124" s="21">
        <f>EXP(-LN(2)/25)*BQ123+(1-EXP(-LN(2)/25))/(LN(2)/25)*Calculateur!BL124*Calculateur!BN124*VLOOKUP('Données projet'!$B$11,Paramètres!$A$1:$I$89,3,0)*0.475*44/12</f>
        <v>0.75118646079151097</v>
      </c>
      <c r="BR124" s="21">
        <f>EXP(-LN(2)/2)*BR123+(1-EXP(-LN(2)/2))/(LN(2)/2)*BL124*BO124*VLOOKUP('Données projet'!$B$11,Paramètres!$A$1:$I$89,3,0)*0.475*44/12</f>
        <v>1.715260964434899E-13</v>
      </c>
      <c r="BS124" s="22">
        <f t="shared" si="63"/>
        <v>1.9566302604128238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1.9895196601282805E-13</v>
      </c>
      <c r="BZ124" s="13">
        <f>BY124*VLOOKUP('Données projet'!$B$12,Paramètres!$A$1:$I$89,3,0)*VLOOKUP('Données projet'!$B$12,Paramètres!$A$1:$I$89,5,0)</f>
        <v>1.738044375088066E-13</v>
      </c>
      <c r="CA124" s="13">
        <f t="shared" si="93"/>
        <v>2.4483293633950478E-12</v>
      </c>
      <c r="CB124" s="20">
        <f t="shared" si="64"/>
        <v>4.566883036574213E-12</v>
      </c>
      <c r="CC124" s="59">
        <f t="shared" si="65"/>
        <v>293.33333333333786</v>
      </c>
      <c r="CD124" s="59">
        <f ca="1">AVERAGE(OFFSET($CC$3,0,0,'Données projet'!$E$12+1,1))-AVERAGE(OFFSET($H$3,0,0,'Données projet'!$E$12+1,1))</f>
        <v>321.23599968992932</v>
      </c>
      <c r="CE124" s="59">
        <f t="shared" si="94"/>
        <v>388.05195847800502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0.60274397065612317</v>
      </c>
      <c r="CL124" s="21">
        <f>EXP(-LN(2)/25)*CL123+(1-EXP(-LN(2)/25))/(LN(2)/25)*Calculateur!CG124*Calculateur!CI124*VLOOKUP('Données projet'!$B$12,Paramètres!$A$1:$I$89,3,0)*0.475*44/12</f>
        <v>1.6924778622443111</v>
      </c>
      <c r="CM124" s="21">
        <f>EXP(-LN(2)/2)*CM123+(1-EXP(-LN(2)/2))/(LN(2)/2)*CG124*CJ124*VLOOKUP('Données projet'!$B$12,Paramètres!$A$1:$I$89,3,0)*0.475*44/12</f>
        <v>2.4242997211585652E-13</v>
      </c>
      <c r="CN124" s="22">
        <f t="shared" si="66"/>
        <v>2.2952218329006766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6.083333333333333</v>
      </c>
      <c r="CT124" s="12">
        <f>IF('Données projet'!$A$140&gt;35,CT123+CS124-DB123,IF(A124&lt;'Données projet'!$A$140,$CQ$205^A124,IF(A124='Données projet'!$A$140,'Données projet'!$B$140,CT123+CS124-DB123)))</f>
        <v>288.33333333333337</v>
      </c>
      <c r="CU124" s="17">
        <f>CT124*VLOOKUP('Données projet'!$B$13,Paramètres!$A$1:$I$89,3,0)*VLOOKUP('Données projet'!$B$13,Paramètres!$A$1:$I$89,5,0)</f>
        <v>278.87600000000003</v>
      </c>
      <c r="CV124" s="13">
        <f t="shared" si="95"/>
        <v>66.729419791560531</v>
      </c>
      <c r="CW124" s="20">
        <f t="shared" si="67"/>
        <v>601.92943947030119</v>
      </c>
      <c r="CX124" s="59">
        <f t="shared" si="68"/>
        <v>895.26277280363456</v>
      </c>
      <c r="CY124" s="59">
        <f ca="1">AVERAGE(OFFSET($CX$3,0,0,'Données projet'!$E$13+1,1))-AVERAGE(OFFSET($H$3,0,0,'Données projet'!$E$13+1,1))</f>
        <v>399.24912109442175</v>
      </c>
      <c r="CZ124" s="59">
        <f t="shared" si="96"/>
        <v>269.83150082245305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6.083333333333333</v>
      </c>
      <c r="DO124" s="12">
        <f>IF('Données projet'!$A$166&gt;35,DO123+DN124-DW123,IF(A124&lt;'Données projet'!$A$166,$DL$205^A124,IF(A124='Données projet'!$A$166,'Données projet'!$B$166,DO123+DN124-DW123)))</f>
        <v>288.33333333333337</v>
      </c>
      <c r="DP124" s="17">
        <f>DO124*VLOOKUP('Données projet'!$B$14,Paramètres!$A$1:$I$89,3,0)*VLOOKUP('Données projet'!$B$14,Paramètres!$A$1:$I$89,5,0)</f>
        <v>310.36200000000002</v>
      </c>
      <c r="DQ124" s="13">
        <f t="shared" si="97"/>
        <v>73.344425044037251</v>
      </c>
      <c r="DR124" s="20">
        <f t="shared" si="70"/>
        <v>668.28869028503152</v>
      </c>
      <c r="DS124" s="59">
        <f t="shared" si="71"/>
        <v>961.62202361836489</v>
      </c>
      <c r="DT124" s="59">
        <f ca="1">AVERAGE(OFFSET($DS$3,0,0,'Données projet'!$E$14+1,1))-AVERAGE(OFFSET($H$3,0,0,'Données projet'!$E$14+1,1))</f>
        <v>439.66981240211362</v>
      </c>
      <c r="DU124" s="59">
        <f t="shared" si="98"/>
        <v>295.47805371292458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6.083333333333333</v>
      </c>
      <c r="EJ124" s="12">
        <f>IF('Données projet'!$A$192&gt;35,EJ123+EI124-ER123,IF(A124&lt;'Données projet'!$A$192,$EG$205^A124,IF(A124='Données projet'!$A$192,'Données projet'!$B$192,EJ123+EI124-ER123)))</f>
        <v>288.33333333333337</v>
      </c>
      <c r="EK124" s="17">
        <f>EJ124*VLOOKUP('Données projet'!$B$15,Paramètres!$A$1:$I$89,3,0)*VLOOKUP('Données projet'!$B$15,Paramètres!$A$1:$I$89,5,0)</f>
        <v>274.37800000000004</v>
      </c>
      <c r="EL124" s="13">
        <f t="shared" si="99"/>
        <v>65.777519812386217</v>
      </c>
      <c r="EM124" s="20">
        <f t="shared" si="73"/>
        <v>592.43753033990606</v>
      </c>
      <c r="EN124" s="59">
        <f t="shared" si="74"/>
        <v>885.77086367323932</v>
      </c>
      <c r="EO124" s="59">
        <f ca="1">AVERAGE(OFFSET($EN$3,0,0,'Données projet'!$E$15+1,1))-AVERAGE(OFFSET($H$3,0,0,'Données projet'!$E$15+1,1))</f>
        <v>393.46715670823653</v>
      </c>
      <c r="EP124" s="59">
        <f t="shared" si="100"/>
        <v>266.16261355327214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549.43232095729741</v>
      </c>
      <c r="T125" s="59">
        <f t="shared" si="88"/>
        <v>280.26155987300996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2.0259348140936839</v>
      </c>
      <c r="AA125" s="21">
        <f>EXP(-LN(2)/25)*AA124+(1-EXP(-LN(2)/25))/(LN(2)/25)*Calculateur!V125*Calculateur!X125*VLOOKUP('Données projet'!$B$9,Paramètres!$A$1:$I$89,3,0)*0.475*44/12</f>
        <v>0.74570629316426829</v>
      </c>
      <c r="AB125" s="21">
        <f>EXP(-LN(2)/2)*AB124+(1-EXP(-LN(2)/2))/(LN(2)/2)*V125*Y125*VLOOKUP('Données projet'!$B$9,Paramètres!$A$1:$I$89,3,0)*0.475*44/12</f>
        <v>6.4022643207636078E-14</v>
      </c>
      <c r="AC125" s="22">
        <f t="shared" si="57"/>
        <v>2.771641107258016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348.62416478262719</v>
      </c>
      <c r="AO125" s="59">
        <f t="shared" si="90"/>
        <v>371.70674704563288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2.1417916983961716</v>
      </c>
      <c r="AV125" s="21">
        <f>EXP(-LN(2)/25)*AV124+(1-EXP(-LN(2)/25))/(LN(2)/25)*Calculateur!AQ125*Calculateur!AS125*VLOOKUP('Données projet'!$B$10,Paramètres!$A$1:$I$89,3,0)*0.475*44/12</f>
        <v>0.95247634602535103</v>
      </c>
      <c r="AW125" s="21">
        <f>EXP(-LN(2)/2)*AW124+(1-EXP(-LN(2)/2))/(LN(2)/2)*AQ125*AT125*VLOOKUP('Données projet'!$B$10,Paramètres!$A$1:$I$89,3,0)*0.475*44/12</f>
        <v>1.7700408088892522E-13</v>
      </c>
      <c r="AX125" s="21">
        <f t="shared" si="60"/>
        <v>3.0942680444216997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405.7176439604217</v>
      </c>
      <c r="BJ125" s="59">
        <f t="shared" si="92"/>
        <v>278.21741231699929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1.1818057819586891</v>
      </c>
      <c r="BQ125" s="21">
        <f>EXP(-LN(2)/25)*BQ124+(1-EXP(-LN(2)/25))/(LN(2)/25)*Calculateur!BL125*Calculateur!BN125*VLOOKUP('Données projet'!$B$11,Paramètres!$A$1:$I$89,3,0)*0.475*44/12</f>
        <v>0.73064522751798799</v>
      </c>
      <c r="BR125" s="21">
        <f>EXP(-LN(2)/2)*BR124+(1-EXP(-LN(2)/2))/(LN(2)/2)*BL125*BO125*VLOOKUP('Données projet'!$B$11,Paramètres!$A$1:$I$89,3,0)*0.475*44/12</f>
        <v>1.2128726594564946E-13</v>
      </c>
      <c r="BS125" s="22">
        <f t="shared" si="63"/>
        <v>1.9124510094767984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1.9895196601282805E-13</v>
      </c>
      <c r="BZ125" s="13">
        <f>BY125*VLOOKUP('Données projet'!$B$12,Paramètres!$A$1:$I$89,3,0)*VLOOKUP('Données projet'!$B$12,Paramètres!$A$1:$I$89,5,0)</f>
        <v>1.738044375088066E-13</v>
      </c>
      <c r="CA125" s="13">
        <f t="shared" si="93"/>
        <v>2.4483293633950478E-12</v>
      </c>
      <c r="CB125" s="20">
        <f t="shared" si="64"/>
        <v>4.566883036574213E-12</v>
      </c>
      <c r="CC125" s="59">
        <f t="shared" si="65"/>
        <v>293.33333333333786</v>
      </c>
      <c r="CD125" s="59">
        <f ca="1">AVERAGE(OFFSET($CC$3,0,0,'Données projet'!$E$12+1,1))-AVERAGE(OFFSET($H$3,0,0,'Données projet'!$E$12+1,1))</f>
        <v>321.23599968992932</v>
      </c>
      <c r="CE125" s="59">
        <f t="shared" si="94"/>
        <v>388.05195847800502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0.59092452902907755</v>
      </c>
      <c r="CL125" s="21">
        <f>EXP(-LN(2)/25)*CL124+(1-EXP(-LN(2)/25))/(LN(2)/25)*Calculateur!CG125*Calculateur!CI125*VLOOKUP('Données projet'!$B$12,Paramètres!$A$1:$I$89,3,0)*0.475*44/12</f>
        <v>1.6461969660976978</v>
      </c>
      <c r="CM125" s="21">
        <f>EXP(-LN(2)/2)*CM124+(1-EXP(-LN(2)/2))/(LN(2)/2)*CG125*CJ125*VLOOKUP('Données projet'!$B$12,Paramètres!$A$1:$I$89,3,0)*0.475*44/12</f>
        <v>1.7142387724598778E-13</v>
      </c>
      <c r="CN125" s="22">
        <f t="shared" si="66"/>
        <v>2.2371214951269467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6.083333333333333</v>
      </c>
      <c r="CT125" s="12">
        <f>IF('Données projet'!$A$140&gt;35,CT124+CS125-DB124,IF(A125&lt;'Données projet'!$A$140,$CQ$205^A125,IF(A125='Données projet'!$A$140,'Données projet'!$B$140,CT124+CS125-DB124)))</f>
        <v>294.41666666666669</v>
      </c>
      <c r="CU125" s="17">
        <f>CT125*VLOOKUP('Données projet'!$B$13,Paramètres!$A$1:$I$89,3,0)*VLOOKUP('Données projet'!$B$13,Paramètres!$A$1:$I$89,5,0)</f>
        <v>284.75980000000004</v>
      </c>
      <c r="CV125" s="13">
        <f t="shared" si="95"/>
        <v>67.971902510235395</v>
      </c>
      <c r="CW125" s="20">
        <f t="shared" si="67"/>
        <v>614.34104853866006</v>
      </c>
      <c r="CX125" s="59">
        <f t="shared" si="68"/>
        <v>907.67438187199332</v>
      </c>
      <c r="CY125" s="59">
        <f ca="1">AVERAGE(OFFSET($CX$3,0,0,'Données projet'!$E$13+1,1))-AVERAGE(OFFSET($H$3,0,0,'Données projet'!$E$13+1,1))</f>
        <v>399.24912109442175</v>
      </c>
      <c r="CZ125" s="59">
        <f t="shared" si="96"/>
        <v>269.83150082245305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6.083333333333333</v>
      </c>
      <c r="DO125" s="12">
        <f>IF('Données projet'!$A$166&gt;35,DO124+DN125-DW124,IF(A125&lt;'Données projet'!$A$166,$DL$205^A125,IF(A125='Données projet'!$A$166,'Données projet'!$B$166,DO124+DN125-DW124)))</f>
        <v>294.41666666666669</v>
      </c>
      <c r="DP125" s="17">
        <f>DO125*VLOOKUP('Données projet'!$B$14,Paramètres!$A$1:$I$89,3,0)*VLOOKUP('Données projet'!$B$14,Paramètres!$A$1:$I$89,5,0)</f>
        <v>316.9101</v>
      </c>
      <c r="DQ125" s="13">
        <f t="shared" si="97"/>
        <v>74.710077269292867</v>
      </c>
      <c r="DR125" s="20">
        <f t="shared" si="70"/>
        <v>682.07180874401831</v>
      </c>
      <c r="DS125" s="59">
        <f t="shared" si="71"/>
        <v>975.40514207735168</v>
      </c>
      <c r="DT125" s="59">
        <f ca="1">AVERAGE(OFFSET($DS$3,0,0,'Données projet'!$E$14+1,1))-AVERAGE(OFFSET($H$3,0,0,'Données projet'!$E$14+1,1))</f>
        <v>439.66981240211362</v>
      </c>
      <c r="DU125" s="59">
        <f t="shared" si="98"/>
        <v>295.47805371292458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6.083333333333333</v>
      </c>
      <c r="EJ125" s="12">
        <f>IF('Données projet'!$A$192&gt;35,EJ124+EI125-ER124,IF(A125&lt;'Données projet'!$A$192,$EG$205^A125,IF(A125='Données projet'!$A$192,'Données projet'!$B$192,EJ124+EI125-ER124)))</f>
        <v>294.41666666666669</v>
      </c>
      <c r="EK125" s="17">
        <f>EJ125*VLOOKUP('Données projet'!$B$15,Paramètres!$A$1:$I$89,3,0)*VLOOKUP('Données projet'!$B$15,Paramètres!$A$1:$I$89,5,0)</f>
        <v>280.1669</v>
      </c>
      <c r="EL125" s="13">
        <f t="shared" si="99"/>
        <v>67.002278425595691</v>
      </c>
      <c r="EM125" s="20">
        <f t="shared" si="73"/>
        <v>604.65298575791246</v>
      </c>
      <c r="EN125" s="59">
        <f t="shared" si="74"/>
        <v>897.98631909124583</v>
      </c>
      <c r="EO125" s="59">
        <f ca="1">AVERAGE(OFFSET($EN$3,0,0,'Données projet'!$E$15+1,1))-AVERAGE(OFFSET($H$3,0,0,'Données projet'!$E$15+1,1))</f>
        <v>393.46715670823653</v>
      </c>
      <c r="EP125" s="59">
        <f t="shared" si="100"/>
        <v>266.16261355327214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549.43232095729741</v>
      </c>
      <c r="T126" s="59">
        <f t="shared" si="88"/>
        <v>280.26155987300996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1.9862074680875283</v>
      </c>
      <c r="AA126" s="21">
        <f>EXP(-LN(2)/25)*AA125+(1-EXP(-LN(2)/25))/(LN(2)/25)*Calculateur!V126*Calculateur!X126*VLOOKUP('Données projet'!$B$9,Paramètres!$A$1:$I$89,3,0)*0.475*44/12</f>
        <v>0.72531491536270176</v>
      </c>
      <c r="AB126" s="21">
        <f>EXP(-LN(2)/2)*AB125+(1-EXP(-LN(2)/2))/(LN(2)/2)*V126*Y126*VLOOKUP('Données projet'!$B$9,Paramètres!$A$1:$I$89,3,0)*0.475*44/12</f>
        <v>4.5270845161606328E-14</v>
      </c>
      <c r="AC126" s="22">
        <f t="shared" si="57"/>
        <v>2.7115223834502755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348.62416478262719</v>
      </c>
      <c r="AO126" s="59">
        <f t="shared" si="90"/>
        <v>371.70674704563288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2.0997924695545658</v>
      </c>
      <c r="AV126" s="21">
        <f>EXP(-LN(2)/25)*AV125+(1-EXP(-LN(2)/25))/(LN(2)/25)*Calculateur!AQ126*Calculateur!AS126*VLOOKUP('Données projet'!$B$10,Paramètres!$A$1:$I$89,3,0)*0.475*44/12</f>
        <v>0.92643083025473372</v>
      </c>
      <c r="AW126" s="21">
        <f>EXP(-LN(2)/2)*AW125+(1-EXP(-LN(2)/2))/(LN(2)/2)*AQ126*AT126*VLOOKUP('Données projet'!$B$10,Paramètres!$A$1:$I$89,3,0)*0.475*44/12</f>
        <v>1.2516078589425121E-13</v>
      </c>
      <c r="AX126" s="21">
        <f t="shared" si="60"/>
        <v>3.0262232998094247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405.7176439604217</v>
      </c>
      <c r="BJ126" s="59">
        <f t="shared" si="92"/>
        <v>278.21741231699929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1.1586312914048302</v>
      </c>
      <c r="BQ126" s="21">
        <f>EXP(-LN(2)/25)*BQ125+(1-EXP(-LN(2)/25))/(LN(2)/25)*Calculateur!BL126*Calculateur!BN126*VLOOKUP('Données projet'!$B$11,Paramètres!$A$1:$I$89,3,0)*0.475*44/12</f>
        <v>0.71066569534854596</v>
      </c>
      <c r="BR126" s="21">
        <f>EXP(-LN(2)/2)*BR125+(1-EXP(-LN(2)/2))/(LN(2)/2)*BL126*BO126*VLOOKUP('Données projet'!$B$11,Paramètres!$A$1:$I$89,3,0)*0.475*44/12</f>
        <v>8.576304822174495E-14</v>
      </c>
      <c r="BS126" s="22">
        <f t="shared" si="63"/>
        <v>1.8692969867534619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1.9895196601282805E-13</v>
      </c>
      <c r="BZ126" s="13">
        <f>BY126*VLOOKUP('Données projet'!$B$12,Paramètres!$A$1:$I$89,3,0)*VLOOKUP('Données projet'!$B$12,Paramètres!$A$1:$I$89,5,0)</f>
        <v>1.738044375088066E-13</v>
      </c>
      <c r="CA126" s="13">
        <f t="shared" si="93"/>
        <v>2.4483293633950478E-12</v>
      </c>
      <c r="CB126" s="20">
        <f t="shared" si="64"/>
        <v>4.566883036574213E-12</v>
      </c>
      <c r="CC126" s="59">
        <f t="shared" si="65"/>
        <v>293.33333333333786</v>
      </c>
      <c r="CD126" s="59">
        <f ca="1">AVERAGE(OFFSET($CC$3,0,0,'Données projet'!$E$12+1,1))-AVERAGE(OFFSET($H$3,0,0,'Données projet'!$E$12+1,1))</f>
        <v>321.23599968992932</v>
      </c>
      <c r="CE126" s="59">
        <f t="shared" si="94"/>
        <v>388.05195847800502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0.57933685944319069</v>
      </c>
      <c r="CL126" s="21">
        <f>EXP(-LN(2)/25)*CL125+(1-EXP(-LN(2)/25))/(LN(2)/25)*Calculateur!CG126*Calculateur!CI126*VLOOKUP('Données projet'!$B$12,Paramètres!$A$1:$I$89,3,0)*0.475*44/12</f>
        <v>1.6011816234900202</v>
      </c>
      <c r="CM126" s="21">
        <f>EXP(-LN(2)/2)*CM125+(1-EXP(-LN(2)/2))/(LN(2)/2)*CG126*CJ126*VLOOKUP('Données projet'!$B$12,Paramètres!$A$1:$I$89,3,0)*0.475*44/12</f>
        <v>1.2121498605792826E-13</v>
      </c>
      <c r="CN126" s="22">
        <f t="shared" si="66"/>
        <v>2.1805184829333322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6.083333333333333</v>
      </c>
      <c r="CT126" s="12">
        <f>IF('Données projet'!$A$140&gt;35,CT125+CS126-DB125,IF(A126&lt;'Données projet'!$A$140,$CQ$205^A126,IF(A126='Données projet'!$A$140,'Données projet'!$B$140,CT125+CS126-DB125)))</f>
        <v>300.5</v>
      </c>
      <c r="CU126" s="17">
        <f>CT126*VLOOKUP('Données projet'!$B$13,Paramètres!$A$1:$I$89,3,0)*VLOOKUP('Données projet'!$B$13,Paramètres!$A$1:$I$89,5,0)</f>
        <v>290.64359999999999</v>
      </c>
      <c r="CV126" s="13">
        <f t="shared" si="95"/>
        <v>69.21140030633164</v>
      </c>
      <c r="CW126" s="20">
        <f t="shared" si="67"/>
        <v>626.74745886686094</v>
      </c>
      <c r="CX126" s="59">
        <f t="shared" si="68"/>
        <v>920.08079220019431</v>
      </c>
      <c r="CY126" s="59">
        <f ca="1">AVERAGE(OFFSET($CX$3,0,0,'Données projet'!$E$13+1,1))-AVERAGE(OFFSET($H$3,0,0,'Données projet'!$E$13+1,1))</f>
        <v>399.24912109442175</v>
      </c>
      <c r="CZ126" s="59">
        <f t="shared" si="96"/>
        <v>269.83150082245305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6.083333333333333</v>
      </c>
      <c r="DO126" s="12">
        <f>IF('Données projet'!$A$166&gt;35,DO125+DN126-DW125,IF(A126&lt;'Données projet'!$A$166,$DL$205^A126,IF(A126='Données projet'!$A$166,'Données projet'!$B$166,DO125+DN126-DW125)))</f>
        <v>300.5</v>
      </c>
      <c r="DP126" s="17">
        <f>DO126*VLOOKUP('Données projet'!$B$14,Paramètres!$A$1:$I$89,3,0)*VLOOKUP('Données projet'!$B$14,Paramètres!$A$1:$I$89,5,0)</f>
        <v>323.45819999999998</v>
      </c>
      <c r="DQ126" s="13">
        <f t="shared" si="97"/>
        <v>76.072448671322164</v>
      </c>
      <c r="DR126" s="20">
        <f t="shared" si="70"/>
        <v>695.84921310255265</v>
      </c>
      <c r="DS126" s="59">
        <f t="shared" si="71"/>
        <v>989.18254643588602</v>
      </c>
      <c r="DT126" s="59">
        <f ca="1">AVERAGE(OFFSET($DS$3,0,0,'Données projet'!$E$14+1,1))-AVERAGE(OFFSET($H$3,0,0,'Données projet'!$E$14+1,1))</f>
        <v>439.66981240211362</v>
      </c>
      <c r="DU126" s="59">
        <f t="shared" si="98"/>
        <v>295.47805371292458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6.083333333333333</v>
      </c>
      <c r="EJ126" s="12">
        <f>IF('Données projet'!$A$192&gt;35,EJ125+EI126-ER125,IF(A126&lt;'Données projet'!$A$192,$EG$205^A126,IF(A126='Données projet'!$A$192,'Données projet'!$B$192,EJ125+EI126-ER125)))</f>
        <v>300.5</v>
      </c>
      <c r="EK126" s="17">
        <f>EJ126*VLOOKUP('Données projet'!$B$15,Paramètres!$A$1:$I$89,3,0)*VLOOKUP('Données projet'!$B$15,Paramètres!$A$1:$I$89,5,0)</f>
        <v>285.95580000000001</v>
      </c>
      <c r="EL126" s="13">
        <f t="shared" si="99"/>
        <v>68.224094696362073</v>
      </c>
      <c r="EM126" s="20">
        <f t="shared" si="73"/>
        <v>616.86331659616394</v>
      </c>
      <c r="EN126" s="59">
        <f t="shared" si="74"/>
        <v>910.1966499294972</v>
      </c>
      <c r="EO126" s="59">
        <f ca="1">AVERAGE(OFFSET($EN$3,0,0,'Données projet'!$E$15+1,1))-AVERAGE(OFFSET($H$3,0,0,'Données projet'!$E$15+1,1))</f>
        <v>393.46715670823653</v>
      </c>
      <c r="EP126" s="59">
        <f t="shared" si="100"/>
        <v>266.16261355327214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549.43232095729741</v>
      </c>
      <c r="T127" s="59">
        <f t="shared" si="88"/>
        <v>280.26155987300996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1.947259151105265</v>
      </c>
      <c r="AA127" s="21">
        <f>EXP(-LN(2)/25)*AA126+(1-EXP(-LN(2)/25))/(LN(2)/25)*Calculateur!V127*Calculateur!X127*VLOOKUP('Données projet'!$B$9,Paramètres!$A$1:$I$89,3,0)*0.475*44/12</f>
        <v>0.70548114085945501</v>
      </c>
      <c r="AB127" s="21">
        <f>EXP(-LN(2)/2)*AB126+(1-EXP(-LN(2)/2))/(LN(2)/2)*V127*Y127*VLOOKUP('Données projet'!$B$9,Paramètres!$A$1:$I$89,3,0)*0.475*44/12</f>
        <v>3.2011321603818039E-14</v>
      </c>
      <c r="AC127" s="22">
        <f t="shared" si="57"/>
        <v>2.652740291964752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348.62416478262719</v>
      </c>
      <c r="AO127" s="59">
        <f t="shared" si="90"/>
        <v>371.70674704563288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2.058616819973544</v>
      </c>
      <c r="AV127" s="21">
        <f>EXP(-LN(2)/25)*AV126+(1-EXP(-LN(2)/25))/(LN(2)/25)*Calculateur!AQ127*Calculateur!AS127*VLOOKUP('Données projet'!$B$10,Paramètres!$A$1:$I$89,3,0)*0.475*44/12</f>
        <v>0.90109753048253804</v>
      </c>
      <c r="AW127" s="21">
        <f>EXP(-LN(2)/2)*AW126+(1-EXP(-LN(2)/2))/(LN(2)/2)*AQ127*AT127*VLOOKUP('Données projet'!$B$10,Paramètres!$A$1:$I$89,3,0)*0.475*44/12</f>
        <v>8.8502040444462612E-14</v>
      </c>
      <c r="AX127" s="21">
        <f t="shared" si="60"/>
        <v>2.9597143504561703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405.7176439604217</v>
      </c>
      <c r="BJ127" s="59">
        <f t="shared" si="92"/>
        <v>278.21741231699929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1.1359112384756889</v>
      </c>
      <c r="BQ127" s="21">
        <f>EXP(-LN(2)/25)*BQ126+(1-EXP(-LN(2)/25))/(LN(2)/25)*Calculateur!BL127*Calculateur!BN127*VLOOKUP('Données projet'!$B$11,Paramètres!$A$1:$I$89,3,0)*0.475*44/12</f>
        <v>0.69123250453695528</v>
      </c>
      <c r="BR127" s="21">
        <f>EXP(-LN(2)/2)*BR126+(1-EXP(-LN(2)/2))/(LN(2)/2)*BL127*BO127*VLOOKUP('Données projet'!$B$11,Paramètres!$A$1:$I$89,3,0)*0.475*44/12</f>
        <v>6.0643632972824729E-14</v>
      </c>
      <c r="BS127" s="22">
        <f t="shared" si="63"/>
        <v>1.8271437430127049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1.9895196601282805E-13</v>
      </c>
      <c r="BZ127" s="13">
        <f>BY127*VLOOKUP('Données projet'!$B$12,Paramètres!$A$1:$I$89,3,0)*VLOOKUP('Données projet'!$B$12,Paramètres!$A$1:$I$89,5,0)</f>
        <v>1.738044375088066E-13</v>
      </c>
      <c r="CA127" s="13">
        <f t="shared" si="93"/>
        <v>2.4483293633950478E-12</v>
      </c>
      <c r="CB127" s="20">
        <f t="shared" si="64"/>
        <v>4.566883036574213E-12</v>
      </c>
      <c r="CC127" s="59">
        <f t="shared" si="65"/>
        <v>293.33333333333786</v>
      </c>
      <c r="CD127" s="59">
        <f ca="1">AVERAGE(OFFSET($CC$3,0,0,'Données projet'!$E$12+1,1))-AVERAGE(OFFSET($H$3,0,0,'Données projet'!$E$12+1,1))</f>
        <v>321.23599968992932</v>
      </c>
      <c r="CE127" s="59">
        <f t="shared" si="94"/>
        <v>388.05195847800502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0.56797641699010248</v>
      </c>
      <c r="CL127" s="21">
        <f>EXP(-LN(2)/25)*CL126+(1-EXP(-LN(2)/25))/(LN(2)/25)*Calculateur!CG127*Calculateur!CI127*VLOOKUP('Données projet'!$B$12,Paramètres!$A$1:$I$89,3,0)*0.475*44/12</f>
        <v>1.5573972277932036</v>
      </c>
      <c r="CM127" s="21">
        <f>EXP(-LN(2)/2)*CM126+(1-EXP(-LN(2)/2))/(LN(2)/2)*CG127*CJ127*VLOOKUP('Données projet'!$B$12,Paramètres!$A$1:$I$89,3,0)*0.475*44/12</f>
        <v>8.5711938622993888E-14</v>
      </c>
      <c r="CN127" s="22">
        <f t="shared" si="66"/>
        <v>2.1253736447833917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6.083333333333333</v>
      </c>
      <c r="CT127" s="12">
        <f>IF('Données projet'!$A$140&gt;35,CT126+CS127-DB126,IF(A127&lt;'Données projet'!$A$140,$CQ$205^A127,IF(A127='Données projet'!$A$140,'Données projet'!$B$140,CT126+CS127-DB126)))</f>
        <v>306.58333333333331</v>
      </c>
      <c r="CU127" s="17">
        <f>CT127*VLOOKUP('Données projet'!$B$13,Paramètres!$A$1:$I$89,3,0)*VLOOKUP('Données projet'!$B$13,Paramètres!$A$1:$I$89,5,0)</f>
        <v>296.5274</v>
      </c>
      <c r="CV127" s="13">
        <f t="shared" si="95"/>
        <v>70.447980570295087</v>
      </c>
      <c r="CW127" s="20">
        <f t="shared" si="67"/>
        <v>639.1487878265973</v>
      </c>
      <c r="CX127" s="59">
        <f t="shared" si="68"/>
        <v>932.48212115993056</v>
      </c>
      <c r="CY127" s="59">
        <f ca="1">AVERAGE(OFFSET($CX$3,0,0,'Données projet'!$E$13+1,1))-AVERAGE(OFFSET($H$3,0,0,'Données projet'!$E$13+1,1))</f>
        <v>399.24912109442175</v>
      </c>
      <c r="CZ127" s="59">
        <f t="shared" si="96"/>
        <v>269.83150082245305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6.083333333333333</v>
      </c>
      <c r="DO127" s="12">
        <f>IF('Données projet'!$A$166&gt;35,DO126+DN127-DW126,IF(A127&lt;'Données projet'!$A$166,$DL$205^A127,IF(A127='Données projet'!$A$166,'Données projet'!$B$166,DO126+DN127-DW126)))</f>
        <v>306.58333333333331</v>
      </c>
      <c r="DP127" s="17">
        <f>DO127*VLOOKUP('Données projet'!$B$14,Paramètres!$A$1:$I$89,3,0)*VLOOKUP('Données projet'!$B$14,Paramètres!$A$1:$I$89,5,0)</f>
        <v>330.00629999999995</v>
      </c>
      <c r="DQ127" s="13">
        <f t="shared" si="97"/>
        <v>77.431613321104919</v>
      </c>
      <c r="DR127" s="20">
        <f t="shared" si="70"/>
        <v>709.62103236759094</v>
      </c>
      <c r="DS127" s="59">
        <f t="shared" si="71"/>
        <v>1002.9543657009242</v>
      </c>
      <c r="DT127" s="59">
        <f ca="1">AVERAGE(OFFSET($DS$3,0,0,'Données projet'!$E$14+1,1))-AVERAGE(OFFSET($H$3,0,0,'Données projet'!$E$14+1,1))</f>
        <v>439.66981240211362</v>
      </c>
      <c r="DU127" s="59">
        <f t="shared" si="98"/>
        <v>295.47805371292458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6.083333333333333</v>
      </c>
      <c r="EJ127" s="12">
        <f>IF('Données projet'!$A$192&gt;35,EJ126+EI127-ER126,IF(A127&lt;'Données projet'!$A$192,$EG$205^A127,IF(A127='Données projet'!$A$192,'Données projet'!$B$192,EJ126+EI127-ER126)))</f>
        <v>306.58333333333331</v>
      </c>
      <c r="EK127" s="17">
        <f>EJ127*VLOOKUP('Données projet'!$B$15,Paramètres!$A$1:$I$89,3,0)*VLOOKUP('Données projet'!$B$15,Paramètres!$A$1:$I$89,5,0)</f>
        <v>291.74469999999997</v>
      </c>
      <c r="EL127" s="13">
        <f t="shared" si="99"/>
        <v>69.443035053801665</v>
      </c>
      <c r="EM127" s="20">
        <f t="shared" si="73"/>
        <v>629.0686385520379</v>
      </c>
      <c r="EN127" s="59">
        <f t="shared" si="74"/>
        <v>922.40197188537127</v>
      </c>
      <c r="EO127" s="59">
        <f ca="1">AVERAGE(OFFSET($EN$3,0,0,'Données projet'!$E$15+1,1))-AVERAGE(OFFSET($H$3,0,0,'Données projet'!$E$15+1,1))</f>
        <v>393.46715670823653</v>
      </c>
      <c r="EP127" s="59">
        <f t="shared" si="100"/>
        <v>266.16261355327214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549.43232095729741</v>
      </c>
      <c r="T128" s="59">
        <f t="shared" si="88"/>
        <v>280.26155987300996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1.9090745868628962</v>
      </c>
      <c r="AA128" s="21">
        <f>EXP(-LN(2)/25)*AA127+(1-EXP(-LN(2)/25))/(LN(2)/25)*Calculateur!V128*Calculateur!X128*VLOOKUP('Données projet'!$B$9,Paramètres!$A$1:$I$89,3,0)*0.475*44/12</f>
        <v>0.68618972196301242</v>
      </c>
      <c r="AB128" s="21">
        <f>EXP(-LN(2)/2)*AB127+(1-EXP(-LN(2)/2))/(LN(2)/2)*V128*Y128*VLOOKUP('Données projet'!$B$9,Paramètres!$A$1:$I$89,3,0)*0.475*44/12</f>
        <v>2.2635422580803164E-14</v>
      </c>
      <c r="AC128" s="22">
        <f t="shared" si="57"/>
        <v>2.5952643088259313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348.62416478262719</v>
      </c>
      <c r="AO128" s="59">
        <f t="shared" si="90"/>
        <v>371.70674704563288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2.0182485997661397</v>
      </c>
      <c r="AV128" s="21">
        <f>EXP(-LN(2)/25)*AV127+(1-EXP(-LN(2)/25))/(LN(2)/25)*Calculateur!AQ128*Calculateur!AS128*VLOOKUP('Données projet'!$B$10,Paramètres!$A$1:$I$89,3,0)*0.475*44/12</f>
        <v>0.87645697112483345</v>
      </c>
      <c r="AW128" s="21">
        <f>EXP(-LN(2)/2)*AW127+(1-EXP(-LN(2)/2))/(LN(2)/2)*AQ128*AT128*VLOOKUP('Données projet'!$B$10,Paramètres!$A$1:$I$89,3,0)*0.475*44/12</f>
        <v>6.2580392947125603E-14</v>
      </c>
      <c r="AX128" s="21">
        <f t="shared" si="60"/>
        <v>2.8947055708910359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405.7176439604217</v>
      </c>
      <c r="BJ128" s="59">
        <f t="shared" si="92"/>
        <v>278.21741231699929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1.1136367119266242</v>
      </c>
      <c r="BQ128" s="21">
        <f>EXP(-LN(2)/25)*BQ127+(1-EXP(-LN(2)/25))/(LN(2)/25)*Calculateur!BL128*Calculateur!BN128*VLOOKUP('Données projet'!$B$11,Paramètres!$A$1:$I$89,3,0)*0.475*44/12</f>
        <v>0.67233071535005462</v>
      </c>
      <c r="BR128" s="21">
        <f>EXP(-LN(2)/2)*BR127+(1-EXP(-LN(2)/2))/(LN(2)/2)*BL128*BO128*VLOOKUP('Données projet'!$B$11,Paramètres!$A$1:$I$89,3,0)*0.475*44/12</f>
        <v>4.2881524110872475E-14</v>
      </c>
      <c r="BS128" s="22">
        <f t="shared" si="63"/>
        <v>1.7859674272767216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1.9895196601282805E-13</v>
      </c>
      <c r="BZ128" s="13">
        <f>BY128*VLOOKUP('Données projet'!$B$12,Paramètres!$A$1:$I$89,3,0)*VLOOKUP('Données projet'!$B$12,Paramètres!$A$1:$I$89,5,0)</f>
        <v>1.738044375088066E-13</v>
      </c>
      <c r="CA128" s="13">
        <f t="shared" si="93"/>
        <v>2.4483293633950478E-12</v>
      </c>
      <c r="CB128" s="20">
        <f t="shared" si="64"/>
        <v>4.566883036574213E-12</v>
      </c>
      <c r="CC128" s="59">
        <f t="shared" si="65"/>
        <v>293.33333333333786</v>
      </c>
      <c r="CD128" s="59">
        <f ca="1">AVERAGE(OFFSET($CC$3,0,0,'Données projet'!$E$12+1,1))-AVERAGE(OFFSET($H$3,0,0,'Données projet'!$E$12+1,1))</f>
        <v>321.23599968992932</v>
      </c>
      <c r="CE128" s="59">
        <f t="shared" si="94"/>
        <v>388.05195847800502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0.55683874588433369</v>
      </c>
      <c r="CL128" s="21">
        <f>EXP(-LN(2)/25)*CL127+(1-EXP(-LN(2)/25))/(LN(2)/25)*Calculateur!CG128*Calculateur!CI128*VLOOKUP('Données projet'!$B$12,Paramètres!$A$1:$I$89,3,0)*0.475*44/12</f>
        <v>1.5148101186992378</v>
      </c>
      <c r="CM128" s="21">
        <f>EXP(-LN(2)/2)*CM127+(1-EXP(-LN(2)/2))/(LN(2)/2)*CG128*CJ128*VLOOKUP('Données projet'!$B$12,Paramètres!$A$1:$I$89,3,0)*0.475*44/12</f>
        <v>6.060749302896413E-14</v>
      </c>
      <c r="CN128" s="22">
        <f t="shared" si="66"/>
        <v>2.071648864583632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6.083333333333333</v>
      </c>
      <c r="CT128" s="12">
        <f>IF('Données projet'!$A$140&gt;35,CT127+CS128-DB127,IF(A128&lt;'Données projet'!$A$140,$CQ$205^A128,IF(A128='Données projet'!$A$140,'Données projet'!$B$140,CT127+CS128-DB127)))</f>
        <v>312.66666666666663</v>
      </c>
      <c r="CU128" s="17">
        <f>CT128*VLOOKUP('Données projet'!$B$13,Paramètres!$A$1:$I$89,3,0)*VLOOKUP('Données projet'!$B$13,Paramètres!$A$1:$I$89,5,0)</f>
        <v>302.41119999999995</v>
      </c>
      <c r="CV128" s="13">
        <f t="shared" si="95"/>
        <v>71.681707865263292</v>
      </c>
      <c r="CW128" s="20">
        <f t="shared" si="67"/>
        <v>651.54514786533343</v>
      </c>
      <c r="CX128" s="59">
        <f t="shared" si="68"/>
        <v>944.8784811986668</v>
      </c>
      <c r="CY128" s="59">
        <f ca="1">AVERAGE(OFFSET($CX$3,0,0,'Données projet'!$E$13+1,1))-AVERAGE(OFFSET($H$3,0,0,'Données projet'!$E$13+1,1))</f>
        <v>399.24912109442175</v>
      </c>
      <c r="CZ128" s="59">
        <f t="shared" si="96"/>
        <v>269.83150082245305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6.083333333333333</v>
      </c>
      <c r="DO128" s="12">
        <f>IF('Données projet'!$A$166&gt;35,DO127+DN128-DW127,IF(A128&lt;'Données projet'!$A$166,$DL$205^A128,IF(A128='Données projet'!$A$166,'Données projet'!$B$166,DO127+DN128-DW127)))</f>
        <v>312.66666666666663</v>
      </c>
      <c r="DP128" s="17">
        <f>DO128*VLOOKUP('Données projet'!$B$14,Paramètres!$A$1:$I$89,3,0)*VLOOKUP('Données projet'!$B$14,Paramètres!$A$1:$I$89,5,0)</f>
        <v>336.55439999999993</v>
      </c>
      <c r="DQ128" s="13">
        <f t="shared" si="97"/>
        <v>78.787642182036549</v>
      </c>
      <c r="DR128" s="20">
        <f t="shared" si="70"/>
        <v>723.38739013371344</v>
      </c>
      <c r="DS128" s="59">
        <f t="shared" si="71"/>
        <v>1016.7207234670468</v>
      </c>
      <c r="DT128" s="59">
        <f ca="1">AVERAGE(OFFSET($DS$3,0,0,'Données projet'!$E$14+1,1))-AVERAGE(OFFSET($H$3,0,0,'Données projet'!$E$14+1,1))</f>
        <v>439.66981240211362</v>
      </c>
      <c r="DU128" s="59">
        <f t="shared" si="98"/>
        <v>295.47805371292458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6.083333333333333</v>
      </c>
      <c r="EJ128" s="12">
        <f>IF('Données projet'!$A$192&gt;35,EJ127+EI128-ER127,IF(A128&lt;'Données projet'!$A$192,$EG$205^A128,IF(A128='Données projet'!$A$192,'Données projet'!$B$192,EJ127+EI128-ER127)))</f>
        <v>312.66666666666663</v>
      </c>
      <c r="EK128" s="17">
        <f>EJ128*VLOOKUP('Données projet'!$B$15,Paramètres!$A$1:$I$89,3,0)*VLOOKUP('Données projet'!$B$15,Paramètres!$A$1:$I$89,5,0)</f>
        <v>297.53359999999998</v>
      </c>
      <c r="EL128" s="13">
        <f t="shared" si="99"/>
        <v>70.659163140054204</v>
      </c>
      <c r="EM128" s="20">
        <f t="shared" si="73"/>
        <v>641.2690624689277</v>
      </c>
      <c r="EN128" s="59">
        <f t="shared" si="74"/>
        <v>934.60239580226107</v>
      </c>
      <c r="EO128" s="59">
        <f ca="1">AVERAGE(OFFSET($EN$3,0,0,'Données projet'!$E$15+1,1))-AVERAGE(OFFSET($H$3,0,0,'Données projet'!$E$15+1,1))</f>
        <v>393.46715670823653</v>
      </c>
      <c r="EP128" s="59">
        <f t="shared" si="100"/>
        <v>266.16261355327214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549.43232095729741</v>
      </c>
      <c r="T129" s="59">
        <f t="shared" si="88"/>
        <v>280.26155987300996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1.8716387986350358</v>
      </c>
      <c r="AA129" s="21">
        <f>EXP(-LN(2)/25)*AA128+(1-EXP(-LN(2)/25))/(LN(2)/25)*Calculateur!V129*Calculateur!X129*VLOOKUP('Données projet'!$B$9,Paramètres!$A$1:$I$89,3,0)*0.475*44/12</f>
        <v>0.66742582793078464</v>
      </c>
      <c r="AB129" s="21">
        <f>EXP(-LN(2)/2)*AB128+(1-EXP(-LN(2)/2))/(LN(2)/2)*V129*Y129*VLOOKUP('Données projet'!$B$9,Paramètres!$A$1:$I$89,3,0)*0.475*44/12</f>
        <v>1.6005660801909019E-14</v>
      </c>
      <c r="AC129" s="22">
        <f t="shared" si="57"/>
        <v>2.5390646265658363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348.62416478262719</v>
      </c>
      <c r="AO129" s="59">
        <f t="shared" si="90"/>
        <v>371.70674704563288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1.9786719757348195</v>
      </c>
      <c r="AV129" s="21">
        <f>EXP(-LN(2)/25)*AV128+(1-EXP(-LN(2)/25))/(LN(2)/25)*Calculateur!AQ129*Calculateur!AS129*VLOOKUP('Données projet'!$B$10,Paramètres!$A$1:$I$89,3,0)*0.475*44/12</f>
        <v>0.85249020915855589</v>
      </c>
      <c r="AW129" s="21">
        <f>EXP(-LN(2)/2)*AW128+(1-EXP(-LN(2)/2))/(LN(2)/2)*AQ129*AT129*VLOOKUP('Données projet'!$B$10,Paramètres!$A$1:$I$89,3,0)*0.475*44/12</f>
        <v>4.4251020222231306E-14</v>
      </c>
      <c r="AX129" s="21">
        <f t="shared" si="60"/>
        <v>2.8311621848934196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405.7176439604217</v>
      </c>
      <c r="BJ129" s="59">
        <f t="shared" si="92"/>
        <v>278.21741231699929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1.0917989752570669</v>
      </c>
      <c r="BQ129" s="21">
        <f>EXP(-LN(2)/25)*BQ128+(1-EXP(-LN(2)/25))/(LN(2)/25)*Calculateur!BL129*Calculateur!BN129*VLOOKUP('Données projet'!$B$11,Paramètres!$A$1:$I$89,3,0)*0.475*44/12</f>
        <v>0.65394579658247165</v>
      </c>
      <c r="BR129" s="21">
        <f>EXP(-LN(2)/2)*BR128+(1-EXP(-LN(2)/2))/(LN(2)/2)*BL129*BO129*VLOOKUP('Données projet'!$B$11,Paramètres!$A$1:$I$89,3,0)*0.475*44/12</f>
        <v>3.0321816486412365E-14</v>
      </c>
      <c r="BS129" s="22">
        <f t="shared" si="63"/>
        <v>1.7457447718395691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1.9895196601282805E-13</v>
      </c>
      <c r="BZ129" s="13">
        <f>BY129*VLOOKUP('Données projet'!$B$12,Paramètres!$A$1:$I$89,3,0)*VLOOKUP('Données projet'!$B$12,Paramètres!$A$1:$I$89,5,0)</f>
        <v>1.738044375088066E-13</v>
      </c>
      <c r="CA129" s="13">
        <f t="shared" si="93"/>
        <v>2.4483293633950478E-12</v>
      </c>
      <c r="CB129" s="20">
        <f t="shared" si="64"/>
        <v>4.566883036574213E-12</v>
      </c>
      <c r="CC129" s="59">
        <f t="shared" si="65"/>
        <v>293.33333333333786</v>
      </c>
      <c r="CD129" s="59">
        <f ca="1">AVERAGE(OFFSET($CC$3,0,0,'Données projet'!$E$12+1,1))-AVERAGE(OFFSET($H$3,0,0,'Données projet'!$E$12+1,1))</f>
        <v>321.23599968992932</v>
      </c>
      <c r="CE129" s="59">
        <f t="shared" si="94"/>
        <v>388.05195847800502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0.54591947771564042</v>
      </c>
      <c r="CL129" s="21">
        <f>EXP(-LN(2)/25)*CL128+(1-EXP(-LN(2)/25))/(LN(2)/25)*Calculateur!CG129*Calculateur!CI129*VLOOKUP('Données projet'!$B$12,Paramètres!$A$1:$I$89,3,0)*0.475*44/12</f>
        <v>1.473387556343005</v>
      </c>
      <c r="CM129" s="21">
        <f>EXP(-LN(2)/2)*CM128+(1-EXP(-LN(2)/2))/(LN(2)/2)*CG129*CJ129*VLOOKUP('Données projet'!$B$12,Paramètres!$A$1:$I$89,3,0)*0.475*44/12</f>
        <v>4.2855969311496944E-14</v>
      </c>
      <c r="CN129" s="22">
        <f t="shared" si="66"/>
        <v>2.0193070340586883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6.083333333333333</v>
      </c>
      <c r="CT129" s="12">
        <f>IF('Données projet'!$A$140&gt;35,CT128+CS129-DB128,IF(A129&lt;'Données projet'!$A$140,$CQ$205^A129,IF(A129='Données projet'!$A$140,'Données projet'!$B$140,CT128+CS129-DB128)))</f>
        <v>318.74999999999994</v>
      </c>
      <c r="CU129" s="17">
        <f>CT129*VLOOKUP('Données projet'!$B$13,Paramètres!$A$1:$I$89,3,0)*VLOOKUP('Données projet'!$B$13,Paramètres!$A$1:$I$89,5,0)</f>
        <v>308.29499999999996</v>
      </c>
      <c r="CV129" s="13">
        <f t="shared" si="95"/>
        <v>72.912644098344231</v>
      </c>
      <c r="CW129" s="20">
        <f t="shared" si="67"/>
        <v>663.93664680461609</v>
      </c>
      <c r="CX129" s="59">
        <f t="shared" si="68"/>
        <v>957.26998013794946</v>
      </c>
      <c r="CY129" s="59">
        <f ca="1">AVERAGE(OFFSET($CX$3,0,0,'Données projet'!$E$13+1,1))-AVERAGE(OFFSET($H$3,0,0,'Données projet'!$E$13+1,1))</f>
        <v>399.24912109442175</v>
      </c>
      <c r="CZ129" s="59">
        <f t="shared" si="96"/>
        <v>269.83150082245305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6.083333333333333</v>
      </c>
      <c r="DO129" s="12">
        <f>IF('Données projet'!$A$166&gt;35,DO128+DN129-DW128,IF(A129&lt;'Données projet'!$A$166,$DL$205^A129,IF(A129='Données projet'!$A$166,'Données projet'!$B$166,DO128+DN129-DW128)))</f>
        <v>318.74999999999994</v>
      </c>
      <c r="DP129" s="17">
        <f>DO129*VLOOKUP('Données projet'!$B$14,Paramètres!$A$1:$I$89,3,0)*VLOOKUP('Données projet'!$B$14,Paramètres!$A$1:$I$89,5,0)</f>
        <v>343.10249999999991</v>
      </c>
      <c r="DQ129" s="13">
        <f t="shared" si="97"/>
        <v>80.140603298186065</v>
      </c>
      <c r="DR129" s="20">
        <f t="shared" si="70"/>
        <v>737.14840491100722</v>
      </c>
      <c r="DS129" s="59">
        <f t="shared" si="71"/>
        <v>1030.4817382443405</v>
      </c>
      <c r="DT129" s="59">
        <f ca="1">AVERAGE(OFFSET($DS$3,0,0,'Données projet'!$E$14+1,1))-AVERAGE(OFFSET($H$3,0,0,'Données projet'!$E$14+1,1))</f>
        <v>439.66981240211362</v>
      </c>
      <c r="DU129" s="59">
        <f t="shared" si="98"/>
        <v>295.47805371292458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6.083333333333333</v>
      </c>
      <c r="EJ129" s="12">
        <f>IF('Données projet'!$A$192&gt;35,EJ128+EI129-ER128,IF(A129&lt;'Données projet'!$A$192,$EG$205^A129,IF(A129='Données projet'!$A$192,'Données projet'!$B$192,EJ128+EI129-ER128)))</f>
        <v>318.74999999999994</v>
      </c>
      <c r="EK129" s="17">
        <f>EJ129*VLOOKUP('Données projet'!$B$15,Paramètres!$A$1:$I$89,3,0)*VLOOKUP('Données projet'!$B$15,Paramètres!$A$1:$I$89,5,0)</f>
        <v>303.32249999999999</v>
      </c>
      <c r="EL129" s="13">
        <f t="shared" si="99"/>
        <v>71.872539979118315</v>
      </c>
      <c r="EM129" s="20">
        <f t="shared" si="73"/>
        <v>653.46469463029769</v>
      </c>
      <c r="EN129" s="59">
        <f t="shared" si="74"/>
        <v>946.79802796363106</v>
      </c>
      <c r="EO129" s="59">
        <f ca="1">AVERAGE(OFFSET($EN$3,0,0,'Données projet'!$E$15+1,1))-AVERAGE(OFFSET($H$3,0,0,'Données projet'!$E$15+1,1))</f>
        <v>393.46715670823653</v>
      </c>
      <c r="EP129" s="59">
        <f t="shared" si="100"/>
        <v>266.16261355327214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549.43232095729741</v>
      </c>
      <c r="T130" s="59">
        <f t="shared" si="88"/>
        <v>280.26155987300996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1.8349371033807476</v>
      </c>
      <c r="AA130" s="21">
        <f>EXP(-LN(2)/25)*AA129+(1-EXP(-LN(2)/25))/(LN(2)/25)*Calculateur!V130*Calculateur!X130*VLOOKUP('Données projet'!$B$9,Paramètres!$A$1:$I$89,3,0)*0.475*44/12</f>
        <v>0.64917503356761852</v>
      </c>
      <c r="AB130" s="21">
        <f>EXP(-LN(2)/2)*AB129+(1-EXP(-LN(2)/2))/(LN(2)/2)*V130*Y130*VLOOKUP('Données projet'!$B$9,Paramètres!$A$1:$I$89,3,0)*0.475*44/12</f>
        <v>1.1317711290401582E-14</v>
      </c>
      <c r="AC130" s="22">
        <f t="shared" si="57"/>
        <v>2.4841121369483772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348.62416478262719</v>
      </c>
      <c r="AO130" s="59">
        <f t="shared" si="90"/>
        <v>371.70674704563288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1.9398714251613962</v>
      </c>
      <c r="AV130" s="21">
        <f>EXP(-LN(2)/25)*AV129+(1-EXP(-LN(2)/25))/(LN(2)/25)*Calculateur!AQ130*Calculateur!AS130*VLOOKUP('Données projet'!$B$10,Paramètres!$A$1:$I$89,3,0)*0.475*44/12</f>
        <v>0.82917881955860351</v>
      </c>
      <c r="AW130" s="21">
        <f>EXP(-LN(2)/2)*AW129+(1-EXP(-LN(2)/2))/(LN(2)/2)*AQ130*AT130*VLOOKUP('Données projet'!$B$10,Paramètres!$A$1:$I$89,3,0)*0.475*44/12</f>
        <v>3.1290196473562801E-14</v>
      </c>
      <c r="AX130" s="21">
        <f t="shared" si="60"/>
        <v>2.7690502447200309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405.7176439604217</v>
      </c>
      <c r="BJ130" s="59">
        <f t="shared" si="92"/>
        <v>278.21741231699929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1.0703894632838955</v>
      </c>
      <c r="BQ130" s="21">
        <f>EXP(-LN(2)/25)*BQ129+(1-EXP(-LN(2)/25))/(LN(2)/25)*Calculateur!BL130*Calculateur!BN130*VLOOKUP('Données projet'!$B$11,Paramètres!$A$1:$I$89,3,0)*0.475*44/12</f>
        <v>0.63606361438540915</v>
      </c>
      <c r="BR130" s="21">
        <f>EXP(-LN(2)/2)*BR129+(1-EXP(-LN(2)/2))/(LN(2)/2)*BL130*BO130*VLOOKUP('Données projet'!$B$11,Paramètres!$A$1:$I$89,3,0)*0.475*44/12</f>
        <v>2.1440762055436237E-14</v>
      </c>
      <c r="BS130" s="22">
        <f t="shared" si="63"/>
        <v>1.7064530776693261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1.9895196601282805E-13</v>
      </c>
      <c r="BZ130" s="13">
        <f>BY130*VLOOKUP('Données projet'!$B$12,Paramètres!$A$1:$I$89,3,0)*VLOOKUP('Données projet'!$B$12,Paramètres!$A$1:$I$89,5,0)</f>
        <v>1.738044375088066E-13</v>
      </c>
      <c r="CA130" s="13">
        <f t="shared" si="93"/>
        <v>2.4483293633950478E-12</v>
      </c>
      <c r="CB130" s="20">
        <f t="shared" si="64"/>
        <v>4.566883036574213E-12</v>
      </c>
      <c r="CC130" s="59">
        <f t="shared" si="65"/>
        <v>293.33333333333786</v>
      </c>
      <c r="CD130" s="59">
        <f ca="1">AVERAGE(OFFSET($CC$3,0,0,'Données projet'!$E$12+1,1))-AVERAGE(OFFSET($H$3,0,0,'Données projet'!$E$12+1,1))</f>
        <v>321.23599968992932</v>
      </c>
      <c r="CE130" s="59">
        <f t="shared" si="94"/>
        <v>388.05195847800502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0.53521432973563932</v>
      </c>
      <c r="CL130" s="21">
        <f>EXP(-LN(2)/25)*CL129+(1-EXP(-LN(2)/25))/(LN(2)/25)*Calculateur!CG130*Calculateur!CI130*VLOOKUP('Données projet'!$B$12,Paramètres!$A$1:$I$89,3,0)*0.475*44/12</f>
        <v>1.4330976961327213</v>
      </c>
      <c r="CM130" s="21">
        <f>EXP(-LN(2)/2)*CM129+(1-EXP(-LN(2)/2))/(LN(2)/2)*CG130*CJ130*VLOOKUP('Données projet'!$B$12,Paramètres!$A$1:$I$89,3,0)*0.475*44/12</f>
        <v>3.0303746514482065E-14</v>
      </c>
      <c r="CN130" s="22">
        <f t="shared" si="66"/>
        <v>1.9683120258683908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6.083333333333333</v>
      </c>
      <c r="CT130" s="12">
        <f>IF('Données projet'!$A$140&gt;35,CT129+CS130-DB129,IF(A130&lt;'Données projet'!$A$140,$CQ$205^A130,IF(A130='Données projet'!$A$140,'Données projet'!$B$140,CT129+CS130-DB129)))</f>
        <v>324.83333333333326</v>
      </c>
      <c r="CU130" s="17">
        <f>CT130*VLOOKUP('Données projet'!$B$13,Paramètres!$A$1:$I$89,3,0)*VLOOKUP('Données projet'!$B$13,Paramètres!$A$1:$I$89,5,0)</f>
        <v>314.17879999999991</v>
      </c>
      <c r="CV130" s="13">
        <f t="shared" si="95"/>
        <v>74.140848678450652</v>
      </c>
      <c r="CW130" s="20">
        <f t="shared" si="67"/>
        <v>676.32338811496811</v>
      </c>
      <c r="CX130" s="59">
        <f t="shared" si="68"/>
        <v>969.65672144830137</v>
      </c>
      <c r="CY130" s="59">
        <f ca="1">AVERAGE(OFFSET($CX$3,0,0,'Données projet'!$E$13+1,1))-AVERAGE(OFFSET($H$3,0,0,'Données projet'!$E$13+1,1))</f>
        <v>399.24912109442175</v>
      </c>
      <c r="CZ130" s="59">
        <f t="shared" si="96"/>
        <v>269.83150082245305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6.083333333333333</v>
      </c>
      <c r="DO130" s="12">
        <f>IF('Données projet'!$A$166&gt;35,DO129+DN130-DW129,IF(A130&lt;'Données projet'!$A$166,$DL$205^A130,IF(A130='Données projet'!$A$166,'Données projet'!$B$166,DO129+DN130-DW129)))</f>
        <v>324.83333333333326</v>
      </c>
      <c r="DP130" s="17">
        <f>DO130*VLOOKUP('Données projet'!$B$14,Paramètres!$A$1:$I$89,3,0)*VLOOKUP('Données projet'!$B$14,Paramètres!$A$1:$I$89,5,0)</f>
        <v>349.65059999999988</v>
      </c>
      <c r="DQ130" s="13">
        <f t="shared" si="97"/>
        <v>81.490561967776529</v>
      </c>
      <c r="DR130" s="20">
        <f t="shared" si="70"/>
        <v>750.90419042721044</v>
      </c>
      <c r="DS130" s="59">
        <f t="shared" si="71"/>
        <v>1044.2375237605438</v>
      </c>
      <c r="DT130" s="59">
        <f ca="1">AVERAGE(OFFSET($DS$3,0,0,'Données projet'!$E$14+1,1))-AVERAGE(OFFSET($H$3,0,0,'Données projet'!$E$14+1,1))</f>
        <v>439.66981240211362</v>
      </c>
      <c r="DU130" s="59">
        <f t="shared" si="98"/>
        <v>295.47805371292458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6.083333333333333</v>
      </c>
      <c r="EJ130" s="12">
        <f>IF('Données projet'!$A$192&gt;35,EJ129+EI130-ER129,IF(A130&lt;'Données projet'!$A$192,$EG$205^A130,IF(A130='Données projet'!$A$192,'Données projet'!$B$192,EJ129+EI130-ER129)))</f>
        <v>324.83333333333326</v>
      </c>
      <c r="EK130" s="17">
        <f>EJ130*VLOOKUP('Données projet'!$B$15,Paramètres!$A$1:$I$89,3,0)*VLOOKUP('Données projet'!$B$15,Paramètres!$A$1:$I$89,5,0)</f>
        <v>309.11139999999995</v>
      </c>
      <c r="EL130" s="13">
        <f t="shared" si="99"/>
        <v>73.083224132434324</v>
      </c>
      <c r="EM130" s="20">
        <f t="shared" si="73"/>
        <v>665.65563703065629</v>
      </c>
      <c r="EN130" s="59">
        <f t="shared" si="74"/>
        <v>958.98897036398967</v>
      </c>
      <c r="EO130" s="59">
        <f ca="1">AVERAGE(OFFSET($EN$3,0,0,'Données projet'!$E$15+1,1))-AVERAGE(OFFSET($H$3,0,0,'Données projet'!$E$15+1,1))</f>
        <v>393.46715670823653</v>
      </c>
      <c r="EP130" s="59">
        <f t="shared" si="100"/>
        <v>266.16261355327214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549.43232095729741</v>
      </c>
      <c r="T131" s="59">
        <f t="shared" si="88"/>
        <v>280.26155987300996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1.7989551059845723</v>
      </c>
      <c r="AA131" s="21">
        <f>EXP(-LN(2)/25)*AA130+(1-EXP(-LN(2)/25))/(LN(2)/25)*Calculateur!V131*Calculateur!X131*VLOOKUP('Données projet'!$B$9,Paramètres!$A$1:$I$89,3,0)*0.475*44/12</f>
        <v>0.63142330813608072</v>
      </c>
      <c r="AB131" s="21">
        <f>EXP(-LN(2)/2)*AB130+(1-EXP(-LN(2)/2))/(LN(2)/2)*V131*Y131*VLOOKUP('Données projet'!$B$9,Paramètres!$A$1:$I$89,3,0)*0.475*44/12</f>
        <v>8.0028304009545097E-15</v>
      </c>
      <c r="AC131" s="22">
        <f t="shared" si="57"/>
        <v>2.430378414120661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348.62416478262719</v>
      </c>
      <c r="AO131" s="59">
        <f t="shared" si="90"/>
        <v>371.70674704563288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1.9018317297187188</v>
      </c>
      <c r="AV131" s="21">
        <f>EXP(-LN(2)/25)*AV130+(1-EXP(-LN(2)/25))/(LN(2)/25)*Calculateur!AQ131*Calculateur!AS131*VLOOKUP('Données projet'!$B$10,Paramètres!$A$1:$I$89,3,0)*0.475*44/12</f>
        <v>0.80650488113315444</v>
      </c>
      <c r="AW131" s="21">
        <f>EXP(-LN(2)/2)*AW130+(1-EXP(-LN(2)/2))/(LN(2)/2)*AQ131*AT131*VLOOKUP('Données projet'!$B$10,Paramètres!$A$1:$I$89,3,0)*0.475*44/12</f>
        <v>2.2125510111115653E-14</v>
      </c>
      <c r="AX131" s="21">
        <f t="shared" si="60"/>
        <v>2.7083366108518954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405.7176439604217</v>
      </c>
      <c r="BJ131" s="59">
        <f t="shared" si="92"/>
        <v>278.21741231699929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1.0493997787820051</v>
      </c>
      <c r="BQ131" s="21">
        <f>EXP(-LN(2)/25)*BQ130+(1-EXP(-LN(2)/25))/(LN(2)/25)*Calculateur!BL131*Calculateur!BN131*VLOOKUP('Données projet'!$B$11,Paramètres!$A$1:$I$89,3,0)*0.475*44/12</f>
        <v>0.61867042140090844</v>
      </c>
      <c r="BR131" s="21">
        <f>EXP(-LN(2)/2)*BR130+(1-EXP(-LN(2)/2))/(LN(2)/2)*BL131*BO131*VLOOKUP('Données projet'!$B$11,Paramètres!$A$1:$I$89,3,0)*0.475*44/12</f>
        <v>1.5160908243206182E-14</v>
      </c>
      <c r="BS131" s="22">
        <f t="shared" si="63"/>
        <v>1.6680702001829286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1.9895196601282805E-13</v>
      </c>
      <c r="BZ131" s="13">
        <f>BY131*VLOOKUP('Données projet'!$B$12,Paramètres!$A$1:$I$89,3,0)*VLOOKUP('Données projet'!$B$12,Paramètres!$A$1:$I$89,5,0)</f>
        <v>1.738044375088066E-13</v>
      </c>
      <c r="CA131" s="13">
        <f t="shared" si="93"/>
        <v>2.4483293633950478E-12</v>
      </c>
      <c r="CB131" s="20">
        <f t="shared" si="64"/>
        <v>4.566883036574213E-12</v>
      </c>
      <c r="CC131" s="59">
        <f t="shared" si="65"/>
        <v>293.33333333333786</v>
      </c>
      <c r="CD131" s="59">
        <f ca="1">AVERAGE(OFFSET($CC$3,0,0,'Données projet'!$E$12+1,1))-AVERAGE(OFFSET($H$3,0,0,'Données projet'!$E$12+1,1))</f>
        <v>321.23599968992932</v>
      </c>
      <c r="CE131" s="59">
        <f t="shared" si="94"/>
        <v>388.05195847800502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0.5247191031780305</v>
      </c>
      <c r="CL131" s="21">
        <f>EXP(-LN(2)/25)*CL130+(1-EXP(-LN(2)/25))/(LN(2)/25)*Calculateur!CG131*Calculateur!CI131*VLOOKUP('Données projet'!$B$12,Paramètres!$A$1:$I$89,3,0)*0.475*44/12</f>
        <v>1.3939095642686397</v>
      </c>
      <c r="CM131" s="21">
        <f>EXP(-LN(2)/2)*CM130+(1-EXP(-LN(2)/2))/(LN(2)/2)*CG131*CJ131*VLOOKUP('Données projet'!$B$12,Paramètres!$A$1:$I$89,3,0)*0.475*44/12</f>
        <v>2.1427984655748472E-14</v>
      </c>
      <c r="CN131" s="22">
        <f t="shared" si="66"/>
        <v>1.9186286674466917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6.083333333333333</v>
      </c>
      <c r="CT131" s="12">
        <f>IF('Données projet'!$A$140&gt;35,CT130+CS131-DB130,IF(A131&lt;'Données projet'!$A$140,$CQ$205^A131,IF(A131='Données projet'!$A$140,'Données projet'!$B$140,CT130+CS131-DB130)))</f>
        <v>330.91666666666657</v>
      </c>
      <c r="CU131" s="17">
        <f>CT131*VLOOKUP('Données projet'!$B$13,Paramètres!$A$1:$I$89,3,0)*VLOOKUP('Données projet'!$B$13,Paramètres!$A$1:$I$89,5,0)</f>
        <v>320.06259999999992</v>
      </c>
      <c r="CV131" s="13">
        <f t="shared" si="95"/>
        <v>75.366378661976071</v>
      </c>
      <c r="CW131" s="20">
        <f t="shared" si="67"/>
        <v>688.70547116960813</v>
      </c>
      <c r="CX131" s="59">
        <f t="shared" si="68"/>
        <v>982.0388045029415</v>
      </c>
      <c r="CY131" s="59">
        <f ca="1">AVERAGE(OFFSET($CX$3,0,0,'Données projet'!$E$13+1,1))-AVERAGE(OFFSET($H$3,0,0,'Données projet'!$E$13+1,1))</f>
        <v>399.24912109442175</v>
      </c>
      <c r="CZ131" s="59">
        <f t="shared" si="96"/>
        <v>269.83150082245305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6.083333333333333</v>
      </c>
      <c r="DO131" s="12">
        <f>IF('Données projet'!$A$166&gt;35,DO130+DN131-DW130,IF(A131&lt;'Données projet'!$A$166,$DL$205^A131,IF(A131='Données projet'!$A$166,'Données projet'!$B$166,DO130+DN131-DW130)))</f>
        <v>330.91666666666657</v>
      </c>
      <c r="DP131" s="17">
        <f>DO131*VLOOKUP('Données projet'!$B$14,Paramètres!$A$1:$I$89,3,0)*VLOOKUP('Données projet'!$B$14,Paramètres!$A$1:$I$89,5,0)</f>
        <v>356.19869999999992</v>
      </c>
      <c r="DQ131" s="13">
        <f t="shared" si="97"/>
        <v>82.837580903302523</v>
      </c>
      <c r="DR131" s="20">
        <f t="shared" si="70"/>
        <v>764.65485590658511</v>
      </c>
      <c r="DS131" s="59">
        <f t="shared" si="71"/>
        <v>1057.9881892399185</v>
      </c>
      <c r="DT131" s="59">
        <f ca="1">AVERAGE(OFFSET($DS$3,0,0,'Données projet'!$E$14+1,1))-AVERAGE(OFFSET($H$3,0,0,'Données projet'!$E$14+1,1))</f>
        <v>439.66981240211362</v>
      </c>
      <c r="DU131" s="59">
        <f t="shared" si="98"/>
        <v>295.47805371292458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6.083333333333333</v>
      </c>
      <c r="EJ131" s="12">
        <f>IF('Données projet'!$A$192&gt;35,EJ130+EI131-ER130,IF(A131&lt;'Données projet'!$A$192,$EG$205^A131,IF(A131='Données projet'!$A$192,'Données projet'!$B$192,EJ130+EI131-ER130)))</f>
        <v>330.91666666666657</v>
      </c>
      <c r="EK131" s="17">
        <f>EJ131*VLOOKUP('Données projet'!$B$15,Paramètres!$A$1:$I$89,3,0)*VLOOKUP('Données projet'!$B$15,Paramètres!$A$1:$I$89,5,0)</f>
        <v>314.9002999999999</v>
      </c>
      <c r="EL131" s="13">
        <f t="shared" si="99"/>
        <v>74.291271842482175</v>
      </c>
      <c r="EM131" s="20">
        <f t="shared" si="73"/>
        <v>677.84198762565632</v>
      </c>
      <c r="EN131" s="59">
        <f t="shared" si="74"/>
        <v>971.17532095898969</v>
      </c>
      <c r="EO131" s="59">
        <f ca="1">AVERAGE(OFFSET($EN$3,0,0,'Données projet'!$E$15+1,1))-AVERAGE(OFFSET($H$3,0,0,'Données projet'!$E$15+1,1))</f>
        <v>393.46715670823653</v>
      </c>
      <c r="EP131" s="59">
        <f t="shared" si="100"/>
        <v>266.16261355327214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549.43232095729741</v>
      </c>
      <c r="T132" s="59">
        <f t="shared" si="88"/>
        <v>280.26155987300996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1.7636786936104847</v>
      </c>
      <c r="AA132" s="21">
        <f>EXP(-LN(2)/25)*AA131+(1-EXP(-LN(2)/25))/(LN(2)/25)*Calculateur!V132*Calculateur!X132*VLOOKUP('Données projet'!$B$9,Paramètres!$A$1:$I$89,3,0)*0.475*44/12</f>
        <v>0.61415700456999101</v>
      </c>
      <c r="AB132" s="21">
        <f>EXP(-LN(2)/2)*AB131+(1-EXP(-LN(2)/2))/(LN(2)/2)*V132*Y132*VLOOKUP('Données projet'!$B$9,Paramètres!$A$1:$I$89,3,0)*0.475*44/12</f>
        <v>5.6588556452007909E-15</v>
      </c>
      <c r="AC132" s="22">
        <f t="shared" ref="AC132:AC153" si="111">SUM(Z132:AB132)</f>
        <v>2.3778356981804816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348.62416478262719</v>
      </c>
      <c r="AO132" s="59">
        <f t="shared" si="90"/>
        <v>371.70674704563288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1.8645379695017492</v>
      </c>
      <c r="AV132" s="21">
        <f>EXP(-LN(2)/25)*AV131+(1-EXP(-LN(2)/25))/(LN(2)/25)*Calculateur!AQ132*Calculateur!AS132*VLOOKUP('Données projet'!$B$10,Paramètres!$A$1:$I$89,3,0)*0.475*44/12</f>
        <v>0.78445096274631987</v>
      </c>
      <c r="AW132" s="21">
        <f>EXP(-LN(2)/2)*AW131+(1-EXP(-LN(2)/2))/(LN(2)/2)*AQ132*AT132*VLOOKUP('Données projet'!$B$10,Paramètres!$A$1:$I$89,3,0)*0.475*44/12</f>
        <v>1.5645098236781401E-14</v>
      </c>
      <c r="AX132" s="21">
        <f t="shared" ref="AX132:AX153" si="114">SUM(AU132:AW132)</f>
        <v>2.6489889322480846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405.7176439604217</v>
      </c>
      <c r="BJ132" s="59">
        <f t="shared" si="92"/>
        <v>278.21741231699929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1.0288216891907533</v>
      </c>
      <c r="BQ132" s="21">
        <f>EXP(-LN(2)/25)*BQ131+(1-EXP(-LN(2)/25))/(LN(2)/25)*Calculateur!BL132*Calculateur!BN132*VLOOKUP('Données projet'!$B$11,Paramètres!$A$1:$I$89,3,0)*0.475*44/12</f>
        <v>0.6017528461932371</v>
      </c>
      <c r="BR132" s="21">
        <f>EXP(-LN(2)/2)*BR131+(1-EXP(-LN(2)/2))/(LN(2)/2)*BL132*BO132*VLOOKUP('Données projet'!$B$11,Paramètres!$A$1:$I$89,3,0)*0.475*44/12</f>
        <v>1.0720381027718119E-14</v>
      </c>
      <c r="BS132" s="22">
        <f t="shared" ref="BS132:BS153" si="117">SUM(BP132:BR132)</f>
        <v>1.6305745353840011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1.9895196601282805E-13</v>
      </c>
      <c r="BZ132" s="13">
        <f>BY132*VLOOKUP('Données projet'!$B$12,Paramètres!$A$1:$I$89,3,0)*VLOOKUP('Données projet'!$B$12,Paramètres!$A$1:$I$89,5,0)</f>
        <v>1.738044375088066E-13</v>
      </c>
      <c r="CA132" s="13">
        <f t="shared" si="93"/>
        <v>2.4483293633950478E-12</v>
      </c>
      <c r="CB132" s="20">
        <f t="shared" ref="CB132:CB153" si="118">(BZ132+CA132)*0.475*44/12</f>
        <v>4.566883036574213E-12</v>
      </c>
      <c r="CC132" s="59">
        <f t="shared" ref="CC132:CC195" si="119">CB132+(BT132+BU132)*44/12</f>
        <v>293.33333333333786</v>
      </c>
      <c r="CD132" s="59">
        <f ca="1">AVERAGE(OFFSET($CC$3,0,0,'Données projet'!$E$12+1,1))-AVERAGE(OFFSET($H$3,0,0,'Données projet'!$E$12+1,1))</f>
        <v>321.23599968992932</v>
      </c>
      <c r="CE132" s="59">
        <f t="shared" si="94"/>
        <v>388.05195847800502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0.51442968161176028</v>
      </c>
      <c r="CL132" s="21">
        <f>EXP(-LN(2)/25)*CL131+(1-EXP(-LN(2)/25))/(LN(2)/25)*Calculateur!CG132*Calculateur!CI132*VLOOKUP('Données projet'!$B$12,Paramètres!$A$1:$I$89,3,0)*0.475*44/12</f>
        <v>1.3557930339311954</v>
      </c>
      <c r="CM132" s="21">
        <f>EXP(-LN(2)/2)*CM131+(1-EXP(-LN(2)/2))/(LN(2)/2)*CG132*CJ132*VLOOKUP('Données projet'!$B$12,Paramètres!$A$1:$I$89,3,0)*0.475*44/12</f>
        <v>1.5151873257241032E-14</v>
      </c>
      <c r="CN132" s="22">
        <f t="shared" ref="CN132:CN153" si="120">SUM(CK132:CM132)</f>
        <v>1.8702227155429707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>
        <f>VLOOKUP(A132,'Données projet'!$A$139:$I$159,2,0)</f>
        <v>337</v>
      </c>
      <c r="CR132" s="12">
        <f>VLOOKUP(A132,'Données projet'!$A$139:$I$159,9,0)</f>
        <v>6.083333333333333</v>
      </c>
      <c r="CS132" s="12">
        <f t="array" ref="CS132">INDEX(CR:CR,MIN(IF(ISNUMBER(CR132:CR328),ROW(CR132:CR328),"")))</f>
        <v>6.083333333333333</v>
      </c>
      <c r="CT132" s="12">
        <f>IF('Données projet'!$A$140&gt;35,CT131+CS132-DB131,IF(A132&lt;'Données projet'!$A$140,$CQ$205^A132,IF(A132='Données projet'!$A$140,'Données projet'!$B$140,CT131+CS132-DB131)))</f>
        <v>336.99999999999989</v>
      </c>
      <c r="CU132" s="17">
        <f>CT132*VLOOKUP('Données projet'!$B$13,Paramètres!$A$1:$I$89,3,0)*VLOOKUP('Données projet'!$B$13,Paramètres!$A$1:$I$89,5,0)</f>
        <v>325.94639999999993</v>
      </c>
      <c r="CV132" s="13">
        <f t="shared" si="95"/>
        <v>76.589288887456064</v>
      </c>
      <c r="CW132" s="20">
        <f t="shared" ref="CW132:CW153" si="121">(CU132+CV132)*0.475*44/12</f>
        <v>701.08299147898572</v>
      </c>
      <c r="CX132" s="59">
        <f t="shared" ref="CX132:CX195" si="122">CW132+(CO132+CP132)*44/12</f>
        <v>994.41632481231909</v>
      </c>
      <c r="CY132" s="59">
        <f ca="1">AVERAGE(OFFSET($CX$3,0,0,'Données projet'!$E$13+1,1))-AVERAGE(OFFSET($H$3,0,0,'Données projet'!$E$13+1,1))</f>
        <v>399.24912109442175</v>
      </c>
      <c r="CZ132" s="59">
        <f t="shared" si="96"/>
        <v>269.83150082245305</v>
      </c>
      <c r="DA132" s="15">
        <f>IF(ISNA(VLOOKUP(A132,'Données projet'!$A$139:$I$159,3,0)),0,VLOOKUP(A132,'Données projet'!$A$139:$I$159,3,0))</f>
        <v>12</v>
      </c>
      <c r="DB132" s="15">
        <f>IF(ISNA(VLOOKUP(A132,'Données projet'!$A$139:$I$159,4,0)),0,VLOOKUP(A132,'Données projet'!$A$139:$I$159,4,0))</f>
        <v>337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>
        <f>VLOOKUP(A132,'Données projet'!$A$165:$I$185,2,0)</f>
        <v>337</v>
      </c>
      <c r="DM132" s="12">
        <f>VLOOKUP(A132,'Données projet'!$A$165:$I$185,9,0)</f>
        <v>6.083333333333333</v>
      </c>
      <c r="DN132" s="12">
        <f t="array" ref="DN132">INDEX(DM:DM,MIN(IF(ISNUMBER(DM132:DM328),ROW(DM132:DM328),"")))</f>
        <v>6.083333333333333</v>
      </c>
      <c r="DO132" s="12">
        <f>IF('Données projet'!$A$166&gt;35,DO131+DN132-DW131,IF(A132&lt;'Données projet'!$A$166,$DL$205^A132,IF(A132='Données projet'!$A$166,'Données projet'!$B$166,DO131+DN132-DW131)))</f>
        <v>336.99999999999989</v>
      </c>
      <c r="DP132" s="17">
        <f>DO132*VLOOKUP('Données projet'!$B$14,Paramètres!$A$1:$I$89,3,0)*VLOOKUP('Données projet'!$B$14,Paramètres!$A$1:$I$89,5,0)</f>
        <v>362.74679999999989</v>
      </c>
      <c r="DQ132" s="13">
        <f t="shared" si="97"/>
        <v>84.181720379540678</v>
      </c>
      <c r="DR132" s="20">
        <f t="shared" ref="DR132:DR153" si="124">(DP132+DQ132)*0.475*44/12</f>
        <v>778.40050632769987</v>
      </c>
      <c r="DS132" s="59">
        <f t="shared" ref="DS132:DS195" si="125">DR132+(DJ132+DK132)*44/12</f>
        <v>1071.7338396610332</v>
      </c>
      <c r="DT132" s="59">
        <f ca="1">AVERAGE(OFFSET($DS$3,0,0,'Données projet'!$E$14+1,1))-AVERAGE(OFFSET($H$3,0,0,'Données projet'!$E$14+1,1))</f>
        <v>439.66981240211362</v>
      </c>
      <c r="DU132" s="59">
        <f t="shared" si="98"/>
        <v>295.47805371292458</v>
      </c>
      <c r="DV132" s="15">
        <f>IF(ISNA(VLOOKUP(A132,'Données projet'!$A$165:$I$185,3,0)),0,VLOOKUP(A132,'Données projet'!$A$165:$I$185,3,0))</f>
        <v>12</v>
      </c>
      <c r="DW132" s="15">
        <f>IF(ISNA(VLOOKUP(A132,'Données projet'!$A$165:$I$185,4,0)),0,VLOOKUP(A132,'Données projet'!$A$165:$I$185,4,0))</f>
        <v>337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>
        <f>VLOOKUP(A132,'Données projet'!$A$191:$I$211,2,0)</f>
        <v>337</v>
      </c>
      <c r="EH132" s="12">
        <f>VLOOKUP(A132,'Données projet'!$A$191:$I$211,9,0)</f>
        <v>6.083333333333333</v>
      </c>
      <c r="EI132" s="12">
        <f t="array" ref="EI132">INDEX(EH:EH,MIN(IF(ISNUMBER(EH132:EH328),ROW(EH132:EH328),"")))</f>
        <v>6.083333333333333</v>
      </c>
      <c r="EJ132" s="12">
        <f>IF('Données projet'!$A$192&gt;35,EJ131+EI132-ER131,IF(A132&lt;'Données projet'!$A$192,$EG$205^A132,IF(A132='Données projet'!$A$192,'Données projet'!$B$192,EJ131+EI132-ER131)))</f>
        <v>336.99999999999989</v>
      </c>
      <c r="EK132" s="17">
        <f>EJ132*VLOOKUP('Données projet'!$B$15,Paramètres!$A$1:$I$89,3,0)*VLOOKUP('Données projet'!$B$15,Paramètres!$A$1:$I$89,5,0)</f>
        <v>320.68919999999991</v>
      </c>
      <c r="EL132" s="13">
        <f t="shared" si="99"/>
        <v>75.496737165521779</v>
      </c>
      <c r="EM132" s="20">
        <f t="shared" ref="EM132:EM153" si="127">(EK132+EL132)*0.475*44/12</f>
        <v>690.02384056328356</v>
      </c>
      <c r="EN132" s="59">
        <f t="shared" ref="EN132:EN195" si="128">EM132+(EE132+EF132)*44/12</f>
        <v>983.35717389661681</v>
      </c>
      <c r="EO132" s="59">
        <f ca="1">AVERAGE(OFFSET($EN$3,0,0,'Données projet'!$E$15+1,1))-AVERAGE(OFFSET($H$3,0,0,'Données projet'!$E$15+1,1))</f>
        <v>393.46715670823653</v>
      </c>
      <c r="EP132" s="59">
        <f t="shared" si="100"/>
        <v>266.16261355327214</v>
      </c>
      <c r="EQ132" s="15">
        <f>IF(ISNA(VLOOKUP(A132,'Données projet'!$A$191:$I$211,3,0)),0,VLOOKUP(A132,'Données projet'!$A$191:$I$211,3,0))</f>
        <v>12</v>
      </c>
      <c r="ER132" s="15">
        <f>IF(ISNA(VLOOKUP(A132,'Données projet'!$A$191:$I$211,4,0)),0,VLOOKUP(A132,'Données projet'!$A$191:$I$211,4,0))</f>
        <v>337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549.43232095729741</v>
      </c>
      <c r="T133" s="59">
        <f t="shared" ref="T133:T196" si="142">$T$3</f>
        <v>280.26155987300996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1.7290940301665658</v>
      </c>
      <c r="AA133" s="21">
        <f>EXP(-LN(2)/25)*AA132+(1-EXP(-LN(2)/25))/(LN(2)/25)*Calculateur!V133*Calculateur!X133*VLOOKUP('Données projet'!$B$9,Paramètres!$A$1:$I$89,3,0)*0.475*44/12</f>
        <v>0.59736284898291137</v>
      </c>
      <c r="AB133" s="21">
        <f>EXP(-LN(2)/2)*AB132+(1-EXP(-LN(2)/2))/(LN(2)/2)*V133*Y133*VLOOKUP('Données projet'!$B$9,Paramètres!$A$1:$I$89,3,0)*0.475*44/12</f>
        <v>4.0014152004772549E-15</v>
      </c>
      <c r="AC133" s="22">
        <f t="shared" si="111"/>
        <v>2.3264568791494811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348.62416478262719</v>
      </c>
      <c r="AO133" s="59">
        <f t="shared" ref="AO133:AO196" si="144">$AO$3</f>
        <v>371.70674704563288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1.8279755171756866</v>
      </c>
      <c r="AV133" s="21">
        <f>EXP(-LN(2)/25)*AV132+(1-EXP(-LN(2)/25))/(LN(2)/25)*Calculateur!AQ133*Calculateur!AS133*VLOOKUP('Données projet'!$B$10,Paramètres!$A$1:$I$89,3,0)*0.475*44/12</f>
        <v>0.76300010991753853</v>
      </c>
      <c r="AW133" s="21">
        <f>EXP(-LN(2)/2)*AW132+(1-EXP(-LN(2)/2))/(LN(2)/2)*AQ133*AT133*VLOOKUP('Données projet'!$B$10,Paramètres!$A$1:$I$89,3,0)*0.475*44/12</f>
        <v>1.1062755055557826E-14</v>
      </c>
      <c r="AX133" s="21">
        <f t="shared" si="114"/>
        <v>2.5909756270932363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405.7176439604217</v>
      </c>
      <c r="BJ133" s="59">
        <f t="shared" ref="BJ133:BJ196" si="146">$BJ$3</f>
        <v>278.21741231699929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1.0086471233849907</v>
      </c>
      <c r="BQ133" s="21">
        <f>EXP(-LN(2)/25)*BQ132+(1-EXP(-LN(2)/25))/(LN(2)/25)*Calculateur!BL133*Calculateur!BN133*VLOOKUP('Données projet'!$B$11,Paramètres!$A$1:$I$89,3,0)*0.475*44/12</f>
        <v>0.58529788296927621</v>
      </c>
      <c r="BR133" s="21">
        <f>EXP(-LN(2)/2)*BR132+(1-EXP(-LN(2)/2))/(LN(2)/2)*BL133*BO133*VLOOKUP('Données projet'!$B$11,Paramètres!$A$1:$I$89,3,0)*0.475*44/12</f>
        <v>7.5804541216030912E-15</v>
      </c>
      <c r="BS133" s="22">
        <f t="shared" si="117"/>
        <v>1.5939450063542746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1.9895196601282805E-13</v>
      </c>
      <c r="BZ133" s="13">
        <f>BY133*VLOOKUP('Données projet'!$B$12,Paramètres!$A$1:$I$89,3,0)*VLOOKUP('Données projet'!$B$12,Paramètres!$A$1:$I$89,5,0)</f>
        <v>1.738044375088066E-13</v>
      </c>
      <c r="CA133" s="13">
        <f t="shared" ref="CA133:CA153" si="147">EXP(-1.0587+0.8836*LN(BZ133)+0.284)</f>
        <v>2.4483293633950478E-12</v>
      </c>
      <c r="CB133" s="20">
        <f t="shared" si="118"/>
        <v>4.566883036574213E-12</v>
      </c>
      <c r="CC133" s="59">
        <f t="shared" si="119"/>
        <v>293.33333333333786</v>
      </c>
      <c r="CD133" s="59">
        <f ca="1">AVERAGE(OFFSET($CC$3,0,0,'Données projet'!$E$12+1,1))-AVERAGE(OFFSET($H$3,0,0,'Données projet'!$E$12+1,1))</f>
        <v>321.23599968992932</v>
      </c>
      <c r="CE133" s="59">
        <f t="shared" ref="CE133:CE196" si="148">$CE$3</f>
        <v>388.05195847800502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0.50434202932647709</v>
      </c>
      <c r="CL133" s="21">
        <f>EXP(-LN(2)/25)*CL132+(1-EXP(-LN(2)/25))/(LN(2)/25)*Calculateur!CG133*Calculateur!CI133*VLOOKUP('Données projet'!$B$12,Paramètres!$A$1:$I$89,3,0)*0.475*44/12</f>
        <v>1.31871880212029</v>
      </c>
      <c r="CM133" s="21">
        <f>EXP(-LN(2)/2)*CM132+(1-EXP(-LN(2)/2))/(LN(2)/2)*CG133*CJ133*VLOOKUP('Données projet'!$B$12,Paramètres!$A$1:$I$89,3,0)*0.475*44/12</f>
        <v>1.0713992327874236E-14</v>
      </c>
      <c r="CN133" s="22">
        <f t="shared" si="120"/>
        <v>1.8230608314467778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-1.0995790944434703E-13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399.24912109442175</v>
      </c>
      <c r="CZ133" s="59">
        <f t="shared" ref="CZ133:CZ196" si="150">$CZ$3</f>
        <v>269.83150082245305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-1.223725121235475E-13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439.66981240211362</v>
      </c>
      <c r="DU133" s="59">
        <f t="shared" ref="DU133:DU196" si="152">$DU$3</f>
        <v>295.47805371292458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-1.0818439477588981E-13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393.46715670823653</v>
      </c>
      <c r="EP133" s="59">
        <f t="shared" ref="EP133:EP196" si="154">$EP$3</f>
        <v>266.16261355327214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549.43232095729741</v>
      </c>
      <c r="T134" s="59">
        <f t="shared" si="142"/>
        <v>280.26155987300996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1.6951875508782206</v>
      </c>
      <c r="AA134" s="21">
        <f>EXP(-LN(2)/25)*AA133+(1-EXP(-LN(2)/25))/(LN(2)/25)*Calculateur!V134*Calculateur!X134*VLOOKUP('Données projet'!$B$9,Paramètres!$A$1:$I$89,3,0)*0.475*44/12</f>
        <v>0.58102793046352674</v>
      </c>
      <c r="AB134" s="21">
        <f>EXP(-LN(2)/2)*AB133+(1-EXP(-LN(2)/2))/(LN(2)/2)*V134*Y134*VLOOKUP('Données projet'!$B$9,Paramètres!$A$1:$I$89,3,0)*0.475*44/12</f>
        <v>2.8294278226003955E-15</v>
      </c>
      <c r="AC134" s="22">
        <f t="shared" si="111"/>
        <v>2.2762154813417501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348.62416478262719</v>
      </c>
      <c r="AO134" s="59">
        <f t="shared" si="144"/>
        <v>371.70674704563288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1.7921300322388443</v>
      </c>
      <c r="AV134" s="21">
        <f>EXP(-LN(2)/25)*AV133+(1-EXP(-LN(2)/25))/(LN(2)/25)*Calculateur!AQ134*Calculateur!AS134*VLOOKUP('Données projet'!$B$10,Paramètres!$A$1:$I$89,3,0)*0.475*44/12</f>
        <v>0.74213583178741149</v>
      </c>
      <c r="AW134" s="21">
        <f>EXP(-LN(2)/2)*AW133+(1-EXP(-LN(2)/2))/(LN(2)/2)*AQ134*AT134*VLOOKUP('Données projet'!$B$10,Paramètres!$A$1:$I$89,3,0)*0.475*44/12</f>
        <v>7.8225491183907003E-15</v>
      </c>
      <c r="AX134" s="21">
        <f t="shared" si="114"/>
        <v>2.5342658640262639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405.7176439604217</v>
      </c>
      <c r="BJ134" s="59">
        <f t="shared" si="146"/>
        <v>278.21741231699929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0.98886816850940895</v>
      </c>
      <c r="BQ134" s="21">
        <f>EXP(-LN(2)/25)*BQ133+(1-EXP(-LN(2)/25))/(LN(2)/25)*Calculateur!BL134*Calculateur!BN134*VLOOKUP('Données projet'!$B$11,Paramètres!$A$1:$I$89,3,0)*0.475*44/12</f>
        <v>0.56929288158000335</v>
      </c>
      <c r="BR134" s="21">
        <f>EXP(-LN(2)/2)*BR133+(1-EXP(-LN(2)/2))/(LN(2)/2)*BL134*BO134*VLOOKUP('Données projet'!$B$11,Paramètres!$A$1:$I$89,3,0)*0.475*44/12</f>
        <v>5.3601905138590594E-15</v>
      </c>
      <c r="BS134" s="22">
        <f t="shared" si="117"/>
        <v>1.5581610500894176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1.9895196601282805E-13</v>
      </c>
      <c r="BZ134" s="13">
        <f>BY134*VLOOKUP('Données projet'!$B$12,Paramètres!$A$1:$I$89,3,0)*VLOOKUP('Données projet'!$B$12,Paramètres!$A$1:$I$89,5,0)</f>
        <v>1.738044375088066E-13</v>
      </c>
      <c r="CA134" s="13">
        <f t="shared" si="147"/>
        <v>2.4483293633950478E-12</v>
      </c>
      <c r="CB134" s="20">
        <f t="shared" si="118"/>
        <v>4.566883036574213E-12</v>
      </c>
      <c r="CC134" s="59">
        <f t="shared" si="119"/>
        <v>293.33333333333786</v>
      </c>
      <c r="CD134" s="59">
        <f ca="1">AVERAGE(OFFSET($CC$3,0,0,'Données projet'!$E$12+1,1))-AVERAGE(OFFSET($H$3,0,0,'Données projet'!$E$12+1,1))</f>
        <v>321.23599968992932</v>
      </c>
      <c r="CE134" s="59">
        <f t="shared" si="148"/>
        <v>388.05195847800502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0.494452189749648</v>
      </c>
      <c r="CL134" s="21">
        <f>EXP(-LN(2)/25)*CL133+(1-EXP(-LN(2)/25))/(LN(2)/25)*Calculateur!CG134*Calculateur!CI134*VLOOKUP('Données projet'!$B$12,Paramètres!$A$1:$I$89,3,0)*0.475*44/12</f>
        <v>1.2826583671279028</v>
      </c>
      <c r="CM134" s="21">
        <f>EXP(-LN(2)/2)*CM133+(1-EXP(-LN(2)/2))/(LN(2)/2)*CG134*CJ134*VLOOKUP('Données projet'!$B$12,Paramètres!$A$1:$I$89,3,0)*0.475*44/12</f>
        <v>7.5759366286205162E-15</v>
      </c>
      <c r="CN134" s="22">
        <f t="shared" si="120"/>
        <v>1.7771105568775583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-1.0995790944434703E-13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399.24912109442175</v>
      </c>
      <c r="CZ134" s="59">
        <f t="shared" si="150"/>
        <v>269.83150082245305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-1.223725121235475E-13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439.66981240211362</v>
      </c>
      <c r="DU134" s="59">
        <f t="shared" si="152"/>
        <v>295.47805371292458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-1.0818439477588981E-13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393.46715670823653</v>
      </c>
      <c r="EP134" s="59">
        <f t="shared" si="154"/>
        <v>266.16261355327214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549.43232095729741</v>
      </c>
      <c r="T135" s="59">
        <f t="shared" si="142"/>
        <v>280.26155987300996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1.6619459569678094</v>
      </c>
      <c r="AA135" s="21">
        <f>EXP(-LN(2)/25)*AA134+(1-EXP(-LN(2)/25))/(LN(2)/25)*Calculateur!V135*Calculateur!X135*VLOOKUP('Données projet'!$B$9,Paramètres!$A$1:$I$89,3,0)*0.475*44/12</f>
        <v>0.56513969115007068</v>
      </c>
      <c r="AB135" s="21">
        <f>EXP(-LN(2)/2)*AB134+(1-EXP(-LN(2)/2))/(LN(2)/2)*V135*Y135*VLOOKUP('Données projet'!$B$9,Paramètres!$A$1:$I$89,3,0)*0.475*44/12</f>
        <v>2.0007076002386274E-15</v>
      </c>
      <c r="AC135" s="22">
        <f t="shared" si="111"/>
        <v>2.2270856481178822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348.62416478262719</v>
      </c>
      <c r="AO135" s="59">
        <f t="shared" si="144"/>
        <v>371.70674704563288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1.7569874553980265</v>
      </c>
      <c r="AV135" s="21">
        <f>EXP(-LN(2)/25)*AV134+(1-EXP(-LN(2)/25))/(LN(2)/25)*Calculateur!AQ135*Calculateur!AS135*VLOOKUP('Données projet'!$B$10,Paramètres!$A$1:$I$89,3,0)*0.475*44/12</f>
        <v>0.72184208843995745</v>
      </c>
      <c r="AW135" s="21">
        <f>EXP(-LN(2)/2)*AW134+(1-EXP(-LN(2)/2))/(LN(2)/2)*AQ135*AT135*VLOOKUP('Données projet'!$B$10,Paramètres!$A$1:$I$89,3,0)*0.475*44/12</f>
        <v>5.5313775277789132E-15</v>
      </c>
      <c r="AX135" s="21">
        <f t="shared" si="114"/>
        <v>2.478829543837989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405.7176439604217</v>
      </c>
      <c r="BJ135" s="59">
        <f t="shared" si="146"/>
        <v>278.21741231699929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0.96947706687496615</v>
      </c>
      <c r="BQ135" s="21">
        <f>EXP(-LN(2)/25)*BQ134+(1-EXP(-LN(2)/25))/(LN(2)/25)*Calculateur!BL135*Calculateur!BN135*VLOOKUP('Données projet'!$B$11,Paramètres!$A$1:$I$89,3,0)*0.475*44/12</f>
        <v>0.55372553779538669</v>
      </c>
      <c r="BR135" s="21">
        <f>EXP(-LN(2)/2)*BR134+(1-EXP(-LN(2)/2))/(LN(2)/2)*BL135*BO135*VLOOKUP('Données projet'!$B$11,Paramètres!$A$1:$I$89,3,0)*0.475*44/12</f>
        <v>3.7902270608015456E-15</v>
      </c>
      <c r="BS135" s="22">
        <f t="shared" si="117"/>
        <v>1.5232026046703566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1.9895196601282805E-13</v>
      </c>
      <c r="BZ135" s="13">
        <f>BY135*VLOOKUP('Données projet'!$B$12,Paramètres!$A$1:$I$89,3,0)*VLOOKUP('Données projet'!$B$12,Paramètres!$A$1:$I$89,5,0)</f>
        <v>1.738044375088066E-13</v>
      </c>
      <c r="CA135" s="13">
        <f t="shared" si="147"/>
        <v>2.4483293633950478E-12</v>
      </c>
      <c r="CB135" s="20">
        <f t="shared" si="118"/>
        <v>4.566883036574213E-12</v>
      </c>
      <c r="CC135" s="59">
        <f t="shared" si="119"/>
        <v>293.33333333333786</v>
      </c>
      <c r="CD135" s="59">
        <f ca="1">AVERAGE(OFFSET($CC$3,0,0,'Données projet'!$E$12+1,1))-AVERAGE(OFFSET($H$3,0,0,'Données projet'!$E$12+1,1))</f>
        <v>321.23599968992932</v>
      </c>
      <c r="CE135" s="59">
        <f t="shared" si="148"/>
        <v>388.05195847800502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0.48475628389471398</v>
      </c>
      <c r="CL135" s="21">
        <f>EXP(-LN(2)/25)*CL134+(1-EXP(-LN(2)/25))/(LN(2)/25)*Calculateur!CG135*Calculateur!CI135*VLOOKUP('Données projet'!$B$12,Paramètres!$A$1:$I$89,3,0)*0.475*44/12</f>
        <v>1.2475840066267183</v>
      </c>
      <c r="CM135" s="21">
        <f>EXP(-LN(2)/2)*CM134+(1-EXP(-LN(2)/2))/(LN(2)/2)*CG135*CJ135*VLOOKUP('Données projet'!$B$12,Paramètres!$A$1:$I$89,3,0)*0.475*44/12</f>
        <v>5.356996163937118E-15</v>
      </c>
      <c r="CN135" s="22">
        <f t="shared" si="120"/>
        <v>1.7323402905214376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-1.0995790944434703E-13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399.24912109442175</v>
      </c>
      <c r="CZ135" s="59">
        <f t="shared" si="150"/>
        <v>269.83150082245305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-1.223725121235475E-13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439.66981240211362</v>
      </c>
      <c r="DU135" s="59">
        <f t="shared" si="152"/>
        <v>295.47805371292458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-1.0818439477588981E-13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393.46715670823653</v>
      </c>
      <c r="EP135" s="59">
        <f t="shared" si="154"/>
        <v>266.16261355327214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549.43232095729741</v>
      </c>
      <c r="T136" s="59">
        <f t="shared" si="142"/>
        <v>280.26155987300996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1.6293562104386112</v>
      </c>
      <c r="AA136" s="21">
        <f>EXP(-LN(2)/25)*AA135+(1-EXP(-LN(2)/25))/(LN(2)/25)*Calculateur!V136*Calculateur!X136*VLOOKUP('Données projet'!$B$9,Paramètres!$A$1:$I$89,3,0)*0.475*44/12</f>
        <v>0.54968591657616728</v>
      </c>
      <c r="AB136" s="21">
        <f>EXP(-LN(2)/2)*AB135+(1-EXP(-LN(2)/2))/(LN(2)/2)*V136*Y136*VLOOKUP('Données projet'!$B$9,Paramètres!$A$1:$I$89,3,0)*0.475*44/12</f>
        <v>1.4147139113001977E-15</v>
      </c>
      <c r="AC136" s="22">
        <f t="shared" si="111"/>
        <v>2.17904212701478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348.62416478262719</v>
      </c>
      <c r="AO136" s="59">
        <f t="shared" si="144"/>
        <v>371.70674704563288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1.7225340030542016</v>
      </c>
      <c r="AV136" s="21">
        <f>EXP(-LN(2)/25)*AV135+(1-EXP(-LN(2)/25))/(LN(2)/25)*Calculateur!AQ136*Calculateur!AS136*VLOOKUP('Données projet'!$B$10,Paramètres!$A$1:$I$89,3,0)*0.475*44/12</f>
        <v>0.7021032785715412</v>
      </c>
      <c r="AW136" s="21">
        <f>EXP(-LN(2)/2)*AW135+(1-EXP(-LN(2)/2))/(LN(2)/2)*AQ136*AT136*VLOOKUP('Données projet'!$B$10,Paramètres!$A$1:$I$89,3,0)*0.475*44/12</f>
        <v>3.9112745591953502E-15</v>
      </c>
      <c r="AX136" s="21">
        <f t="shared" si="114"/>
        <v>2.4246372816257469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405.7176439604217</v>
      </c>
      <c r="BJ136" s="59">
        <f t="shared" si="146"/>
        <v>278.21741231699929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0.95046621291617062</v>
      </c>
      <c r="BQ136" s="21">
        <f>EXP(-LN(2)/25)*BQ135+(1-EXP(-LN(2)/25))/(LN(2)/25)*Calculateur!BL136*Calculateur!BN136*VLOOKUP('Données projet'!$B$11,Paramètres!$A$1:$I$89,3,0)*0.475*44/12</f>
        <v>0.53858388384521139</v>
      </c>
      <c r="BR136" s="21">
        <f>EXP(-LN(2)/2)*BR135+(1-EXP(-LN(2)/2))/(LN(2)/2)*BL136*BO136*VLOOKUP('Données projet'!$B$11,Paramètres!$A$1:$I$89,3,0)*0.475*44/12</f>
        <v>2.6800952569295297E-15</v>
      </c>
      <c r="BS136" s="22">
        <f t="shared" si="117"/>
        <v>1.4890500967613847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1.9895196601282805E-13</v>
      </c>
      <c r="BZ136" s="13">
        <f>BY136*VLOOKUP('Données projet'!$B$12,Paramètres!$A$1:$I$89,3,0)*VLOOKUP('Données projet'!$B$12,Paramètres!$A$1:$I$89,5,0)</f>
        <v>1.738044375088066E-13</v>
      </c>
      <c r="CA136" s="13">
        <f t="shared" si="147"/>
        <v>2.4483293633950478E-12</v>
      </c>
      <c r="CB136" s="20">
        <f t="shared" si="118"/>
        <v>4.566883036574213E-12</v>
      </c>
      <c r="CC136" s="59">
        <f t="shared" si="119"/>
        <v>293.33333333333786</v>
      </c>
      <c r="CD136" s="59">
        <f ca="1">AVERAGE(OFFSET($CC$3,0,0,'Données projet'!$E$12+1,1))-AVERAGE(OFFSET($H$3,0,0,'Données projet'!$E$12+1,1))</f>
        <v>321.23599968992932</v>
      </c>
      <c r="CE136" s="59">
        <f t="shared" si="148"/>
        <v>388.05195847800502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0.47525050883967662</v>
      </c>
      <c r="CL136" s="21">
        <f>EXP(-LN(2)/25)*CL135+(1-EXP(-LN(2)/25))/(LN(2)/25)*Calculateur!CG136*Calculateur!CI136*VLOOKUP('Données projet'!$B$12,Paramètres!$A$1:$I$89,3,0)*0.475*44/12</f>
        <v>1.2134687563579192</v>
      </c>
      <c r="CM136" s="21">
        <f>EXP(-LN(2)/2)*CM135+(1-EXP(-LN(2)/2))/(LN(2)/2)*CG136*CJ136*VLOOKUP('Données projet'!$B$12,Paramètres!$A$1:$I$89,3,0)*0.475*44/12</f>
        <v>3.7879683143102581E-15</v>
      </c>
      <c r="CN136" s="22">
        <f t="shared" si="120"/>
        <v>1.6887192651975995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-1.0995790944434703E-13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399.24912109442175</v>
      </c>
      <c r="CZ136" s="59">
        <f t="shared" si="150"/>
        <v>269.83150082245305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-1.223725121235475E-13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439.66981240211362</v>
      </c>
      <c r="DU136" s="59">
        <f t="shared" si="152"/>
        <v>295.47805371292458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-1.0818439477588981E-13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393.46715670823653</v>
      </c>
      <c r="EP136" s="59">
        <f t="shared" si="154"/>
        <v>266.16261355327214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549.43232095729741</v>
      </c>
      <c r="T137" s="59">
        <f t="shared" si="142"/>
        <v>280.26155987300996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1.597405528961068</v>
      </c>
      <c r="AA137" s="21">
        <f>EXP(-LN(2)/25)*AA136+(1-EXP(-LN(2)/25))/(LN(2)/25)*Calculateur!V137*Calculateur!X137*VLOOKUP('Données projet'!$B$9,Paramètres!$A$1:$I$89,3,0)*0.475*44/12</f>
        <v>0.5346547262806659</v>
      </c>
      <c r="AB137" s="21">
        <f>EXP(-LN(2)/2)*AB136+(1-EXP(-LN(2)/2))/(LN(2)/2)*V137*Y137*VLOOKUP('Données projet'!$B$9,Paramètres!$A$1:$I$89,3,0)*0.475*44/12</f>
        <v>1.0003538001193137E-15</v>
      </c>
      <c r="AC137" s="22">
        <f t="shared" si="111"/>
        <v>2.1320602552417349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348.62416478262719</v>
      </c>
      <c r="AO137" s="59">
        <f t="shared" si="144"/>
        <v>371.70674704563288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1.6887561618963083</v>
      </c>
      <c r="AV137" s="21">
        <f>EXP(-LN(2)/25)*AV136+(1-EXP(-LN(2)/25))/(LN(2)/25)*Calculateur!AQ137*Calculateur!AS137*VLOOKUP('Données projet'!$B$10,Paramètres!$A$1:$I$89,3,0)*0.475*44/12</f>
        <v>0.68290422749699564</v>
      </c>
      <c r="AW137" s="21">
        <f>EXP(-LN(2)/2)*AW136+(1-EXP(-LN(2)/2))/(LN(2)/2)*AQ137*AT137*VLOOKUP('Données projet'!$B$10,Paramètres!$A$1:$I$89,3,0)*0.475*44/12</f>
        <v>2.7656887638894566E-15</v>
      </c>
      <c r="AX137" s="21">
        <f t="shared" si="114"/>
        <v>2.3716603893933064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405.7176439604217</v>
      </c>
      <c r="BJ137" s="59">
        <f t="shared" si="146"/>
        <v>278.21741231699929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0.93182815020803111</v>
      </c>
      <c r="BQ137" s="21">
        <f>EXP(-LN(2)/25)*BQ136+(1-EXP(-LN(2)/25))/(LN(2)/25)*Calculateur!BL137*Calculateur!BN137*VLOOKUP('Données projet'!$B$11,Paramètres!$A$1:$I$89,3,0)*0.475*44/12</f>
        <v>0.52385627921856859</v>
      </c>
      <c r="BR137" s="21">
        <f>EXP(-LN(2)/2)*BR136+(1-EXP(-LN(2)/2))/(LN(2)/2)*BL137*BO137*VLOOKUP('Données projet'!$B$11,Paramètres!$A$1:$I$89,3,0)*0.475*44/12</f>
        <v>1.8951135304007728E-15</v>
      </c>
      <c r="BS137" s="22">
        <f t="shared" si="117"/>
        <v>1.4556844294266018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1.9895196601282805E-13</v>
      </c>
      <c r="BZ137" s="13">
        <f>BY137*VLOOKUP('Données projet'!$B$12,Paramètres!$A$1:$I$89,3,0)*VLOOKUP('Données projet'!$B$12,Paramètres!$A$1:$I$89,5,0)</f>
        <v>1.738044375088066E-13</v>
      </c>
      <c r="CA137" s="13">
        <f t="shared" si="147"/>
        <v>2.4483293633950478E-12</v>
      </c>
      <c r="CB137" s="20">
        <f t="shared" si="118"/>
        <v>4.566883036574213E-12</v>
      </c>
      <c r="CC137" s="59">
        <f t="shared" si="119"/>
        <v>293.33333333333786</v>
      </c>
      <c r="CD137" s="59">
        <f ca="1">AVERAGE(OFFSET($CC$3,0,0,'Données projet'!$E$12+1,1))-AVERAGE(OFFSET($H$3,0,0,'Données projet'!$E$12+1,1))</f>
        <v>321.23599968992932</v>
      </c>
      <c r="CE137" s="59">
        <f t="shared" si="148"/>
        <v>388.05195847800502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0.46593113623551824</v>
      </c>
      <c r="CL137" s="21">
        <f>EXP(-LN(2)/25)*CL136+(1-EXP(-LN(2)/25))/(LN(2)/25)*Calculateur!CG137*Calculateur!CI137*VLOOKUP('Données projet'!$B$12,Paramètres!$A$1:$I$89,3,0)*0.475*44/12</f>
        <v>1.1802863894017634</v>
      </c>
      <c r="CM137" s="21">
        <f>EXP(-LN(2)/2)*CM136+(1-EXP(-LN(2)/2))/(LN(2)/2)*CG137*CJ137*VLOOKUP('Données projet'!$B$12,Paramètres!$A$1:$I$89,3,0)*0.475*44/12</f>
        <v>2.678498081968559E-15</v>
      </c>
      <c r="CN137" s="22">
        <f t="shared" si="120"/>
        <v>1.6462175256372844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-1.0995790944434703E-13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399.24912109442175</v>
      </c>
      <c r="CZ137" s="59">
        <f t="shared" si="150"/>
        <v>269.83150082245305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-1.223725121235475E-13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439.66981240211362</v>
      </c>
      <c r="DU137" s="59">
        <f t="shared" si="152"/>
        <v>295.47805371292458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-1.0818439477588981E-13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393.46715670823653</v>
      </c>
      <c r="EP137" s="59">
        <f t="shared" si="154"/>
        <v>266.16261355327214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549.43232095729741</v>
      </c>
      <c r="T138" s="59">
        <f t="shared" si="142"/>
        <v>280.26155987300996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1.5660813808593079</v>
      </c>
      <c r="AA138" s="21">
        <f>EXP(-LN(2)/25)*AA137+(1-EXP(-LN(2)/25))/(LN(2)/25)*Calculateur!V138*Calculateur!X138*VLOOKUP('Données projet'!$B$9,Paramètres!$A$1:$I$89,3,0)*0.475*44/12</f>
        <v>0.52003456467425102</v>
      </c>
      <c r="AB138" s="21">
        <f>EXP(-LN(2)/2)*AB137+(1-EXP(-LN(2)/2))/(LN(2)/2)*V138*Y138*VLOOKUP('Données projet'!$B$9,Paramètres!$A$1:$I$89,3,0)*0.475*44/12</f>
        <v>7.0735695565009887E-16</v>
      </c>
      <c r="AC138" s="22">
        <f t="shared" si="111"/>
        <v>2.0861159455335598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348.62416478262719</v>
      </c>
      <c r="AO138" s="59">
        <f t="shared" si="144"/>
        <v>371.70674704563288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1.6556406836010724</v>
      </c>
      <c r="AV138" s="21">
        <f>EXP(-LN(2)/25)*AV137+(1-EXP(-LN(2)/25))/(LN(2)/25)*Calculateur!AQ138*Calculateur!AS138*VLOOKUP('Données projet'!$B$10,Paramètres!$A$1:$I$89,3,0)*0.475*44/12</f>
        <v>0.66423017548371777</v>
      </c>
      <c r="AW138" s="21">
        <f>EXP(-LN(2)/2)*AW137+(1-EXP(-LN(2)/2))/(LN(2)/2)*AQ138*AT138*VLOOKUP('Données projet'!$B$10,Paramètres!$A$1:$I$89,3,0)*0.475*44/12</f>
        <v>1.9556372795976751E-15</v>
      </c>
      <c r="AX138" s="21">
        <f t="shared" si="114"/>
        <v>2.3198708590847921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405.7176439604217</v>
      </c>
      <c r="BJ138" s="59">
        <f t="shared" si="146"/>
        <v>278.21741231699929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0.91355556854150244</v>
      </c>
      <c r="BQ138" s="21">
        <f>EXP(-LN(2)/25)*BQ137+(1-EXP(-LN(2)/25))/(LN(2)/25)*Calculateur!BL138*Calculateur!BN138*VLOOKUP('Données projet'!$B$11,Paramètres!$A$1:$I$89,3,0)*0.475*44/12</f>
        <v>0.50953140171493239</v>
      </c>
      <c r="BR138" s="21">
        <f>EXP(-LN(2)/2)*BR137+(1-EXP(-LN(2)/2))/(LN(2)/2)*BL138*BO138*VLOOKUP('Données projet'!$B$11,Paramètres!$A$1:$I$89,3,0)*0.475*44/12</f>
        <v>1.3400476284647648E-15</v>
      </c>
      <c r="BS138" s="22">
        <f t="shared" si="117"/>
        <v>1.4230869702564362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1.9895196601282805E-13</v>
      </c>
      <c r="BZ138" s="13">
        <f>BY138*VLOOKUP('Données projet'!$B$12,Paramètres!$A$1:$I$89,3,0)*VLOOKUP('Données projet'!$B$12,Paramètres!$A$1:$I$89,5,0)</f>
        <v>1.738044375088066E-13</v>
      </c>
      <c r="CA138" s="13">
        <f t="shared" si="147"/>
        <v>2.4483293633950478E-12</v>
      </c>
      <c r="CB138" s="20">
        <f t="shared" si="118"/>
        <v>4.566883036574213E-12</v>
      </c>
      <c r="CC138" s="59">
        <f t="shared" si="119"/>
        <v>293.33333333333786</v>
      </c>
      <c r="CD138" s="59">
        <f ca="1">AVERAGE(OFFSET($CC$3,0,0,'Données projet'!$E$12+1,1))-AVERAGE(OFFSET($H$3,0,0,'Données projet'!$E$12+1,1))</f>
        <v>321.23599968992932</v>
      </c>
      <c r="CE138" s="59">
        <f t="shared" si="148"/>
        <v>388.05195847800502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0.4567945108438714</v>
      </c>
      <c r="CL138" s="21">
        <f>EXP(-LN(2)/25)*CL137+(1-EXP(-LN(2)/25))/(LN(2)/25)*Calculateur!CG138*Calculateur!CI138*VLOOKUP('Données projet'!$B$12,Paramètres!$A$1:$I$89,3,0)*0.475*44/12</f>
        <v>1.1480113960150087</v>
      </c>
      <c r="CM138" s="21">
        <f>EXP(-LN(2)/2)*CM137+(1-EXP(-LN(2)/2))/(LN(2)/2)*CG138*CJ138*VLOOKUP('Données projet'!$B$12,Paramètres!$A$1:$I$89,3,0)*0.475*44/12</f>
        <v>1.893984157155129E-15</v>
      </c>
      <c r="CN138" s="22">
        <f t="shared" si="120"/>
        <v>1.604805906858882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-1.0995790944434703E-13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399.24912109442175</v>
      </c>
      <c r="CZ138" s="59">
        <f t="shared" si="150"/>
        <v>269.83150082245305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-1.223725121235475E-13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439.66981240211362</v>
      </c>
      <c r="DU138" s="59">
        <f t="shared" si="152"/>
        <v>295.47805371292458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-1.0818439477588981E-13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393.46715670823653</v>
      </c>
      <c r="EP138" s="59">
        <f t="shared" si="154"/>
        <v>266.16261355327214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549.43232095729741</v>
      </c>
      <c r="T139" s="59">
        <f t="shared" si="142"/>
        <v>280.26155987300996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1.5353714801959795</v>
      </c>
      <c r="AA139" s="21">
        <f>EXP(-LN(2)/25)*AA138+(1-EXP(-LN(2)/25))/(LN(2)/25)*Calculateur!V139*Calculateur!X139*VLOOKUP('Données projet'!$B$9,Paramètres!$A$1:$I$89,3,0)*0.475*44/12</f>
        <v>0.50581419215580448</v>
      </c>
      <c r="AB139" s="21">
        <f>EXP(-LN(2)/2)*AB138+(1-EXP(-LN(2)/2))/(LN(2)/2)*V139*Y139*VLOOKUP('Données projet'!$B$9,Paramètres!$A$1:$I$89,3,0)*0.475*44/12</f>
        <v>5.0017690005965686E-16</v>
      </c>
      <c r="AC139" s="22">
        <f t="shared" si="111"/>
        <v>2.0411856723517845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348.62416478262719</v>
      </c>
      <c r="AO139" s="59">
        <f t="shared" si="144"/>
        <v>371.70674704563288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1.6231745796367589</v>
      </c>
      <c r="AV139" s="21">
        <f>EXP(-LN(2)/25)*AV138+(1-EXP(-LN(2)/25))/(LN(2)/25)*Calculateur!AQ139*Calculateur!AS139*VLOOKUP('Données projet'!$B$10,Paramètres!$A$1:$I$89,3,0)*0.475*44/12</f>
        <v>0.64606676640476868</v>
      </c>
      <c r="AW139" s="21">
        <f>EXP(-LN(2)/2)*AW138+(1-EXP(-LN(2)/2))/(LN(2)/2)*AQ139*AT139*VLOOKUP('Données projet'!$B$10,Paramètres!$A$1:$I$89,3,0)*0.475*44/12</f>
        <v>1.3828443819447283E-15</v>
      </c>
      <c r="AX139" s="21">
        <f t="shared" si="114"/>
        <v>2.2692413460415288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405.7176439604217</v>
      </c>
      <c r="BJ139" s="59">
        <f t="shared" si="146"/>
        <v>278.21741231699929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0.89564130105628004</v>
      </c>
      <c r="BQ139" s="21">
        <f>EXP(-LN(2)/25)*BQ138+(1-EXP(-LN(2)/25))/(LN(2)/25)*Calculateur!BL139*Calculateur!BN139*VLOOKUP('Données projet'!$B$11,Paramètres!$A$1:$I$89,3,0)*0.475*44/12</f>
        <v>0.49559823873994568</v>
      </c>
      <c r="BR139" s="21">
        <f>EXP(-LN(2)/2)*BR138+(1-EXP(-LN(2)/2))/(LN(2)/2)*BL139*BO139*VLOOKUP('Données projet'!$B$11,Paramètres!$A$1:$I$89,3,0)*0.475*44/12</f>
        <v>9.475567652003864E-16</v>
      </c>
      <c r="BS139" s="22">
        <f t="shared" si="117"/>
        <v>1.3912395397962265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1.9895196601282805E-13</v>
      </c>
      <c r="BZ139" s="13">
        <f>BY139*VLOOKUP('Données projet'!$B$12,Paramètres!$A$1:$I$89,3,0)*VLOOKUP('Données projet'!$B$12,Paramètres!$A$1:$I$89,5,0)</f>
        <v>1.738044375088066E-13</v>
      </c>
      <c r="CA139" s="13">
        <f t="shared" si="147"/>
        <v>2.4483293633950478E-12</v>
      </c>
      <c r="CB139" s="20">
        <f t="shared" si="118"/>
        <v>4.566883036574213E-12</v>
      </c>
      <c r="CC139" s="59">
        <f t="shared" si="119"/>
        <v>293.33333333333786</v>
      </c>
      <c r="CD139" s="59">
        <f ca="1">AVERAGE(OFFSET($CC$3,0,0,'Données projet'!$E$12+1,1))-AVERAGE(OFFSET($H$3,0,0,'Données projet'!$E$12+1,1))</f>
        <v>321.23599968992932</v>
      </c>
      <c r="CE139" s="59">
        <f t="shared" si="148"/>
        <v>388.05195847800502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0.44783704910336353</v>
      </c>
      <c r="CL139" s="21">
        <f>EXP(-LN(2)/25)*CL138+(1-EXP(-LN(2)/25))/(LN(2)/25)*Calculateur!CG139*Calculateur!CI139*VLOOKUP('Données projet'!$B$12,Paramètres!$A$1:$I$89,3,0)*0.475*44/12</f>
        <v>1.1166189640196829</v>
      </c>
      <c r="CM139" s="21">
        <f>EXP(-LN(2)/2)*CM138+(1-EXP(-LN(2)/2))/(LN(2)/2)*CG139*CJ139*VLOOKUP('Données projet'!$B$12,Paramètres!$A$1:$I$89,3,0)*0.475*44/12</f>
        <v>1.3392490409842795E-15</v>
      </c>
      <c r="CN139" s="22">
        <f t="shared" si="120"/>
        <v>1.5644560131230478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-1.0995790944434703E-13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399.24912109442175</v>
      </c>
      <c r="CZ139" s="59">
        <f t="shared" si="150"/>
        <v>269.83150082245305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-1.223725121235475E-13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439.66981240211362</v>
      </c>
      <c r="DU139" s="59">
        <f t="shared" si="152"/>
        <v>295.47805371292458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-1.0818439477588981E-13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393.46715670823653</v>
      </c>
      <c r="EP139" s="59">
        <f t="shared" si="154"/>
        <v>266.16261355327214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549.43232095729741</v>
      </c>
      <c r="T140" s="59">
        <f t="shared" si="142"/>
        <v>280.26155987300996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1.5052637819534691</v>
      </c>
      <c r="AA140" s="21">
        <f>EXP(-LN(2)/25)*AA139+(1-EXP(-LN(2)/25))/(LN(2)/25)*Calculateur!V140*Calculateur!X140*VLOOKUP('Données projet'!$B$9,Paramètres!$A$1:$I$89,3,0)*0.475*44/12</f>
        <v>0.49198267647169169</v>
      </c>
      <c r="AB140" s="21">
        <f>EXP(-LN(2)/2)*AB139+(1-EXP(-LN(2)/2))/(LN(2)/2)*V140*Y140*VLOOKUP('Données projet'!$B$9,Paramètres!$A$1:$I$89,3,0)*0.475*44/12</f>
        <v>3.5367847782504943E-16</v>
      </c>
      <c r="AC140" s="22">
        <f t="shared" si="111"/>
        <v>1.9972464584251612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348.62416478262719</v>
      </c>
      <c r="AO140" s="59">
        <f t="shared" si="144"/>
        <v>371.70674704563288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1.5913451161688175</v>
      </c>
      <c r="AV140" s="21">
        <f>EXP(-LN(2)/25)*AV139+(1-EXP(-LN(2)/25))/(LN(2)/25)*Calculateur!AQ140*Calculateur!AS140*VLOOKUP('Données projet'!$B$10,Paramètres!$A$1:$I$89,3,0)*0.475*44/12</f>
        <v>0.62840003670225564</v>
      </c>
      <c r="AW140" s="21">
        <f>EXP(-LN(2)/2)*AW139+(1-EXP(-LN(2)/2))/(LN(2)/2)*AQ140*AT140*VLOOKUP('Données projet'!$B$10,Paramètres!$A$1:$I$89,3,0)*0.475*44/12</f>
        <v>9.7781863979883754E-16</v>
      </c>
      <c r="AX140" s="21">
        <f t="shared" si="114"/>
        <v>2.2197451528710741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405.7176439604217</v>
      </c>
      <c r="BJ140" s="59">
        <f t="shared" si="146"/>
        <v>278.21741231699929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0.87807832142981868</v>
      </c>
      <c r="BQ140" s="21">
        <f>EXP(-LN(2)/25)*BQ139+(1-EXP(-LN(2)/25))/(LN(2)/25)*Calculateur!BL140*Calculateur!BN140*VLOOKUP('Données projet'!$B$11,Paramètres!$A$1:$I$89,3,0)*0.475*44/12</f>
        <v>0.48204607883922318</v>
      </c>
      <c r="BR140" s="21">
        <f>EXP(-LN(2)/2)*BR139+(1-EXP(-LN(2)/2))/(LN(2)/2)*BL140*BO140*VLOOKUP('Données projet'!$B$11,Paramètres!$A$1:$I$89,3,0)*0.475*44/12</f>
        <v>6.7002381423238242E-16</v>
      </c>
      <c r="BS140" s="22">
        <f t="shared" si="117"/>
        <v>1.3601244002690425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1.9895196601282805E-13</v>
      </c>
      <c r="BZ140" s="13">
        <f>BY140*VLOOKUP('Données projet'!$B$12,Paramètres!$A$1:$I$89,3,0)*VLOOKUP('Données projet'!$B$12,Paramètres!$A$1:$I$89,5,0)</f>
        <v>1.738044375088066E-13</v>
      </c>
      <c r="CA140" s="13">
        <f t="shared" si="147"/>
        <v>2.4483293633950478E-12</v>
      </c>
      <c r="CB140" s="20">
        <f t="shared" si="118"/>
        <v>4.566883036574213E-12</v>
      </c>
      <c r="CC140" s="59">
        <f t="shared" si="119"/>
        <v>293.33333333333786</v>
      </c>
      <c r="CD140" s="59">
        <f ca="1">AVERAGE(OFFSET($CC$3,0,0,'Données projet'!$E$12+1,1))-AVERAGE(OFFSET($H$3,0,0,'Données projet'!$E$12+1,1))</f>
        <v>321.23599968992932</v>
      </c>
      <c r="CE140" s="59">
        <f t="shared" si="148"/>
        <v>388.05195847800502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0.43905523772407484</v>
      </c>
      <c r="CL140" s="21">
        <f>EXP(-LN(2)/25)*CL139+(1-EXP(-LN(2)/25))/(LN(2)/25)*Calculateur!CG140*Calculateur!CI140*VLOOKUP('Données projet'!$B$12,Paramètres!$A$1:$I$89,3,0)*0.475*44/12</f>
        <v>1.0860849597281255</v>
      </c>
      <c r="CM140" s="21">
        <f>EXP(-LN(2)/2)*CM139+(1-EXP(-LN(2)/2))/(LN(2)/2)*CG140*CJ140*VLOOKUP('Données projet'!$B$12,Paramètres!$A$1:$I$89,3,0)*0.475*44/12</f>
        <v>9.4699207857756452E-16</v>
      </c>
      <c r="CN140" s="22">
        <f t="shared" si="120"/>
        <v>1.5251401974522012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-1.0995790944434703E-13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399.24912109442175</v>
      </c>
      <c r="CZ140" s="59">
        <f t="shared" si="150"/>
        <v>269.83150082245305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-1.223725121235475E-13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439.66981240211362</v>
      </c>
      <c r="DU140" s="59">
        <f t="shared" si="152"/>
        <v>295.47805371292458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-1.0818439477588981E-13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393.46715670823653</v>
      </c>
      <c r="EP140" s="59">
        <f t="shared" si="154"/>
        <v>266.16261355327214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549.43232095729741</v>
      </c>
      <c r="T141" s="59">
        <f t="shared" si="142"/>
        <v>280.26155987300996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1.4757464773096116</v>
      </c>
      <c r="AA141" s="21">
        <f>EXP(-LN(2)/25)*AA140+(1-EXP(-LN(2)/25))/(LN(2)/25)*Calculateur!V141*Calculateur!X141*VLOOKUP('Données projet'!$B$9,Paramètres!$A$1:$I$89,3,0)*0.475*44/12</f>
        <v>0.47852938431132874</v>
      </c>
      <c r="AB141" s="21">
        <f>EXP(-LN(2)/2)*AB140+(1-EXP(-LN(2)/2))/(LN(2)/2)*V141*Y141*VLOOKUP('Données projet'!$B$9,Paramètres!$A$1:$I$89,3,0)*0.475*44/12</f>
        <v>2.5008845002982843E-16</v>
      </c>
      <c r="AC141" s="22">
        <f t="shared" si="111"/>
        <v>1.9542758616209406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348.62416478262719</v>
      </c>
      <c r="AO141" s="59">
        <f t="shared" si="144"/>
        <v>371.70674704563288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1.5601398090654266</v>
      </c>
      <c r="AV141" s="21">
        <f>EXP(-LN(2)/25)*AV140+(1-EXP(-LN(2)/25))/(LN(2)/25)*Calculateur!AQ141*Calculateur!AS141*VLOOKUP('Données projet'!$B$10,Paramètres!$A$1:$I$89,3,0)*0.475*44/12</f>
        <v>0.6112164046525107</v>
      </c>
      <c r="AW141" s="21">
        <f>EXP(-LN(2)/2)*AW140+(1-EXP(-LN(2)/2))/(LN(2)/2)*AQ141*AT141*VLOOKUP('Données projet'!$B$10,Paramètres!$A$1:$I$89,3,0)*0.475*44/12</f>
        <v>6.9142219097236415E-16</v>
      </c>
      <c r="AX141" s="21">
        <f t="shared" si="114"/>
        <v>2.1713562137179383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405.7176439604217</v>
      </c>
      <c r="BJ141" s="59">
        <f t="shared" si="146"/>
        <v>278.21741231699929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0.86085974112147234</v>
      </c>
      <c r="BQ141" s="21">
        <f>EXP(-LN(2)/25)*BQ140+(1-EXP(-LN(2)/25))/(LN(2)/25)*Calculateur!BL141*Calculateur!BN141*VLOOKUP('Données projet'!$B$11,Paramètres!$A$1:$I$89,3,0)*0.475*44/12</f>
        <v>0.46886450346366304</v>
      </c>
      <c r="BR141" s="21">
        <f>EXP(-LN(2)/2)*BR140+(1-EXP(-LN(2)/2))/(LN(2)/2)*BL141*BO141*VLOOKUP('Données projet'!$B$11,Paramètres!$A$1:$I$89,3,0)*0.475*44/12</f>
        <v>4.737783826001932E-16</v>
      </c>
      <c r="BS141" s="22">
        <f t="shared" si="117"/>
        <v>1.3297242445851358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1.9895196601282805E-13</v>
      </c>
      <c r="BZ141" s="13">
        <f>BY141*VLOOKUP('Données projet'!$B$12,Paramètres!$A$1:$I$89,3,0)*VLOOKUP('Données projet'!$B$12,Paramètres!$A$1:$I$89,5,0)</f>
        <v>1.738044375088066E-13</v>
      </c>
      <c r="CA141" s="13">
        <f t="shared" si="147"/>
        <v>2.4483293633950478E-12</v>
      </c>
      <c r="CB141" s="20">
        <f t="shared" si="118"/>
        <v>4.566883036574213E-12</v>
      </c>
      <c r="CC141" s="59">
        <f t="shared" si="119"/>
        <v>293.33333333333786</v>
      </c>
      <c r="CD141" s="59">
        <f ca="1">AVERAGE(OFFSET($CC$3,0,0,'Données projet'!$E$12+1,1))-AVERAGE(OFFSET($H$3,0,0,'Données projet'!$E$12+1,1))</f>
        <v>321.23599968992932</v>
      </c>
      <c r="CE141" s="59">
        <f t="shared" si="148"/>
        <v>388.05195847800502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0.43044563230955796</v>
      </c>
      <c r="CL141" s="21">
        <f>EXP(-LN(2)/25)*CL140+(1-EXP(-LN(2)/25))/(LN(2)/25)*Calculateur!CG141*Calculateur!CI141*VLOOKUP('Données projet'!$B$12,Paramètres!$A$1:$I$89,3,0)*0.475*44/12</f>
        <v>1.0563859093896342</v>
      </c>
      <c r="CM141" s="21">
        <f>EXP(-LN(2)/2)*CM140+(1-EXP(-LN(2)/2))/(LN(2)/2)*CG141*CJ141*VLOOKUP('Données projet'!$B$12,Paramètres!$A$1:$I$89,3,0)*0.475*44/12</f>
        <v>6.6962452049213975E-16</v>
      </c>
      <c r="CN141" s="22">
        <f t="shared" si="120"/>
        <v>1.4868315416991928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-1.0995790944434703E-13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399.24912109442175</v>
      </c>
      <c r="CZ141" s="59">
        <f t="shared" si="150"/>
        <v>269.83150082245305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-1.223725121235475E-13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439.66981240211362</v>
      </c>
      <c r="DU141" s="59">
        <f t="shared" si="152"/>
        <v>295.47805371292458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-1.0818439477588981E-13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393.46715670823653</v>
      </c>
      <c r="EP141" s="59">
        <f t="shared" si="154"/>
        <v>266.16261355327214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549.43232095729741</v>
      </c>
      <c r="T142" s="59">
        <f t="shared" si="142"/>
        <v>280.26155987300996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1.4468079890060421</v>
      </c>
      <c r="AA142" s="21">
        <f>EXP(-LN(2)/25)*AA141+(1-EXP(-LN(2)/25))/(LN(2)/25)*Calculateur!V142*Calculateur!X142*VLOOKUP('Données projet'!$B$9,Paramètres!$A$1:$I$89,3,0)*0.475*44/12</f>
        <v>0.46544397313256886</v>
      </c>
      <c r="AB142" s="21">
        <f>EXP(-LN(2)/2)*AB141+(1-EXP(-LN(2)/2))/(LN(2)/2)*V142*Y142*VLOOKUP('Données projet'!$B$9,Paramètres!$A$1:$I$89,3,0)*0.475*44/12</f>
        <v>1.7683923891252472E-16</v>
      </c>
      <c r="AC142" s="22">
        <f t="shared" si="111"/>
        <v>1.9122519621386111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348.62416478262719</v>
      </c>
      <c r="AO142" s="59">
        <f t="shared" si="144"/>
        <v>371.70674704563288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1.5295464190009753</v>
      </c>
      <c r="AV142" s="21">
        <f>EXP(-LN(2)/25)*AV141+(1-EXP(-LN(2)/25))/(LN(2)/25)*Calculateur!AQ142*Calculateur!AS142*VLOOKUP('Données projet'!$B$10,Paramètres!$A$1:$I$89,3,0)*0.475*44/12</f>
        <v>0.59450265992481399</v>
      </c>
      <c r="AW142" s="21">
        <f>EXP(-LN(2)/2)*AW141+(1-EXP(-LN(2)/2))/(LN(2)/2)*AQ142*AT142*VLOOKUP('Données projet'!$B$10,Paramètres!$A$1:$I$89,3,0)*0.475*44/12</f>
        <v>4.8890931989941877E-16</v>
      </c>
      <c r="AX142" s="21">
        <f t="shared" si="114"/>
        <v>2.1240490789257898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405.7176439604217</v>
      </c>
      <c r="BJ142" s="59">
        <f t="shared" si="146"/>
        <v>278.21741231699929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0.84397880667067571</v>
      </c>
      <c r="BQ142" s="21">
        <f>EXP(-LN(2)/25)*BQ141+(1-EXP(-LN(2)/25))/(LN(2)/25)*Calculateur!BL142*Calculateur!BN142*VLOOKUP('Données projet'!$B$11,Paramètres!$A$1:$I$89,3,0)*0.475*44/12</f>
        <v>0.45604337895993652</v>
      </c>
      <c r="BR142" s="21">
        <f>EXP(-LN(2)/2)*BR141+(1-EXP(-LN(2)/2))/(LN(2)/2)*BL142*BO142*VLOOKUP('Données projet'!$B$11,Paramètres!$A$1:$I$89,3,0)*0.475*44/12</f>
        <v>3.3501190711619121E-16</v>
      </c>
      <c r="BS142" s="22">
        <f t="shared" si="117"/>
        <v>1.3000221856306127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1.9895196601282805E-13</v>
      </c>
      <c r="BZ142" s="13">
        <f>BY142*VLOOKUP('Données projet'!$B$12,Paramètres!$A$1:$I$89,3,0)*VLOOKUP('Données projet'!$B$12,Paramètres!$A$1:$I$89,5,0)</f>
        <v>1.738044375088066E-13</v>
      </c>
      <c r="CA142" s="13">
        <f t="shared" si="147"/>
        <v>2.4483293633950478E-12</v>
      </c>
      <c r="CB142" s="20">
        <f t="shared" si="118"/>
        <v>4.566883036574213E-12</v>
      </c>
      <c r="CC142" s="59">
        <f t="shared" si="119"/>
        <v>293.33333333333786</v>
      </c>
      <c r="CD142" s="59">
        <f ca="1">AVERAGE(OFFSET($CC$3,0,0,'Données projet'!$E$12+1,1))-AVERAGE(OFFSET($H$3,0,0,'Données projet'!$E$12+1,1))</f>
        <v>321.23599968992932</v>
      </c>
      <c r="CE142" s="59">
        <f t="shared" si="148"/>
        <v>388.05195847800502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0.422004856005879</v>
      </c>
      <c r="CL142" s="21">
        <f>EXP(-LN(2)/25)*CL141+(1-EXP(-LN(2)/25))/(LN(2)/25)*Calculateur!CG142*Calculateur!CI142*VLOOKUP('Données projet'!$B$12,Paramètres!$A$1:$I$89,3,0)*0.475*44/12</f>
        <v>1.0274989811444541</v>
      </c>
      <c r="CM142" s="21">
        <f>EXP(-LN(2)/2)*CM141+(1-EXP(-LN(2)/2))/(LN(2)/2)*CG142*CJ142*VLOOKUP('Données projet'!$B$12,Paramètres!$A$1:$I$89,3,0)*0.475*44/12</f>
        <v>4.7349603928878226E-16</v>
      </c>
      <c r="CN142" s="22">
        <f t="shared" si="120"/>
        <v>1.4495038371503335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-1.0995790944434703E-13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399.24912109442175</v>
      </c>
      <c r="CZ142" s="59">
        <f t="shared" si="150"/>
        <v>269.83150082245305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-1.223725121235475E-13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439.66981240211362</v>
      </c>
      <c r="DU142" s="59">
        <f t="shared" si="152"/>
        <v>295.47805371292458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-1.0818439477588981E-13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393.46715670823653</v>
      </c>
      <c r="EP142" s="59">
        <f t="shared" si="154"/>
        <v>266.16261355327214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549.43232095729741</v>
      </c>
      <c r="T143" s="59">
        <f t="shared" si="142"/>
        <v>280.26155987300996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1.4184369668073706</v>
      </c>
      <c r="AA143" s="21">
        <f>EXP(-LN(2)/25)*AA142+(1-EXP(-LN(2)/25))/(LN(2)/25)*Calculateur!V143*Calculateur!X143*VLOOKUP('Données projet'!$B$9,Paramètres!$A$1:$I$89,3,0)*0.475*44/12</f>
        <v>0.45271638321062402</v>
      </c>
      <c r="AB143" s="21">
        <f>EXP(-LN(2)/2)*AB142+(1-EXP(-LN(2)/2))/(LN(2)/2)*V143*Y143*VLOOKUP('Données projet'!$B$9,Paramètres!$A$1:$I$89,3,0)*0.475*44/12</f>
        <v>1.2504422501491421E-16</v>
      </c>
      <c r="AC143" s="22">
        <f t="shared" si="111"/>
        <v>1.8711533500179949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348.62416478262719</v>
      </c>
      <c r="AO143" s="59">
        <f t="shared" si="144"/>
        <v>371.70674704563288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1.4995529466555624</v>
      </c>
      <c r="AV143" s="21">
        <f>EXP(-LN(2)/25)*AV142+(1-EXP(-LN(2)/25))/(LN(2)/25)*Calculateur!AQ143*Calculateur!AS143*VLOOKUP('Données projet'!$B$10,Paramètres!$A$1:$I$89,3,0)*0.475*44/12</f>
        <v>0.57824595342563379</v>
      </c>
      <c r="AW143" s="21">
        <f>EXP(-LN(2)/2)*AW142+(1-EXP(-LN(2)/2))/(LN(2)/2)*AQ143*AT143*VLOOKUP('Données projet'!$B$10,Paramètres!$A$1:$I$89,3,0)*0.475*44/12</f>
        <v>3.4571109548618208E-16</v>
      </c>
      <c r="AX143" s="21">
        <f t="shared" si="114"/>
        <v>2.0777989000811967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405.7176439604217</v>
      </c>
      <c r="BJ143" s="59">
        <f t="shared" si="146"/>
        <v>278.21741231699929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0.82742889704810585</v>
      </c>
      <c r="BQ143" s="21">
        <f>EXP(-LN(2)/25)*BQ142+(1-EXP(-LN(2)/25))/(LN(2)/25)*Calculateur!BL143*Calculateur!BN143*VLOOKUP('Données projet'!$B$11,Paramètres!$A$1:$I$89,3,0)*0.475*44/12</f>
        <v>0.44357284877999803</v>
      </c>
      <c r="BR143" s="21">
        <f>EXP(-LN(2)/2)*BR142+(1-EXP(-LN(2)/2))/(LN(2)/2)*BL143*BO143*VLOOKUP('Données projet'!$B$11,Paramètres!$A$1:$I$89,3,0)*0.475*44/12</f>
        <v>2.368891913000966E-16</v>
      </c>
      <c r="BS143" s="22">
        <f t="shared" si="117"/>
        <v>1.271001745828104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1.9895196601282805E-13</v>
      </c>
      <c r="BZ143" s="13">
        <f>BY143*VLOOKUP('Données projet'!$B$12,Paramètres!$A$1:$I$89,3,0)*VLOOKUP('Données projet'!$B$12,Paramètres!$A$1:$I$89,5,0)</f>
        <v>1.738044375088066E-13</v>
      </c>
      <c r="CA143" s="13">
        <f t="shared" si="147"/>
        <v>2.4483293633950478E-12</v>
      </c>
      <c r="CB143" s="20">
        <f t="shared" si="118"/>
        <v>4.566883036574213E-12</v>
      </c>
      <c r="CC143" s="59">
        <f t="shared" si="119"/>
        <v>293.33333333333786</v>
      </c>
      <c r="CD143" s="59">
        <f ca="1">AVERAGE(OFFSET($CC$3,0,0,'Données projet'!$E$12+1,1))-AVERAGE(OFFSET($H$3,0,0,'Données projet'!$E$12+1,1))</f>
        <v>321.23599968992932</v>
      </c>
      <c r="CE143" s="59">
        <f t="shared" si="148"/>
        <v>388.05195847800502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0.41372959817714999</v>
      </c>
      <c r="CL143" s="21">
        <f>EXP(-LN(2)/25)*CL142+(1-EXP(-LN(2)/25))/(LN(2)/25)*Calculateur!CG143*Calculateur!CI143*VLOOKUP('Données projet'!$B$12,Paramètres!$A$1:$I$89,3,0)*0.475*44/12</f>
        <v>0.999401967471236</v>
      </c>
      <c r="CM143" s="21">
        <f>EXP(-LN(2)/2)*CM142+(1-EXP(-LN(2)/2))/(LN(2)/2)*CG143*CJ143*VLOOKUP('Données projet'!$B$12,Paramètres!$A$1:$I$89,3,0)*0.475*44/12</f>
        <v>3.3481226024606987E-16</v>
      </c>
      <c r="CN143" s="22">
        <f t="shared" si="120"/>
        <v>1.4131315656483865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-1.0995790944434703E-13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399.24912109442175</v>
      </c>
      <c r="CZ143" s="59">
        <f t="shared" si="150"/>
        <v>269.83150082245305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-1.223725121235475E-13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439.66981240211362</v>
      </c>
      <c r="DU143" s="59">
        <f t="shared" si="152"/>
        <v>295.47805371292458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-1.0818439477588981E-13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393.46715670823653</v>
      </c>
      <c r="EP143" s="59">
        <f t="shared" si="154"/>
        <v>266.16261355327214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549.43232095729741</v>
      </c>
      <c r="T144" s="59">
        <f t="shared" si="142"/>
        <v>280.26155987300996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1.3906222830494004</v>
      </c>
      <c r="AA144" s="21">
        <f>EXP(-LN(2)/25)*AA143+(1-EXP(-LN(2)/25))/(LN(2)/25)*Calculateur!V144*Calculateur!X144*VLOOKUP('Données projet'!$B$9,Paramètres!$A$1:$I$89,3,0)*0.475*44/12</f>
        <v>0.44033682990440959</v>
      </c>
      <c r="AB144" s="21">
        <f>EXP(-LN(2)/2)*AB143+(1-EXP(-LN(2)/2))/(LN(2)/2)*V144*Y144*VLOOKUP('Données projet'!$B$9,Paramètres!$A$1:$I$89,3,0)*0.475*44/12</f>
        <v>8.8419619456262359E-17</v>
      </c>
      <c r="AC144" s="22">
        <f t="shared" si="111"/>
        <v>1.8309591129538099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348.62416478262719</v>
      </c>
      <c r="AO144" s="59">
        <f t="shared" si="144"/>
        <v>371.70674704563288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1.4701476280086314</v>
      </c>
      <c r="AV144" s="21">
        <f>EXP(-LN(2)/25)*AV143+(1-EXP(-LN(2)/25))/(LN(2)/25)*Calculateur!AQ144*Calculateur!AS144*VLOOKUP('Données projet'!$B$10,Paramètres!$A$1:$I$89,3,0)*0.475*44/12</f>
        <v>0.5624337874205767</v>
      </c>
      <c r="AW144" s="21">
        <f>EXP(-LN(2)/2)*AW143+(1-EXP(-LN(2)/2))/(LN(2)/2)*AQ144*AT144*VLOOKUP('Données projet'!$B$10,Paramètres!$A$1:$I$89,3,0)*0.475*44/12</f>
        <v>2.4445465994970939E-16</v>
      </c>
      <c r="AX144" s="21">
        <f t="shared" si="114"/>
        <v>2.0325814154292083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405.7176439604217</v>
      </c>
      <c r="BJ144" s="59">
        <f t="shared" si="146"/>
        <v>278.21741231699929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0.81120352105878646</v>
      </c>
      <c r="BQ144" s="21">
        <f>EXP(-LN(2)/25)*BQ143+(1-EXP(-LN(2)/25))/(LN(2)/25)*Calculateur!BL144*Calculateur!BN144*VLOOKUP('Données projet'!$B$11,Paramètres!$A$1:$I$89,3,0)*0.475*44/12</f>
        <v>0.43144332590362666</v>
      </c>
      <c r="BR144" s="21">
        <f>EXP(-LN(2)/2)*BR143+(1-EXP(-LN(2)/2))/(LN(2)/2)*BL144*BO144*VLOOKUP('Données projet'!$B$11,Paramètres!$A$1:$I$89,3,0)*0.475*44/12</f>
        <v>1.6750595355809561E-16</v>
      </c>
      <c r="BS144" s="22">
        <f t="shared" si="117"/>
        <v>1.2426468469624135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1.9895196601282805E-13</v>
      </c>
      <c r="BZ144" s="13">
        <f>BY144*VLOOKUP('Données projet'!$B$12,Paramètres!$A$1:$I$89,3,0)*VLOOKUP('Données projet'!$B$12,Paramètres!$A$1:$I$89,5,0)</f>
        <v>1.738044375088066E-13</v>
      </c>
      <c r="CA144" s="13">
        <f t="shared" si="147"/>
        <v>2.4483293633950478E-12</v>
      </c>
      <c r="CB144" s="20">
        <f t="shared" si="118"/>
        <v>4.566883036574213E-12</v>
      </c>
      <c r="CC144" s="59">
        <f t="shared" si="119"/>
        <v>293.33333333333786</v>
      </c>
      <c r="CD144" s="59">
        <f ca="1">AVERAGE(OFFSET($CC$3,0,0,'Données projet'!$E$12+1,1))-AVERAGE(OFFSET($H$3,0,0,'Données projet'!$E$12+1,1))</f>
        <v>321.23599968992932</v>
      </c>
      <c r="CE144" s="59">
        <f t="shared" si="148"/>
        <v>388.05195847800502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0.40561661310703345</v>
      </c>
      <c r="CL144" s="21">
        <f>EXP(-LN(2)/25)*CL143+(1-EXP(-LN(2)/25))/(LN(2)/25)*Calculateur!CG144*Calculateur!CI144*VLOOKUP('Données projet'!$B$12,Paramètres!$A$1:$I$89,3,0)*0.475*44/12</f>
        <v>0.9720732681144697</v>
      </c>
      <c r="CM144" s="21">
        <f>EXP(-LN(2)/2)*CM143+(1-EXP(-LN(2)/2))/(LN(2)/2)*CG144*CJ144*VLOOKUP('Données projet'!$B$12,Paramètres!$A$1:$I$89,3,0)*0.475*44/12</f>
        <v>2.3674801964439113E-16</v>
      </c>
      <c r="CN144" s="22">
        <f t="shared" si="120"/>
        <v>1.3776898812215033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-1.0995790944434703E-13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399.24912109442175</v>
      </c>
      <c r="CZ144" s="59">
        <f t="shared" si="150"/>
        <v>269.83150082245305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-1.223725121235475E-13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439.66981240211362</v>
      </c>
      <c r="DU144" s="59">
        <f t="shared" si="152"/>
        <v>295.47805371292458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-1.0818439477588981E-13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393.46715670823653</v>
      </c>
      <c r="EP144" s="59">
        <f t="shared" si="154"/>
        <v>266.16261355327214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549.43232095729741</v>
      </c>
      <c r="T145" s="59">
        <f t="shared" si="142"/>
        <v>280.26155987300996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1.363353028274642</v>
      </c>
      <c r="AA145" s="21">
        <f>EXP(-LN(2)/25)*AA144+(1-EXP(-LN(2)/25))/(LN(2)/25)*Calculateur!V145*Calculateur!X145*VLOOKUP('Données projet'!$B$9,Paramètres!$A$1:$I$89,3,0)*0.475*44/12</f>
        <v>0.42829579613436602</v>
      </c>
      <c r="AB145" s="21">
        <f>EXP(-LN(2)/2)*AB144+(1-EXP(-LN(2)/2))/(LN(2)/2)*V145*Y145*VLOOKUP('Données projet'!$B$9,Paramètres!$A$1:$I$89,3,0)*0.475*44/12</f>
        <v>6.2522112507457107E-17</v>
      </c>
      <c r="AC145" s="22">
        <f t="shared" si="111"/>
        <v>1.7916488244090081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348.62416478262719</v>
      </c>
      <c r="AO145" s="59">
        <f t="shared" si="144"/>
        <v>371.70674704563288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1.4413189297248934</v>
      </c>
      <c r="AV145" s="21">
        <f>EXP(-LN(2)/25)*AV144+(1-EXP(-LN(2)/25))/(LN(2)/25)*Calculateur!AQ145*Calculateur!AS145*VLOOKUP('Données projet'!$B$10,Paramètres!$A$1:$I$89,3,0)*0.475*44/12</f>
        <v>0.54705400592645359</v>
      </c>
      <c r="AW145" s="21">
        <f>EXP(-LN(2)/2)*AW144+(1-EXP(-LN(2)/2))/(LN(2)/2)*AQ145*AT145*VLOOKUP('Données projet'!$B$10,Paramètres!$A$1:$I$89,3,0)*0.475*44/12</f>
        <v>1.7285554774309104E-16</v>
      </c>
      <c r="AX145" s="21">
        <f t="shared" si="114"/>
        <v>1.9883729356513473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405.7176439604217</v>
      </c>
      <c r="BJ145" s="59">
        <f t="shared" si="146"/>
        <v>278.21741231699929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0.79529631479611551</v>
      </c>
      <c r="BQ145" s="21">
        <f>EXP(-LN(2)/25)*BQ144+(1-EXP(-LN(2)/25))/(LN(2)/25)*Calculateur!BL145*Calculateur!BN145*VLOOKUP('Données projet'!$B$11,Paramètres!$A$1:$I$89,3,0)*0.475*44/12</f>
        <v>0.41964548546817354</v>
      </c>
      <c r="BR145" s="21">
        <f>EXP(-LN(2)/2)*BR144+(1-EXP(-LN(2)/2))/(LN(2)/2)*BL145*BO145*VLOOKUP('Données projet'!$B$11,Paramètres!$A$1:$I$89,3,0)*0.475*44/12</f>
        <v>1.184445956500483E-16</v>
      </c>
      <c r="BS145" s="22">
        <f t="shared" si="117"/>
        <v>1.2149418002642893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1.9895196601282805E-13</v>
      </c>
      <c r="BZ145" s="13">
        <f>BY145*VLOOKUP('Données projet'!$B$12,Paramètres!$A$1:$I$89,3,0)*VLOOKUP('Données projet'!$B$12,Paramètres!$A$1:$I$89,5,0)</f>
        <v>1.738044375088066E-13</v>
      </c>
      <c r="CA145" s="13">
        <f t="shared" si="147"/>
        <v>2.4483293633950478E-12</v>
      </c>
      <c r="CB145" s="20">
        <f t="shared" si="118"/>
        <v>4.566883036574213E-12</v>
      </c>
      <c r="CC145" s="59">
        <f t="shared" si="119"/>
        <v>293.33333333333786</v>
      </c>
      <c r="CD145" s="59">
        <f ca="1">AVERAGE(OFFSET($CC$3,0,0,'Données projet'!$E$12+1,1))-AVERAGE(OFFSET($H$3,0,0,'Données projet'!$E$12+1,1))</f>
        <v>321.23599968992932</v>
      </c>
      <c r="CE145" s="59">
        <f t="shared" si="148"/>
        <v>388.05195847800502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0.39766271872570963</v>
      </c>
      <c r="CL145" s="21">
        <f>EXP(-LN(2)/25)*CL144+(1-EXP(-LN(2)/25))/(LN(2)/25)*Calculateur!CG145*Calculateur!CI145*VLOOKUP('Données projet'!$B$12,Paramètres!$A$1:$I$89,3,0)*0.475*44/12</f>
        <v>0.94549187347876806</v>
      </c>
      <c r="CM145" s="21">
        <f>EXP(-LN(2)/2)*CM144+(1-EXP(-LN(2)/2))/(LN(2)/2)*CG145*CJ145*VLOOKUP('Données projet'!$B$12,Paramètres!$A$1:$I$89,3,0)*0.475*44/12</f>
        <v>1.6740613012303494E-16</v>
      </c>
      <c r="CN145" s="22">
        <f t="shared" si="120"/>
        <v>1.3431545922044779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-1.0995790944434703E-13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399.24912109442175</v>
      </c>
      <c r="CZ145" s="59">
        <f t="shared" si="150"/>
        <v>269.83150082245305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-1.223725121235475E-13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439.66981240211362</v>
      </c>
      <c r="DU145" s="59">
        <f t="shared" si="152"/>
        <v>295.47805371292458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-1.0818439477588981E-13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393.46715670823653</v>
      </c>
      <c r="EP145" s="59">
        <f t="shared" si="154"/>
        <v>266.16261355327214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549.43232095729741</v>
      </c>
      <c r="T146" s="59">
        <f t="shared" si="142"/>
        <v>280.26155987300996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1.3366185069534136</v>
      </c>
      <c r="AA146" s="21">
        <f>EXP(-LN(2)/25)*AA145+(1-EXP(-LN(2)/25))/(LN(2)/25)*Calculateur!V146*Calculateur!X146*VLOOKUP('Données projet'!$B$9,Paramètres!$A$1:$I$89,3,0)*0.475*44/12</f>
        <v>0.41658402506597475</v>
      </c>
      <c r="AB146" s="21">
        <f>EXP(-LN(2)/2)*AB145+(1-EXP(-LN(2)/2))/(LN(2)/2)*V146*Y146*VLOOKUP('Données projet'!$B$9,Paramètres!$A$1:$I$89,3,0)*0.475*44/12</f>
        <v>4.4209809728131179E-17</v>
      </c>
      <c r="AC146" s="22">
        <f t="shared" si="111"/>
        <v>1.7532025320193882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348.62416478262719</v>
      </c>
      <c r="AO146" s="59">
        <f t="shared" si="144"/>
        <v>371.70674704563288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1.4130555446307298</v>
      </c>
      <c r="AV146" s="21">
        <f>EXP(-LN(2)/25)*AV145+(1-EXP(-LN(2)/25))/(LN(2)/25)*Calculateur!AQ146*Calculateur!AS146*VLOOKUP('Données projet'!$B$10,Paramètres!$A$1:$I$89,3,0)*0.475*44/12</f>
        <v>0.53209478536607491</v>
      </c>
      <c r="AW146" s="21">
        <f>EXP(-LN(2)/2)*AW145+(1-EXP(-LN(2)/2))/(LN(2)/2)*AQ146*AT146*VLOOKUP('Données projet'!$B$10,Paramètres!$A$1:$I$89,3,0)*0.475*44/12</f>
        <v>1.2222732997485469E-16</v>
      </c>
      <c r="AX146" s="21">
        <f t="shared" si="114"/>
        <v>1.9451503299968049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405.7176439604217</v>
      </c>
      <c r="BJ146" s="59">
        <f t="shared" si="146"/>
        <v>278.21741231699929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0.77970103914581779</v>
      </c>
      <c r="BQ146" s="21">
        <f>EXP(-LN(2)/25)*BQ145+(1-EXP(-LN(2)/25))/(LN(2)/25)*Calculateur!BL146*Calculateur!BN146*VLOOKUP('Données projet'!$B$11,Paramètres!$A$1:$I$89,3,0)*0.475*44/12</f>
        <v>0.40817025759984937</v>
      </c>
      <c r="BR146" s="21">
        <f>EXP(-LN(2)/2)*BR145+(1-EXP(-LN(2)/2))/(LN(2)/2)*BL146*BO146*VLOOKUP('Données projet'!$B$11,Paramètres!$A$1:$I$89,3,0)*0.475*44/12</f>
        <v>8.3752976779047803E-17</v>
      </c>
      <c r="BS146" s="22">
        <f t="shared" si="117"/>
        <v>1.187871296745667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1.9895196601282805E-13</v>
      </c>
      <c r="BZ146" s="13">
        <f>BY146*VLOOKUP('Données projet'!$B$12,Paramètres!$A$1:$I$89,3,0)*VLOOKUP('Données projet'!$B$12,Paramètres!$A$1:$I$89,5,0)</f>
        <v>1.738044375088066E-13</v>
      </c>
      <c r="CA146" s="13">
        <f t="shared" si="147"/>
        <v>2.4483293633950478E-12</v>
      </c>
      <c r="CB146" s="20">
        <f t="shared" si="118"/>
        <v>4.566883036574213E-12</v>
      </c>
      <c r="CC146" s="59">
        <f t="shared" si="119"/>
        <v>293.33333333333786</v>
      </c>
      <c r="CD146" s="59">
        <f ca="1">AVERAGE(OFFSET($CC$3,0,0,'Données projet'!$E$12+1,1))-AVERAGE(OFFSET($H$3,0,0,'Données projet'!$E$12+1,1))</f>
        <v>321.23599968992932</v>
      </c>
      <c r="CE146" s="59">
        <f t="shared" si="148"/>
        <v>388.05195847800502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0.38986479536180701</v>
      </c>
      <c r="CL146" s="21">
        <f>EXP(-LN(2)/25)*CL145+(1-EXP(-LN(2)/25))/(LN(2)/25)*Calculateur!CG146*Calculateur!CI146*VLOOKUP('Données projet'!$B$12,Paramètres!$A$1:$I$89,3,0)*0.475*44/12</f>
        <v>0.91963734847723444</v>
      </c>
      <c r="CM146" s="21">
        <f>EXP(-LN(2)/2)*CM145+(1-EXP(-LN(2)/2))/(LN(2)/2)*CG146*CJ146*VLOOKUP('Données projet'!$B$12,Paramètres!$A$1:$I$89,3,0)*0.475*44/12</f>
        <v>1.1837400982219557E-16</v>
      </c>
      <c r="CN146" s="22">
        <f t="shared" si="120"/>
        <v>1.3095021438390417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-1.0995790944434703E-13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399.24912109442175</v>
      </c>
      <c r="CZ146" s="59">
        <f t="shared" si="150"/>
        <v>269.83150082245305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-1.223725121235475E-13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439.66981240211362</v>
      </c>
      <c r="DU146" s="59">
        <f t="shared" si="152"/>
        <v>295.47805371292458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-1.0818439477588981E-13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393.46715670823653</v>
      </c>
      <c r="EP146" s="59">
        <f t="shared" si="154"/>
        <v>266.16261355327214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549.43232095729741</v>
      </c>
      <c r="T147" s="59">
        <f t="shared" si="142"/>
        <v>280.26155987300996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1.3104082332888465</v>
      </c>
      <c r="AA147" s="21">
        <f>EXP(-LN(2)/25)*AA146+(1-EXP(-LN(2)/25))/(LN(2)/25)*Calculateur!V147*Calculateur!X147*VLOOKUP('Données projet'!$B$9,Paramètres!$A$1:$I$89,3,0)*0.475*44/12</f>
        <v>0.40519251299334391</v>
      </c>
      <c r="AB147" s="21">
        <f>EXP(-LN(2)/2)*AB146+(1-EXP(-LN(2)/2))/(LN(2)/2)*V147*Y147*VLOOKUP('Données projet'!$B$9,Paramètres!$A$1:$I$89,3,0)*0.475*44/12</f>
        <v>3.1261056253728554E-17</v>
      </c>
      <c r="AC147" s="22">
        <f t="shared" si="111"/>
        <v>1.7156007462821905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348.62416478262719</v>
      </c>
      <c r="AO147" s="59">
        <f t="shared" si="144"/>
        <v>371.70674704563288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1.3853463872792999</v>
      </c>
      <c r="AV147" s="21">
        <f>EXP(-LN(2)/25)*AV146+(1-EXP(-LN(2)/25))/(LN(2)/25)*Calculateur!AQ147*Calculateur!AS147*VLOOKUP('Données projet'!$B$10,Paramètres!$A$1:$I$89,3,0)*0.475*44/12</f>
        <v>0.51754462547859093</v>
      </c>
      <c r="AW147" s="21">
        <f>EXP(-LN(2)/2)*AW146+(1-EXP(-LN(2)/2))/(LN(2)/2)*AQ147*AT147*VLOOKUP('Données projet'!$B$10,Paramètres!$A$1:$I$89,3,0)*0.475*44/12</f>
        <v>8.6427773871545519E-17</v>
      </c>
      <c r="AX147" s="21">
        <f t="shared" si="114"/>
        <v>1.9028910127578909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405.7176439604217</v>
      </c>
      <c r="BJ147" s="59">
        <f t="shared" si="146"/>
        <v>278.21741231699929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0.76441157733884346</v>
      </c>
      <c r="BQ147" s="21">
        <f>EXP(-LN(2)/25)*BQ146+(1-EXP(-LN(2)/25))/(LN(2)/25)*Calculateur!BL147*Calculateur!BN147*VLOOKUP('Données projet'!$B$11,Paramètres!$A$1:$I$89,3,0)*0.475*44/12</f>
        <v>0.39700882044104052</v>
      </c>
      <c r="BR147" s="21">
        <f>EXP(-LN(2)/2)*BR146+(1-EXP(-LN(2)/2))/(LN(2)/2)*BL147*BO147*VLOOKUP('Données projet'!$B$11,Paramètres!$A$1:$I$89,3,0)*0.475*44/12</f>
        <v>5.922229782502415E-17</v>
      </c>
      <c r="BS147" s="22">
        <f t="shared" si="117"/>
        <v>1.161420397779884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1.9895196601282805E-13</v>
      </c>
      <c r="BZ147" s="13">
        <f>BY147*VLOOKUP('Données projet'!$B$12,Paramètres!$A$1:$I$89,3,0)*VLOOKUP('Données projet'!$B$12,Paramètres!$A$1:$I$89,5,0)</f>
        <v>1.738044375088066E-13</v>
      </c>
      <c r="CA147" s="13">
        <f t="shared" si="147"/>
        <v>2.4483293633950478E-12</v>
      </c>
      <c r="CB147" s="20">
        <f t="shared" si="118"/>
        <v>4.566883036574213E-12</v>
      </c>
      <c r="CC147" s="59">
        <f t="shared" si="119"/>
        <v>293.33333333333786</v>
      </c>
      <c r="CD147" s="59">
        <f ca="1">AVERAGE(OFFSET($CC$3,0,0,'Données projet'!$E$12+1,1))-AVERAGE(OFFSET($H$3,0,0,'Données projet'!$E$12+1,1))</f>
        <v>321.23599968992932</v>
      </c>
      <c r="CE147" s="59">
        <f t="shared" si="148"/>
        <v>388.05195847800502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0.38221978451880695</v>
      </c>
      <c r="CL147" s="21">
        <f>EXP(-LN(2)/25)*CL146+(1-EXP(-LN(2)/25))/(LN(2)/25)*Calculateur!CG147*Calculateur!CI147*VLOOKUP('Données projet'!$B$12,Paramètres!$A$1:$I$89,3,0)*0.475*44/12</f>
        <v>0.8944898168214982</v>
      </c>
      <c r="CM147" s="21">
        <f>EXP(-LN(2)/2)*CM146+(1-EXP(-LN(2)/2))/(LN(2)/2)*CG147*CJ147*VLOOKUP('Données projet'!$B$12,Paramètres!$A$1:$I$89,3,0)*0.475*44/12</f>
        <v>8.3703065061517468E-17</v>
      </c>
      <c r="CN147" s="22">
        <f t="shared" si="120"/>
        <v>1.2767096013403052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-1.0995790944434703E-13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399.24912109442175</v>
      </c>
      <c r="CZ147" s="59">
        <f t="shared" si="150"/>
        <v>269.83150082245305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-1.223725121235475E-13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439.66981240211362</v>
      </c>
      <c r="DU147" s="59">
        <f t="shared" si="152"/>
        <v>295.47805371292458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-1.0818439477588981E-13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393.46715670823653</v>
      </c>
      <c r="EP147" s="59">
        <f t="shared" si="154"/>
        <v>266.16261355327214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549.43232095729741</v>
      </c>
      <c r="T148" s="59">
        <f t="shared" si="142"/>
        <v>280.26155987300996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1.2847119271041532</v>
      </c>
      <c r="AA148" s="21">
        <f>EXP(-LN(2)/25)*AA147+(1-EXP(-LN(2)/25))/(LN(2)/25)*Calculateur!V148*Calculateur!X148*VLOOKUP('Données projet'!$B$9,Paramètres!$A$1:$I$89,3,0)*0.475*44/12</f>
        <v>0.39411250241739276</v>
      </c>
      <c r="AB148" s="21">
        <f>EXP(-LN(2)/2)*AB147+(1-EXP(-LN(2)/2))/(LN(2)/2)*V148*Y148*VLOOKUP('Données projet'!$B$9,Paramètres!$A$1:$I$89,3,0)*0.475*44/12</f>
        <v>2.210490486406559E-17</v>
      </c>
      <c r="AC148" s="22">
        <f t="shared" si="111"/>
        <v>1.678824429521546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348.62416478262719</v>
      </c>
      <c r="AO148" s="59">
        <f t="shared" si="144"/>
        <v>371.70674704563288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1.3581805896026145</v>
      </c>
      <c r="AV148" s="21">
        <f>EXP(-LN(2)/25)*AV147+(1-EXP(-LN(2)/25))/(LN(2)/25)*Calculateur!AQ148*Calculateur!AS148*VLOOKUP('Données projet'!$B$10,Paramètres!$A$1:$I$89,3,0)*0.475*44/12</f>
        <v>0.50339234047838988</v>
      </c>
      <c r="AW148" s="21">
        <f>EXP(-LN(2)/2)*AW147+(1-EXP(-LN(2)/2))/(LN(2)/2)*AQ148*AT148*VLOOKUP('Données projet'!$B$10,Paramètres!$A$1:$I$89,3,0)*0.475*44/12</f>
        <v>6.1113664987427346E-17</v>
      </c>
      <c r="AX148" s="21">
        <f t="shared" si="114"/>
        <v>1.8615729300810044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405.7176439604217</v>
      </c>
      <c r="BJ148" s="59">
        <f t="shared" si="146"/>
        <v>278.21741231699929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0.74942193255225309</v>
      </c>
      <c r="BQ148" s="21">
        <f>EXP(-LN(2)/25)*BQ147+(1-EXP(-LN(2)/25))/(LN(2)/25)*Calculateur!BL148*Calculateur!BN148*VLOOKUP('Données projet'!$B$11,Paramètres!$A$1:$I$89,3,0)*0.475*44/12</f>
        <v>0.38615259336829377</v>
      </c>
      <c r="BR148" s="21">
        <f>EXP(-LN(2)/2)*BR147+(1-EXP(-LN(2)/2))/(LN(2)/2)*BL148*BO148*VLOOKUP('Données projet'!$B$11,Paramètres!$A$1:$I$89,3,0)*0.475*44/12</f>
        <v>4.1876488389523901E-17</v>
      </c>
      <c r="BS148" s="22">
        <f t="shared" si="117"/>
        <v>1.1355745259205468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1.9895196601282805E-13</v>
      </c>
      <c r="BZ148" s="13">
        <f>BY148*VLOOKUP('Données projet'!$B$12,Paramètres!$A$1:$I$89,3,0)*VLOOKUP('Données projet'!$B$12,Paramètres!$A$1:$I$89,5,0)</f>
        <v>1.738044375088066E-13</v>
      </c>
      <c r="CA148" s="13">
        <f t="shared" si="147"/>
        <v>2.4483293633950478E-12</v>
      </c>
      <c r="CB148" s="20">
        <f t="shared" si="118"/>
        <v>4.566883036574213E-12</v>
      </c>
      <c r="CC148" s="59">
        <f t="shared" si="119"/>
        <v>293.33333333333786</v>
      </c>
      <c r="CD148" s="59">
        <f ca="1">AVERAGE(OFFSET($CC$3,0,0,'Données projet'!$E$12+1,1))-AVERAGE(OFFSET($H$3,0,0,'Données projet'!$E$12+1,1))</f>
        <v>321.23599968992932</v>
      </c>
      <c r="CE148" s="59">
        <f t="shared" si="148"/>
        <v>388.05195847800502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0.37472468767544193</v>
      </c>
      <c r="CL148" s="21">
        <f>EXP(-LN(2)/25)*CL147+(1-EXP(-LN(2)/25))/(LN(2)/25)*Calculateur!CG148*Calculateur!CI148*VLOOKUP('Données projet'!$B$12,Paramètres!$A$1:$I$89,3,0)*0.475*44/12</f>
        <v>0.87002994574133929</v>
      </c>
      <c r="CM148" s="21">
        <f>EXP(-LN(2)/2)*CM147+(1-EXP(-LN(2)/2))/(LN(2)/2)*CG148*CJ148*VLOOKUP('Données projet'!$B$12,Paramètres!$A$1:$I$89,3,0)*0.475*44/12</f>
        <v>5.9187004911097783E-17</v>
      </c>
      <c r="CN148" s="22">
        <f t="shared" si="120"/>
        <v>1.2447546334167812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-1.0995790944434703E-13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399.24912109442175</v>
      </c>
      <c r="CZ148" s="59">
        <f t="shared" si="150"/>
        <v>269.83150082245305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-1.223725121235475E-13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439.66981240211362</v>
      </c>
      <c r="DU148" s="59">
        <f t="shared" si="152"/>
        <v>295.47805371292458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-1.0818439477588981E-13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393.46715670823653</v>
      </c>
      <c r="EP148" s="59">
        <f t="shared" si="154"/>
        <v>266.16261355327214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549.43232095729741</v>
      </c>
      <c r="T149" s="59">
        <f t="shared" si="142"/>
        <v>280.26155987300996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1.2595195098105425</v>
      </c>
      <c r="AA149" s="21">
        <f>EXP(-LN(2)/25)*AA148+(1-EXP(-LN(2)/25))/(LN(2)/25)*Calculateur!V149*Calculateur!X149*VLOOKUP('Données projet'!$B$9,Paramètres!$A$1:$I$89,3,0)*0.475*44/12</f>
        <v>0.38333547531331341</v>
      </c>
      <c r="AB149" s="21">
        <f>EXP(-LN(2)/2)*AB148+(1-EXP(-LN(2)/2))/(LN(2)/2)*V149*Y149*VLOOKUP('Données projet'!$B$9,Paramètres!$A$1:$I$89,3,0)*0.475*44/12</f>
        <v>1.5630528126864277E-17</v>
      </c>
      <c r="AC149" s="22">
        <f t="shared" si="111"/>
        <v>1.6428549851238559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348.62416478262719</v>
      </c>
      <c r="AO149" s="59">
        <f t="shared" si="144"/>
        <v>371.70674704563288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1.3315474966488683</v>
      </c>
      <c r="AV149" s="21">
        <f>EXP(-LN(2)/25)*AV148+(1-EXP(-LN(2)/25))/(LN(2)/25)*Calculateur!AQ149*Calculateur!AS149*VLOOKUP('Données projet'!$B$10,Paramètres!$A$1:$I$89,3,0)*0.475*44/12</f>
        <v>0.48962705045575566</v>
      </c>
      <c r="AW149" s="21">
        <f>EXP(-LN(2)/2)*AW148+(1-EXP(-LN(2)/2))/(LN(2)/2)*AQ149*AT149*VLOOKUP('Données projet'!$B$10,Paramètres!$A$1:$I$89,3,0)*0.475*44/12</f>
        <v>4.321388693577276E-17</v>
      </c>
      <c r="AX149" s="21">
        <f t="shared" si="114"/>
        <v>1.8211745471046239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405.7176439604217</v>
      </c>
      <c r="BJ149" s="59">
        <f t="shared" si="146"/>
        <v>278.21741231699929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0.73472622555714717</v>
      </c>
      <c r="BQ149" s="21">
        <f>EXP(-LN(2)/25)*BQ148+(1-EXP(-LN(2)/25))/(LN(2)/25)*Calculateur!BL149*Calculateur!BN149*VLOOKUP('Données projet'!$B$11,Paramètres!$A$1:$I$89,3,0)*0.475*44/12</f>
        <v>0.37559323039575548</v>
      </c>
      <c r="BR149" s="21">
        <f>EXP(-LN(2)/2)*BR148+(1-EXP(-LN(2)/2))/(LN(2)/2)*BL149*BO149*VLOOKUP('Données projet'!$B$11,Paramètres!$A$1:$I$89,3,0)*0.475*44/12</f>
        <v>2.9611148912512075E-17</v>
      </c>
      <c r="BS149" s="22">
        <f t="shared" si="117"/>
        <v>1.1103194559529026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1.9895196601282805E-13</v>
      </c>
      <c r="BZ149" s="13">
        <f>BY149*VLOOKUP('Données projet'!$B$12,Paramètres!$A$1:$I$89,3,0)*VLOOKUP('Données projet'!$B$12,Paramètres!$A$1:$I$89,5,0)</f>
        <v>1.738044375088066E-13</v>
      </c>
      <c r="CA149" s="13">
        <f t="shared" si="147"/>
        <v>2.4483293633950478E-12</v>
      </c>
      <c r="CB149" s="20">
        <f t="shared" si="118"/>
        <v>4.566883036574213E-12</v>
      </c>
      <c r="CC149" s="59">
        <f t="shared" si="119"/>
        <v>293.33333333333786</v>
      </c>
      <c r="CD149" s="59">
        <f ca="1">AVERAGE(OFFSET($CC$3,0,0,'Données projet'!$E$12+1,1))-AVERAGE(OFFSET($H$3,0,0,'Données projet'!$E$12+1,1))</f>
        <v>321.23599968992932</v>
      </c>
      <c r="CE149" s="59">
        <f t="shared" si="148"/>
        <v>388.05195847800502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0.36737656510961764</v>
      </c>
      <c r="CL149" s="21">
        <f>EXP(-LN(2)/25)*CL148+(1-EXP(-LN(2)/25))/(LN(2)/25)*Calculateur!CG149*Calculateur!CI149*VLOOKUP('Données projet'!$B$12,Paramètres!$A$1:$I$89,3,0)*0.475*44/12</f>
        <v>0.84623893112215598</v>
      </c>
      <c r="CM149" s="21">
        <f>EXP(-LN(2)/2)*CM148+(1-EXP(-LN(2)/2))/(LN(2)/2)*CG149*CJ149*VLOOKUP('Données projet'!$B$12,Paramètres!$A$1:$I$89,3,0)*0.475*44/12</f>
        <v>4.1851532530758734E-17</v>
      </c>
      <c r="CN149" s="22">
        <f t="shared" si="120"/>
        <v>1.2136154962317736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-1.0995790944434703E-13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399.24912109442175</v>
      </c>
      <c r="CZ149" s="59">
        <f t="shared" si="150"/>
        <v>269.83150082245305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-1.223725121235475E-13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439.66981240211362</v>
      </c>
      <c r="DU149" s="59">
        <f t="shared" si="152"/>
        <v>295.47805371292458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-1.0818439477588981E-13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393.46715670823653</v>
      </c>
      <c r="EP149" s="59">
        <f t="shared" si="154"/>
        <v>266.16261355327214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549.43232095729741</v>
      </c>
      <c r="T150" s="59">
        <f t="shared" si="142"/>
        <v>280.26155987300996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1.2348211004542022</v>
      </c>
      <c r="AA150" s="21">
        <f>EXP(-LN(2)/25)*AA149+(1-EXP(-LN(2)/25))/(LN(2)/25)*Calculateur!V150*Calculateur!X150*VLOOKUP('Données projet'!$B$9,Paramètres!$A$1:$I$89,3,0)*0.475*44/12</f>
        <v>0.37285314658213431</v>
      </c>
      <c r="AB150" s="21">
        <f>EXP(-LN(2)/2)*AB149+(1-EXP(-LN(2)/2))/(LN(2)/2)*V150*Y150*VLOOKUP('Données projet'!$B$9,Paramètres!$A$1:$I$89,3,0)*0.475*44/12</f>
        <v>1.1052452432032795E-17</v>
      </c>
      <c r="AC150" s="22">
        <f t="shared" si="111"/>
        <v>1.6076742470363365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348.62416478262719</v>
      </c>
      <c r="AO150" s="59">
        <f t="shared" si="144"/>
        <v>371.70674704563288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1.3054366624033624</v>
      </c>
      <c r="AV150" s="21">
        <f>EXP(-LN(2)/25)*AV149+(1-EXP(-LN(2)/25))/(LN(2)/25)*Calculateur!AQ150*Calculateur!AS150*VLOOKUP('Données projet'!$B$10,Paramètres!$A$1:$I$89,3,0)*0.475*44/12</f>
        <v>0.47623817301267551</v>
      </c>
      <c r="AW150" s="21">
        <f>EXP(-LN(2)/2)*AW149+(1-EXP(-LN(2)/2))/(LN(2)/2)*AQ150*AT150*VLOOKUP('Données projet'!$B$10,Paramètres!$A$1:$I$89,3,0)*0.475*44/12</f>
        <v>3.0556832493713673E-17</v>
      </c>
      <c r="AX150" s="21">
        <f t="shared" si="114"/>
        <v>1.7816748354160379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405.7176439604217</v>
      </c>
      <c r="BJ150" s="59">
        <f t="shared" si="146"/>
        <v>278.21741231699929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0.72031869241271906</v>
      </c>
      <c r="BQ150" s="21">
        <f>EXP(-LN(2)/25)*BQ149+(1-EXP(-LN(2)/25))/(LN(2)/25)*Calculateur!BL150*Calculateur!BN150*VLOOKUP('Données projet'!$B$11,Paramètres!$A$1:$I$89,3,0)*0.475*44/12</f>
        <v>0.365322613758994</v>
      </c>
      <c r="BR150" s="21">
        <f>EXP(-LN(2)/2)*BR149+(1-EXP(-LN(2)/2))/(LN(2)/2)*BL150*BO150*VLOOKUP('Données projet'!$B$11,Paramètres!$A$1:$I$89,3,0)*0.475*44/12</f>
        <v>2.0938244194761951E-17</v>
      </c>
      <c r="BS150" s="22">
        <f t="shared" si="117"/>
        <v>1.0856413061717132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1.9895196601282805E-13</v>
      </c>
      <c r="BZ150" s="13">
        <f>BY150*VLOOKUP('Données projet'!$B$12,Paramètres!$A$1:$I$89,3,0)*VLOOKUP('Données projet'!$B$12,Paramètres!$A$1:$I$89,5,0)</f>
        <v>1.738044375088066E-13</v>
      </c>
      <c r="CA150" s="13">
        <f t="shared" si="147"/>
        <v>2.4483293633950478E-12</v>
      </c>
      <c r="CB150" s="20">
        <f t="shared" si="118"/>
        <v>4.566883036574213E-12</v>
      </c>
      <c r="CC150" s="59">
        <f t="shared" si="119"/>
        <v>293.33333333333786</v>
      </c>
      <c r="CD150" s="59">
        <f ca="1">AVERAGE(OFFSET($CC$3,0,0,'Données projet'!$E$12+1,1))-AVERAGE(OFFSET($H$3,0,0,'Données projet'!$E$12+1,1))</f>
        <v>321.23599968992932</v>
      </c>
      <c r="CE150" s="59">
        <f t="shared" si="148"/>
        <v>388.05195847800502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0.36017253474539696</v>
      </c>
      <c r="CL150" s="21">
        <f>EXP(-LN(2)/25)*CL149+(1-EXP(-LN(2)/25))/(LN(2)/25)*Calculateur!CG150*Calculateur!CI150*VLOOKUP('Données projet'!$B$12,Paramètres!$A$1:$I$89,3,0)*0.475*44/12</f>
        <v>0.82309848304884936</v>
      </c>
      <c r="CM150" s="21">
        <f>EXP(-LN(2)/2)*CM149+(1-EXP(-LN(2)/2))/(LN(2)/2)*CG150*CJ150*VLOOKUP('Données projet'!$B$12,Paramètres!$A$1:$I$89,3,0)*0.475*44/12</f>
        <v>2.9593502455548891E-17</v>
      </c>
      <c r="CN150" s="22">
        <f t="shared" si="120"/>
        <v>1.1832710177942463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-1.0995790944434703E-13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399.24912109442175</v>
      </c>
      <c r="CZ150" s="59">
        <f t="shared" si="150"/>
        <v>269.83150082245305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-1.223725121235475E-13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439.66981240211362</v>
      </c>
      <c r="DU150" s="59">
        <f t="shared" si="152"/>
        <v>295.47805371292458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-1.0818439477588981E-13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393.46715670823653</v>
      </c>
      <c r="EP150" s="59">
        <f t="shared" si="154"/>
        <v>266.16261355327214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549.43232095729741</v>
      </c>
      <c r="T151" s="59">
        <f t="shared" si="142"/>
        <v>280.26155987300996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1.2106070118407977</v>
      </c>
      <c r="AA151" s="21">
        <f>EXP(-LN(2)/25)*AA150+(1-EXP(-LN(2)/25))/(LN(2)/25)*Calculateur!V151*Calculateur!X151*VLOOKUP('Données projet'!$B$9,Paramètres!$A$1:$I$89,3,0)*0.475*44/12</f>
        <v>0.36265745768135105</v>
      </c>
      <c r="AB151" s="21">
        <f>EXP(-LN(2)/2)*AB150+(1-EXP(-LN(2)/2))/(LN(2)/2)*V151*Y151*VLOOKUP('Données projet'!$B$9,Paramètres!$A$1:$I$89,3,0)*0.475*44/12</f>
        <v>7.8152640634321384E-18</v>
      </c>
      <c r="AC151" s="22">
        <f t="shared" si="111"/>
        <v>1.5732644695221487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348.62416478262719</v>
      </c>
      <c r="AO151" s="59">
        <f t="shared" si="144"/>
        <v>371.70674704563288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1.2798378456913746</v>
      </c>
      <c r="AV151" s="21">
        <f>EXP(-LN(2)/25)*AV150+(1-EXP(-LN(2)/25))/(LN(2)/25)*Calculateur!AQ151*Calculateur!AS151*VLOOKUP('Données projet'!$B$10,Paramètres!$A$1:$I$89,3,0)*0.475*44/12</f>
        <v>0.46321541512736686</v>
      </c>
      <c r="AW151" s="21">
        <f>EXP(-LN(2)/2)*AW150+(1-EXP(-LN(2)/2))/(LN(2)/2)*AQ151*AT151*VLOOKUP('Données projet'!$B$10,Paramètres!$A$1:$I$89,3,0)*0.475*44/12</f>
        <v>2.160694346788638E-17</v>
      </c>
      <c r="AX151" s="21">
        <f t="shared" si="114"/>
        <v>1.7430532608187415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405.7176439604217</v>
      </c>
      <c r="BJ151" s="59">
        <f t="shared" si="146"/>
        <v>278.21741231699929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0.7061936822055257</v>
      </c>
      <c r="BQ151" s="21">
        <f>EXP(-LN(2)/25)*BQ150+(1-EXP(-LN(2)/25))/(LN(2)/25)*Calculateur!BL151*Calculateur!BN151*VLOOKUP('Données projet'!$B$11,Paramètres!$A$1:$I$89,3,0)*0.475*44/12</f>
        <v>0.35533284767427298</v>
      </c>
      <c r="BR151" s="21">
        <f>EXP(-LN(2)/2)*BR150+(1-EXP(-LN(2)/2))/(LN(2)/2)*BL151*BO151*VLOOKUP('Données projet'!$B$11,Paramètres!$A$1:$I$89,3,0)*0.475*44/12</f>
        <v>1.4805574456256037E-17</v>
      </c>
      <c r="BS151" s="22">
        <f t="shared" si="117"/>
        <v>1.0615265298797987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1.9895196601282805E-13</v>
      </c>
      <c r="BZ151" s="13">
        <f>BY151*VLOOKUP('Données projet'!$B$12,Paramètres!$A$1:$I$89,3,0)*VLOOKUP('Données projet'!$B$12,Paramètres!$A$1:$I$89,5,0)</f>
        <v>1.738044375088066E-13</v>
      </c>
      <c r="CA151" s="13">
        <f t="shared" si="147"/>
        <v>2.4483293633950478E-12</v>
      </c>
      <c r="CB151" s="20">
        <f t="shared" si="118"/>
        <v>4.566883036574213E-12</v>
      </c>
      <c r="CC151" s="59">
        <f t="shared" si="119"/>
        <v>293.33333333333786</v>
      </c>
      <c r="CD151" s="59">
        <f ca="1">AVERAGE(OFFSET($CC$3,0,0,'Données projet'!$E$12+1,1))-AVERAGE(OFFSET($H$3,0,0,'Données projet'!$E$12+1,1))</f>
        <v>321.23599968992932</v>
      </c>
      <c r="CE151" s="59">
        <f t="shared" si="148"/>
        <v>388.05195847800502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0.35310977102259394</v>
      </c>
      <c r="CL151" s="21">
        <f>EXP(-LN(2)/25)*CL150+(1-EXP(-LN(2)/25))/(LN(2)/25)*Calculateur!CG151*Calculateur!CI151*VLOOKUP('Données projet'!$B$12,Paramètres!$A$1:$I$89,3,0)*0.475*44/12</f>
        <v>0.80059081174501057</v>
      </c>
      <c r="CM151" s="21">
        <f>EXP(-LN(2)/2)*CM150+(1-EXP(-LN(2)/2))/(LN(2)/2)*CG151*CJ151*VLOOKUP('Données projet'!$B$12,Paramètres!$A$1:$I$89,3,0)*0.475*44/12</f>
        <v>2.0925766265379367E-17</v>
      </c>
      <c r="CN151" s="22">
        <f t="shared" si="120"/>
        <v>1.1537005827676046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-1.0995790944434703E-13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399.24912109442175</v>
      </c>
      <c r="CZ151" s="59">
        <f t="shared" si="150"/>
        <v>269.83150082245305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-1.223725121235475E-13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439.66981240211362</v>
      </c>
      <c r="DU151" s="59">
        <f t="shared" si="152"/>
        <v>295.47805371292458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-1.0818439477588981E-13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393.46715670823653</v>
      </c>
      <c r="EP151" s="59">
        <f t="shared" si="154"/>
        <v>266.16261355327214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549.43232095729741</v>
      </c>
      <c r="T152" s="59">
        <f t="shared" si="142"/>
        <v>280.26155987300996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1.1868677467359661</v>
      </c>
      <c r="AA152" s="21">
        <f>EXP(-LN(2)/25)*AA151+(1-EXP(-LN(2)/25))/(LN(2)/25)*Calculateur!V152*Calculateur!X152*VLOOKUP('Données projet'!$B$9,Paramètres!$A$1:$I$89,3,0)*0.475*44/12</f>
        <v>0.35274057042972767</v>
      </c>
      <c r="AB152" s="21">
        <f>EXP(-LN(2)/2)*AB151+(1-EXP(-LN(2)/2))/(LN(2)/2)*V152*Y152*VLOOKUP('Données projet'!$B$9,Paramètres!$A$1:$I$89,3,0)*0.475*44/12</f>
        <v>5.5262262160163974E-18</v>
      </c>
      <c r="AC152" s="22">
        <f t="shared" si="111"/>
        <v>1.5396083171656938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348.62416478262719</v>
      </c>
      <c r="AO152" s="59">
        <f t="shared" si="144"/>
        <v>371.70674704563288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1.2547410061613724</v>
      </c>
      <c r="AV152" s="21">
        <f>EXP(-LN(2)/25)*AV151+(1-EXP(-LN(2)/25))/(LN(2)/25)*Calculateur!AQ152*Calculateur!AS152*VLOOKUP('Données projet'!$B$10,Paramètres!$A$1:$I$89,3,0)*0.475*44/12</f>
        <v>0.45054876524126902</v>
      </c>
      <c r="AW152" s="21">
        <f>EXP(-LN(2)/2)*AW151+(1-EXP(-LN(2)/2))/(LN(2)/2)*AQ152*AT152*VLOOKUP('Données projet'!$B$10,Paramètres!$A$1:$I$89,3,0)*0.475*44/12</f>
        <v>1.5278416246856837E-17</v>
      </c>
      <c r="AX152" s="21">
        <f t="shared" si="114"/>
        <v>1.7052897714026414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405.7176439604217</v>
      </c>
      <c r="BJ152" s="59">
        <f t="shared" si="146"/>
        <v>278.21741231699929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0.69234565483308985</v>
      </c>
      <c r="BQ152" s="21">
        <f>EXP(-LN(2)/25)*BQ151+(1-EXP(-LN(2)/25))/(LN(2)/25)*Calculateur!BL152*Calculateur!BN152*VLOOKUP('Données projet'!$B$11,Paramètres!$A$1:$I$89,3,0)*0.475*44/12</f>
        <v>0.34561625226847764</v>
      </c>
      <c r="BR152" s="21">
        <f>EXP(-LN(2)/2)*BR151+(1-EXP(-LN(2)/2))/(LN(2)/2)*BL152*BO152*VLOOKUP('Données projet'!$B$11,Paramètres!$A$1:$I$89,3,0)*0.475*44/12</f>
        <v>1.0469122097380975E-17</v>
      </c>
      <c r="BS152" s="22">
        <f t="shared" si="117"/>
        <v>1.0379619071015675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1.9895196601282805E-13</v>
      </c>
      <c r="BZ152" s="13">
        <f>BY152*VLOOKUP('Données projet'!$B$12,Paramètres!$A$1:$I$89,3,0)*VLOOKUP('Données projet'!$B$12,Paramètres!$A$1:$I$89,5,0)</f>
        <v>1.738044375088066E-13</v>
      </c>
      <c r="CA152" s="13">
        <f t="shared" si="147"/>
        <v>2.4483293633950478E-12</v>
      </c>
      <c r="CB152" s="20">
        <f t="shared" si="118"/>
        <v>4.566883036574213E-12</v>
      </c>
      <c r="CC152" s="59">
        <f t="shared" si="119"/>
        <v>293.33333333333786</v>
      </c>
      <c r="CD152" s="59">
        <f ca="1">AVERAGE(OFFSET($CC$3,0,0,'Données projet'!$E$12+1,1))-AVERAGE(OFFSET($H$3,0,0,'Données projet'!$E$12+1,1))</f>
        <v>321.23599968992932</v>
      </c>
      <c r="CE152" s="59">
        <f t="shared" si="148"/>
        <v>388.05195847800502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0.34618550378853463</v>
      </c>
      <c r="CL152" s="21">
        <f>EXP(-LN(2)/25)*CL151+(1-EXP(-LN(2)/25))/(LN(2)/25)*Calculateur!CG152*Calculateur!CI152*VLOOKUP('Données projet'!$B$12,Paramètres!$A$1:$I$89,3,0)*0.475*44/12</f>
        <v>0.77869861389660222</v>
      </c>
      <c r="CM152" s="21">
        <f>EXP(-LN(2)/2)*CM151+(1-EXP(-LN(2)/2))/(LN(2)/2)*CG152*CJ152*VLOOKUP('Données projet'!$B$12,Paramètres!$A$1:$I$89,3,0)*0.475*44/12</f>
        <v>1.4796751227774446E-17</v>
      </c>
      <c r="CN152" s="22">
        <f t="shared" si="120"/>
        <v>1.124884117685137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-1.0995790944434703E-13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399.24912109442175</v>
      </c>
      <c r="CZ152" s="59">
        <f t="shared" si="150"/>
        <v>269.83150082245305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-1.223725121235475E-13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439.66981240211362</v>
      </c>
      <c r="DU152" s="59">
        <f t="shared" si="152"/>
        <v>295.47805371292458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-1.0818439477588981E-13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393.46715670823653</v>
      </c>
      <c r="EP152" s="59">
        <f t="shared" si="154"/>
        <v>266.16261355327214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549.43232095729741</v>
      </c>
      <c r="T153" s="59">
        <f t="shared" si="142"/>
        <v>280.26155987300996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1.1635939941403184</v>
      </c>
      <c r="AA153" s="21">
        <f>EXP(-LN(2)/25)*AA152+(1-EXP(-LN(2)/25))/(LN(2)/25)*Calculateur!V153*Calculateur!X153*VLOOKUP('Données projet'!$B$9,Paramètres!$A$1:$I$89,3,0)*0.475*44/12</f>
        <v>0.34309486098150638</v>
      </c>
      <c r="AB153" s="21">
        <f>EXP(-LN(2)/2)*AB152+(1-EXP(-LN(2)/2))/(LN(2)/2)*V153*Y153*VLOOKUP('Données projet'!$B$9,Paramètres!$A$1:$I$89,3,0)*0.475*44/12</f>
        <v>3.9076320317160692E-18</v>
      </c>
      <c r="AC153" s="22">
        <f t="shared" si="111"/>
        <v>1.5066888551218247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348.62416478262719</v>
      </c>
      <c r="AO153" s="59">
        <f t="shared" si="144"/>
        <v>371.70674704563288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1.230136300346993</v>
      </c>
      <c r="AV153" s="21">
        <f>EXP(-LN(2)/25)*AV152+(1-EXP(-LN(2)/25))/(LN(2)/25)*Calculateur!AQ153*Calculateur!AS153*VLOOKUP('Données projet'!$B$10,Paramètres!$A$1:$I$89,3,0)*0.475*44/12</f>
        <v>0.43822848556241673</v>
      </c>
      <c r="AW153" s="21">
        <f>EXP(-LN(2)/2)*AW152+(1-EXP(-LN(2)/2))/(LN(2)/2)*AQ153*AT153*VLOOKUP('Données projet'!$B$10,Paramètres!$A$1:$I$89,3,0)*0.475*44/12</f>
        <v>1.080347173394319E-17</v>
      </c>
      <c r="AX153" s="21">
        <f t="shared" si="114"/>
        <v>1.6683647859094097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405.7176439604217</v>
      </c>
      <c r="BJ153" s="59">
        <f t="shared" si="146"/>
        <v>278.21741231699929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0.67876917883096477</v>
      </c>
      <c r="BQ153" s="21">
        <f>EXP(-LN(2)/25)*BQ152+(1-EXP(-LN(2)/25))/(LN(2)/25)*Calculateur!BL153*Calculateur!BN153*VLOOKUP('Données projet'!$B$11,Paramètres!$A$1:$I$89,3,0)*0.475*44/12</f>
        <v>0.33616535767502731</v>
      </c>
      <c r="BR153" s="21">
        <f>EXP(-LN(2)/2)*BR152+(1-EXP(-LN(2)/2))/(LN(2)/2)*BL153*BO153*VLOOKUP('Données projet'!$B$11,Paramètres!$A$1:$I$89,3,0)*0.475*44/12</f>
        <v>7.4027872281280187E-18</v>
      </c>
      <c r="BS153" s="22">
        <f t="shared" si="117"/>
        <v>1.0149345365059921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1.9895196601282805E-13</v>
      </c>
      <c r="BZ153" s="13">
        <f>BY153*VLOOKUP('Données projet'!$B$12,Paramètres!$A$1:$I$89,3,0)*VLOOKUP('Données projet'!$B$12,Paramètres!$A$1:$I$89,5,0)</f>
        <v>1.738044375088066E-13</v>
      </c>
      <c r="CA153" s="13">
        <f t="shared" si="147"/>
        <v>2.4483293633950478E-12</v>
      </c>
      <c r="CB153" s="20">
        <f t="shared" si="118"/>
        <v>4.566883036574213E-12</v>
      </c>
      <c r="CC153" s="59">
        <f t="shared" si="119"/>
        <v>293.33333333333786</v>
      </c>
      <c r="CD153" s="59">
        <f ca="1">AVERAGE(OFFSET($CC$3,0,0,'Données projet'!$E$12+1,1))-AVERAGE(OFFSET($H$3,0,0,'Données projet'!$E$12+1,1))</f>
        <v>321.23599968992932</v>
      </c>
      <c r="CE153" s="59">
        <f t="shared" si="148"/>
        <v>388.05195847800502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0.33939701721154925</v>
      </c>
      <c r="CL153" s="21">
        <f>EXP(-LN(2)/25)*CL152+(1-EXP(-LN(2)/25))/(LN(2)/25)*Calculateur!CG153*Calculateur!CI153*VLOOKUP('Données projet'!$B$12,Paramètres!$A$1:$I$89,3,0)*0.475*44/12</f>
        <v>0.75740505934961921</v>
      </c>
      <c r="CM153" s="21">
        <f>EXP(-LN(2)/2)*CM152+(1-EXP(-LN(2)/2))/(LN(2)/2)*CG153*CJ153*VLOOKUP('Données projet'!$B$12,Paramètres!$A$1:$I$89,3,0)*0.475*44/12</f>
        <v>1.0462883132689684E-17</v>
      </c>
      <c r="CN153" s="22">
        <f t="shared" si="120"/>
        <v>1.0968020765611683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-1.0995790944434703E-13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399.24912109442175</v>
      </c>
      <c r="CZ153" s="59">
        <f t="shared" si="150"/>
        <v>269.83150082245305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-1.223725121235475E-13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439.66981240211362</v>
      </c>
      <c r="DU153" s="59">
        <f t="shared" si="152"/>
        <v>295.47805371292458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-1.0818439477588981E-13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393.46715670823653</v>
      </c>
      <c r="EP153" s="59">
        <f t="shared" si="154"/>
        <v>266.16261355327214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549.43232095729741</v>
      </c>
      <c r="T154" s="59">
        <f t="shared" si="142"/>
        <v>280.26155987300996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1.1407766256374838</v>
      </c>
      <c r="AA154" s="21">
        <f>EXP(-LN(2)/25)*AA153+(1-EXP(-LN(2)/25))/(LN(2)/25)*Calculateur!V154*Calculateur!X154*VLOOKUP('Données projet'!$B$9,Paramètres!$A$1:$I$89,3,0)*0.475*44/12</f>
        <v>0.33371291396539249</v>
      </c>
      <c r="AB154" s="21">
        <f>EXP(-LN(2)/2)*AB153+(1-EXP(-LN(2)/2))/(LN(2)/2)*V154*Y154*VLOOKUP('Données projet'!$B$9,Paramètres!$A$1:$I$89,3,0)*0.475*44/12</f>
        <v>2.7631131080081987E-18</v>
      </c>
      <c r="AC154" s="22">
        <f t="shared" ref="AC154:AC203" si="163">SUM(Z154:AB154)</f>
        <v>1.4744895396028763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348.62416478262719</v>
      </c>
      <c r="AO154" s="59">
        <f t="shared" si="144"/>
        <v>371.70674704563288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1.2060140778062447</v>
      </c>
      <c r="AV154" s="21">
        <f>EXP(-LN(2)/25)*AV153+(1-EXP(-LN(2)/25))/(LN(2)/25)*Calculateur!AQ154*Calculateur!AS154*VLOOKUP('Données projet'!$B$10,Paramètres!$A$1:$I$89,3,0)*0.475*44/12</f>
        <v>0.42624510457927794</v>
      </c>
      <c r="AW154" s="21">
        <f>EXP(-LN(2)/2)*AW153+(1-EXP(-LN(2)/2))/(LN(2)/2)*AQ154*AT154*VLOOKUP('Données projet'!$B$10,Paramètres!$A$1:$I$89,3,0)*0.475*44/12</f>
        <v>7.6392081234284183E-18</v>
      </c>
      <c r="AX154" s="21">
        <f t="shared" ref="AX154:AX203" si="166">SUM(AU154:AW154)</f>
        <v>1.6322591823855226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405.7176439604217</v>
      </c>
      <c r="BJ154" s="59">
        <f t="shared" si="146"/>
        <v>278.21741231699929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0.66545892924240868</v>
      </c>
      <c r="BQ154" s="21">
        <f>EXP(-LN(2)/25)*BQ153+(1-EXP(-LN(2)/25))/(LN(2)/25)*Calculateur!BL154*Calculateur!BN154*VLOOKUP('Données projet'!$B$11,Paramètres!$A$1:$I$89,3,0)*0.475*44/12</f>
        <v>0.32697289829123583</v>
      </c>
      <c r="BR154" s="21">
        <f>EXP(-LN(2)/2)*BR153+(1-EXP(-LN(2)/2))/(LN(2)/2)*BL154*BO154*VLOOKUP('Données projet'!$B$11,Paramètres!$A$1:$I$89,3,0)*0.475*44/12</f>
        <v>5.2345610486904877E-18</v>
      </c>
      <c r="BS154" s="22">
        <f t="shared" ref="BS154:BS203" si="169">SUM(BP154:BR154)</f>
        <v>0.99243182753364456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1.9895196601282805E-13</v>
      </c>
      <c r="BZ154" s="13">
        <f>BY154*VLOOKUP('Données projet'!$B$12,Paramètres!$A$1:$I$89,3,0)*VLOOKUP('Données projet'!$B$12,Paramètres!$A$1:$I$89,5,0)</f>
        <v>1.738044375088066E-13</v>
      </c>
      <c r="CA154" s="13">
        <f t="shared" ref="CA154:CA203" si="170">EXP(-1.0587+0.8836*LN(BZ154)+0.284)</f>
        <v>2.4483293633950478E-12</v>
      </c>
      <c r="CB154" s="20">
        <f t="shared" ref="CB154:CB203" si="171">(BZ154+CA154)*0.475*44/12</f>
        <v>4.566883036574213E-12</v>
      </c>
      <c r="CC154" s="59">
        <f t="shared" si="119"/>
        <v>293.33333333333786</v>
      </c>
      <c r="CD154" s="59">
        <f ca="1">AVERAGE(OFFSET($CC$3,0,0,'Données projet'!$E$12+1,1))-AVERAGE(OFFSET($H$3,0,0,'Données projet'!$E$12+1,1))</f>
        <v>321.23599968992932</v>
      </c>
      <c r="CE154" s="59">
        <f t="shared" si="148"/>
        <v>388.05195847800502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0.33274164871577055</v>
      </c>
      <c r="CL154" s="21">
        <f>EXP(-LN(2)/25)*CL153+(1-EXP(-LN(2)/25))/(LN(2)/25)*Calculateur!CG154*Calculateur!CI154*VLOOKUP('Données projet'!$B$12,Paramètres!$A$1:$I$89,3,0)*0.475*44/12</f>
        <v>0.73669377817150283</v>
      </c>
      <c r="CM154" s="21">
        <f>EXP(-LN(2)/2)*CM153+(1-EXP(-LN(2)/2))/(LN(2)/2)*CG154*CJ154*VLOOKUP('Données projet'!$B$12,Paramètres!$A$1:$I$89,3,0)*0.475*44/12</f>
        <v>7.3983756138872228E-18</v>
      </c>
      <c r="CN154" s="22">
        <f t="shared" ref="CN154:CN203" si="172">SUM(CK154:CM154)</f>
        <v>1.0694354268872734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-1.0995790944434703E-13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399.24912109442175</v>
      </c>
      <c r="CZ154" s="59">
        <f t="shared" si="150"/>
        <v>269.83150082245305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-1.223725121235475E-13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439.66981240211362</v>
      </c>
      <c r="DU154" s="59">
        <f t="shared" si="152"/>
        <v>295.47805371292458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-1.0818439477588981E-13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393.46715670823653</v>
      </c>
      <c r="EP154" s="59">
        <f t="shared" si="154"/>
        <v>266.16261355327214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549.43232095729741</v>
      </c>
      <c r="T155" s="59">
        <f t="shared" si="142"/>
        <v>280.26155987300996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1.1184066918137694</v>
      </c>
      <c r="AA155" s="21">
        <f>EXP(-LN(2)/25)*AA154+(1-EXP(-LN(2)/25))/(LN(2)/25)*Calculateur!V155*Calculateur!X155*VLOOKUP('Données projet'!$B$9,Paramètres!$A$1:$I$89,3,0)*0.475*44/12</f>
        <v>0.32458751678380937</v>
      </c>
      <c r="AB155" s="21">
        <f>EXP(-LN(2)/2)*AB154+(1-EXP(-LN(2)/2))/(LN(2)/2)*V155*Y155*VLOOKUP('Données projet'!$B$9,Paramètres!$A$1:$I$89,3,0)*0.475*44/12</f>
        <v>1.9538160158580346E-18</v>
      </c>
      <c r="AC155" s="22">
        <f t="shared" si="163"/>
        <v>1.4429942085975789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348.62416478262719</v>
      </c>
      <c r="AO155" s="59">
        <f t="shared" si="144"/>
        <v>371.70674704563288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1.1823648773364177</v>
      </c>
      <c r="AV155" s="21">
        <f>EXP(-LN(2)/25)*AV154+(1-EXP(-LN(2)/25))/(LN(2)/25)*Calculateur!AQ155*Calculateur!AS155*VLOOKUP('Données projet'!$B$10,Paramètres!$A$1:$I$89,3,0)*0.475*44/12</f>
        <v>0.41458940977930175</v>
      </c>
      <c r="AW155" s="21">
        <f>EXP(-LN(2)/2)*AW154+(1-EXP(-LN(2)/2))/(LN(2)/2)*AQ155*AT155*VLOOKUP('Données projet'!$B$10,Paramètres!$A$1:$I$89,3,0)*0.475*44/12</f>
        <v>5.4017358669715949E-18</v>
      </c>
      <c r="AX155" s="21">
        <f t="shared" si="166"/>
        <v>1.5969542871157194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405.7176439604217</v>
      </c>
      <c r="BJ155" s="59">
        <f t="shared" si="146"/>
        <v>278.21741231699929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0.65240968552983358</v>
      </c>
      <c r="BQ155" s="21">
        <f>EXP(-LN(2)/25)*BQ154+(1-EXP(-LN(2)/25))/(LN(2)/25)*Calculateur!BL155*Calculateur!BN155*VLOOKUP('Données projet'!$B$11,Paramètres!$A$1:$I$89,3,0)*0.475*44/12</f>
        <v>0.31803180719270457</v>
      </c>
      <c r="BR155" s="21">
        <f>EXP(-LN(2)/2)*BR154+(1-EXP(-LN(2)/2))/(LN(2)/2)*BL155*BO155*VLOOKUP('Données projet'!$B$11,Paramètres!$A$1:$I$89,3,0)*0.475*44/12</f>
        <v>3.7013936140640094E-18</v>
      </c>
      <c r="BS155" s="22">
        <f t="shared" si="169"/>
        <v>0.97044149272253821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1.9895196601282805E-13</v>
      </c>
      <c r="BZ155" s="13">
        <f>BY155*VLOOKUP('Données projet'!$B$12,Paramètres!$A$1:$I$89,3,0)*VLOOKUP('Données projet'!$B$12,Paramètres!$A$1:$I$89,5,0)</f>
        <v>1.738044375088066E-13</v>
      </c>
      <c r="CA155" s="13">
        <f t="shared" si="170"/>
        <v>2.4483293633950478E-12</v>
      </c>
      <c r="CB155" s="20">
        <f t="shared" si="171"/>
        <v>4.566883036574213E-12</v>
      </c>
      <c r="CC155" s="59">
        <f t="shared" si="119"/>
        <v>293.33333333333786</v>
      </c>
      <c r="CD155" s="59">
        <f ca="1">AVERAGE(OFFSET($CC$3,0,0,'Données projet'!$E$12+1,1))-AVERAGE(OFFSET($H$3,0,0,'Données projet'!$E$12+1,1))</f>
        <v>321.23599968992932</v>
      </c>
      <c r="CE155" s="59">
        <f t="shared" si="148"/>
        <v>388.05195847800502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0.32621678793682013</v>
      </c>
      <c r="CL155" s="21">
        <f>EXP(-LN(2)/25)*CL154+(1-EXP(-LN(2)/25))/(LN(2)/25)*Calculateur!CG155*Calculateur!CI155*VLOOKUP('Données projet'!$B$12,Paramètres!$A$1:$I$89,3,0)*0.475*44/12</f>
        <v>0.71654884806636099</v>
      </c>
      <c r="CM155" s="21">
        <f>EXP(-LN(2)/2)*CM154+(1-EXP(-LN(2)/2))/(LN(2)/2)*CG155*CJ155*VLOOKUP('Données projet'!$B$12,Paramètres!$A$1:$I$89,3,0)*0.475*44/12</f>
        <v>5.2314415663448418E-18</v>
      </c>
      <c r="CN155" s="22">
        <f t="shared" si="172"/>
        <v>1.0427656360031812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-1.0995790944434703E-13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399.24912109442175</v>
      </c>
      <c r="CZ155" s="59">
        <f t="shared" si="150"/>
        <v>269.83150082245305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-1.223725121235475E-13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439.66981240211362</v>
      </c>
      <c r="DU155" s="59">
        <f t="shared" si="152"/>
        <v>295.47805371292458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-1.0818439477588981E-13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393.46715670823653</v>
      </c>
      <c r="EP155" s="59">
        <f t="shared" si="154"/>
        <v>266.16261355327214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549.43232095729741</v>
      </c>
      <c r="T156" s="59">
        <f t="shared" si="142"/>
        <v>280.26155987300996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1.0964754187480257</v>
      </c>
      <c r="AA156" s="21">
        <f>EXP(-LN(2)/25)*AA155+(1-EXP(-LN(2)/25))/(LN(2)/25)*Calculateur!V156*Calculateur!X156*VLOOKUP('Données projet'!$B$9,Paramètres!$A$1:$I$89,3,0)*0.475*44/12</f>
        <v>0.31571165406804047</v>
      </c>
      <c r="AB156" s="21">
        <f>EXP(-LN(2)/2)*AB155+(1-EXP(-LN(2)/2))/(LN(2)/2)*V156*Y156*VLOOKUP('Données projet'!$B$9,Paramètres!$A$1:$I$89,3,0)*0.475*44/12</f>
        <v>1.3815565540040994E-18</v>
      </c>
      <c r="AC156" s="22">
        <f t="shared" si="163"/>
        <v>1.4121870728160661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348.62416478262719</v>
      </c>
      <c r="AO156" s="59">
        <f t="shared" si="144"/>
        <v>371.70674704563288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1.159179423263216</v>
      </c>
      <c r="AV156" s="21">
        <f>EXP(-LN(2)/25)*AV155+(1-EXP(-LN(2)/25))/(LN(2)/25)*Calculateur!AQ156*Calculateur!AS156*VLOOKUP('Données projet'!$B$10,Paramètres!$A$1:$I$89,3,0)*0.475*44/12</f>
        <v>0.40325244056657722</v>
      </c>
      <c r="AW156" s="21">
        <f>EXP(-LN(2)/2)*AW155+(1-EXP(-LN(2)/2))/(LN(2)/2)*AQ156*AT156*VLOOKUP('Données projet'!$B$10,Paramètres!$A$1:$I$89,3,0)*0.475*44/12</f>
        <v>3.8196040617142091E-18</v>
      </c>
      <c r="AX156" s="21">
        <f t="shared" si="166"/>
        <v>1.5624318638297932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405.7176439604217</v>
      </c>
      <c r="BJ156" s="59">
        <f t="shared" si="146"/>
        <v>278.21741231699929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0.63961632952720937</v>
      </c>
      <c r="BQ156" s="21">
        <f>EXP(-LN(2)/25)*BQ155+(1-EXP(-LN(2)/25))/(LN(2)/25)*Calculateur!BL156*Calculateur!BN156*VLOOKUP('Données projet'!$B$11,Paramètres!$A$1:$I$89,3,0)*0.475*44/12</f>
        <v>0.30933521070045422</v>
      </c>
      <c r="BR156" s="21">
        <f>EXP(-LN(2)/2)*BR155+(1-EXP(-LN(2)/2))/(LN(2)/2)*BL156*BO156*VLOOKUP('Données projet'!$B$11,Paramètres!$A$1:$I$89,3,0)*0.475*44/12</f>
        <v>2.6172805243452438E-18</v>
      </c>
      <c r="BS156" s="22">
        <f t="shared" si="169"/>
        <v>0.94895154022766359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1.9895196601282805E-13</v>
      </c>
      <c r="BZ156" s="13">
        <f>BY156*VLOOKUP('Données projet'!$B$12,Paramètres!$A$1:$I$89,3,0)*VLOOKUP('Données projet'!$B$12,Paramètres!$A$1:$I$89,5,0)</f>
        <v>1.738044375088066E-13</v>
      </c>
      <c r="CA156" s="13">
        <f t="shared" si="170"/>
        <v>2.4483293633950478E-12</v>
      </c>
      <c r="CB156" s="20">
        <f t="shared" si="171"/>
        <v>4.566883036574213E-12</v>
      </c>
      <c r="CC156" s="59">
        <f t="shared" si="119"/>
        <v>293.33333333333786</v>
      </c>
      <c r="CD156" s="59">
        <f ca="1">AVERAGE(OFFSET($CC$3,0,0,'Données projet'!$E$12+1,1))-AVERAGE(OFFSET($H$3,0,0,'Données projet'!$E$12+1,1))</f>
        <v>321.23599968992932</v>
      </c>
      <c r="CE156" s="59">
        <f t="shared" si="148"/>
        <v>388.05195847800502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0.31981987569797282</v>
      </c>
      <c r="CL156" s="21">
        <f>EXP(-LN(2)/25)*CL155+(1-EXP(-LN(2)/25))/(LN(2)/25)*Calculateur!CG156*Calculateur!CI156*VLOOKUP('Données projet'!$B$12,Paramètres!$A$1:$I$89,3,0)*0.475*44/12</f>
        <v>0.69695478213432016</v>
      </c>
      <c r="CM156" s="21">
        <f>EXP(-LN(2)/2)*CM155+(1-EXP(-LN(2)/2))/(LN(2)/2)*CG156*CJ156*VLOOKUP('Données projet'!$B$12,Paramètres!$A$1:$I$89,3,0)*0.475*44/12</f>
        <v>3.6991878069436114E-18</v>
      </c>
      <c r="CN156" s="22">
        <f t="shared" si="172"/>
        <v>1.0167746578322929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-1.0995790944434703E-13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399.24912109442175</v>
      </c>
      <c r="CZ156" s="59">
        <f t="shared" si="150"/>
        <v>269.83150082245305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-1.223725121235475E-13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439.66981240211362</v>
      </c>
      <c r="DU156" s="59">
        <f t="shared" si="152"/>
        <v>295.47805371292458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-1.0818439477588981E-13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393.46715670823653</v>
      </c>
      <c r="EP156" s="59">
        <f t="shared" si="154"/>
        <v>266.16261355327214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549.43232095729741</v>
      </c>
      <c r="T157" s="59">
        <f t="shared" si="142"/>
        <v>280.26155987300996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1.0749742045703454</v>
      </c>
      <c r="AA157" s="21">
        <f>EXP(-LN(2)/25)*AA156+(1-EXP(-LN(2)/25))/(LN(2)/25)*Calculateur!V157*Calculateur!X157*VLOOKUP('Données projet'!$B$9,Paramètres!$A$1:$I$89,3,0)*0.475*44/12</f>
        <v>0.30707850228499556</v>
      </c>
      <c r="AB157" s="21">
        <f>EXP(-LN(2)/2)*AB156+(1-EXP(-LN(2)/2))/(LN(2)/2)*V157*Y157*VLOOKUP('Données projet'!$B$9,Paramètres!$A$1:$I$89,3,0)*0.475*44/12</f>
        <v>9.769080079290173E-19</v>
      </c>
      <c r="AC157" s="22">
        <f t="shared" si="163"/>
        <v>1.382052706855341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348.62416478262719</v>
      </c>
      <c r="AO157" s="59">
        <f t="shared" si="144"/>
        <v>371.70674704563288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1.136448621802659</v>
      </c>
      <c r="AV157" s="21">
        <f>EXP(-LN(2)/25)*AV156+(1-EXP(-LN(2)/25))/(LN(2)/25)*Calculateur!AQ157*Calculateur!AS157*VLOOKUP('Données projet'!$B$10,Paramètres!$A$1:$I$89,3,0)*0.475*44/12</f>
        <v>0.39222548137315993</v>
      </c>
      <c r="AW157" s="21">
        <f>EXP(-LN(2)/2)*AW156+(1-EXP(-LN(2)/2))/(LN(2)/2)*AQ157*AT157*VLOOKUP('Données projet'!$B$10,Paramètres!$A$1:$I$89,3,0)*0.475*44/12</f>
        <v>2.7008679334857975E-18</v>
      </c>
      <c r="AX157" s="21">
        <f t="shared" si="166"/>
        <v>1.5286741031758191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405.7176439604217</v>
      </c>
      <c r="BJ157" s="59">
        <f t="shared" si="146"/>
        <v>278.21741231699929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0.62707384343261996</v>
      </c>
      <c r="BQ157" s="21">
        <f>EXP(-LN(2)/25)*BQ156+(1-EXP(-LN(2)/25))/(LN(2)/25)*Calculateur!BL157*Calculateur!BN157*VLOOKUP('Données projet'!$B$11,Paramètres!$A$1:$I$89,3,0)*0.475*44/12</f>
        <v>0.30087642309661855</v>
      </c>
      <c r="BR157" s="21">
        <f>EXP(-LN(2)/2)*BR156+(1-EXP(-LN(2)/2))/(LN(2)/2)*BL157*BO157*VLOOKUP('Données projet'!$B$11,Paramètres!$A$1:$I$89,3,0)*0.475*44/12</f>
        <v>1.8506968070320047E-18</v>
      </c>
      <c r="BS157" s="22">
        <f t="shared" si="169"/>
        <v>0.92795026652923851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1.9895196601282805E-13</v>
      </c>
      <c r="BZ157" s="13">
        <f>BY157*VLOOKUP('Données projet'!$B$12,Paramètres!$A$1:$I$89,3,0)*VLOOKUP('Données projet'!$B$12,Paramètres!$A$1:$I$89,5,0)</f>
        <v>1.738044375088066E-13</v>
      </c>
      <c r="CA157" s="13">
        <f t="shared" si="170"/>
        <v>2.4483293633950478E-12</v>
      </c>
      <c r="CB157" s="20">
        <f t="shared" si="171"/>
        <v>4.566883036574213E-12</v>
      </c>
      <c r="CC157" s="59">
        <f t="shared" si="119"/>
        <v>293.33333333333786</v>
      </c>
      <c r="CD157" s="59">
        <f ca="1">AVERAGE(OFFSET($CC$3,0,0,'Données projet'!$E$12+1,1))-AVERAGE(OFFSET($H$3,0,0,'Données projet'!$E$12+1,1))</f>
        <v>321.23599968992932</v>
      </c>
      <c r="CE157" s="59">
        <f t="shared" si="148"/>
        <v>388.05195847800502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0.31354840300639808</v>
      </c>
      <c r="CL157" s="21">
        <f>EXP(-LN(2)/25)*CL156+(1-EXP(-LN(2)/25))/(LN(2)/25)*Calculateur!CG157*Calculateur!CI157*VLOOKUP('Données projet'!$B$12,Paramètres!$A$1:$I$89,3,0)*0.475*44/12</f>
        <v>0.67789651696559805</v>
      </c>
      <c r="CM157" s="21">
        <f>EXP(-LN(2)/2)*CM156+(1-EXP(-LN(2)/2))/(LN(2)/2)*CG157*CJ157*VLOOKUP('Données projet'!$B$12,Paramètres!$A$1:$I$89,3,0)*0.475*44/12</f>
        <v>2.6157207831724209E-18</v>
      </c>
      <c r="CN157" s="22">
        <f t="shared" si="172"/>
        <v>0.99144491997199613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-1.0995790944434703E-13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399.24912109442175</v>
      </c>
      <c r="CZ157" s="59">
        <f t="shared" si="150"/>
        <v>269.83150082245305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-1.223725121235475E-13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439.66981240211362</v>
      </c>
      <c r="DU157" s="59">
        <f t="shared" si="152"/>
        <v>295.47805371292458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-1.0818439477588981E-13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393.46715670823653</v>
      </c>
      <c r="EP157" s="59">
        <f t="shared" si="154"/>
        <v>266.16261355327214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549.43232095729741</v>
      </c>
      <c r="T158" s="59">
        <f t="shared" si="142"/>
        <v>280.26155987300996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1.0538946160882439</v>
      </c>
      <c r="AA158" s="21">
        <f>EXP(-LN(2)/25)*AA157+(1-EXP(-LN(2)/25))/(LN(2)/25)*Calculateur!V158*Calculateur!X158*VLOOKUP('Données projet'!$B$9,Paramètres!$A$1:$I$89,3,0)*0.475*44/12</f>
        <v>0.29868142449145574</v>
      </c>
      <c r="AB158" s="21">
        <f>EXP(-LN(2)/2)*AB157+(1-EXP(-LN(2)/2))/(LN(2)/2)*V158*Y158*VLOOKUP('Données projet'!$B$9,Paramètres!$A$1:$I$89,3,0)*0.475*44/12</f>
        <v>6.9077827700204968E-19</v>
      </c>
      <c r="AC158" s="22">
        <f t="shared" si="163"/>
        <v>1.3525760405796996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348.62416478262719</v>
      </c>
      <c r="AO158" s="59">
        <f t="shared" si="144"/>
        <v>371.70674704563288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1.1141635574943238</v>
      </c>
      <c r="AV158" s="21">
        <f>EXP(-LN(2)/25)*AV157+(1-EXP(-LN(2)/25))/(LN(2)/25)*Calculateur!AQ158*Calculateur!AS158*VLOOKUP('Données projet'!$B$10,Paramètres!$A$1:$I$89,3,0)*0.475*44/12</f>
        <v>0.38150005495876926</v>
      </c>
      <c r="AW158" s="21">
        <f>EXP(-LN(2)/2)*AW157+(1-EXP(-LN(2)/2))/(LN(2)/2)*AQ158*AT158*VLOOKUP('Données projet'!$B$10,Paramètres!$A$1:$I$89,3,0)*0.475*44/12</f>
        <v>1.9098020308571046E-18</v>
      </c>
      <c r="AX158" s="21">
        <f t="shared" si="166"/>
        <v>1.4956636124530931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405.7176439604217</v>
      </c>
      <c r="BJ158" s="59">
        <f t="shared" si="146"/>
        <v>278.21741231699929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0.61477730784018425</v>
      </c>
      <c r="BQ158" s="21">
        <f>EXP(-LN(2)/25)*BQ157+(1-EXP(-LN(2)/25))/(LN(2)/25)*Calculateur!BL158*Calculateur!BN158*VLOOKUP('Données projet'!$B$11,Paramètres!$A$1:$I$89,3,0)*0.475*44/12</f>
        <v>0.2926489414846381</v>
      </c>
      <c r="BR158" s="21">
        <f>EXP(-LN(2)/2)*BR157+(1-EXP(-LN(2)/2))/(LN(2)/2)*BL158*BO158*VLOOKUP('Données projet'!$B$11,Paramètres!$A$1:$I$89,3,0)*0.475*44/12</f>
        <v>1.3086402621726219E-18</v>
      </c>
      <c r="BS158" s="22">
        <f t="shared" si="169"/>
        <v>0.90742624932482241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1.9895196601282805E-13</v>
      </c>
      <c r="BZ158" s="13">
        <f>BY158*VLOOKUP('Données projet'!$B$12,Paramètres!$A$1:$I$89,3,0)*VLOOKUP('Données projet'!$B$12,Paramètres!$A$1:$I$89,5,0)</f>
        <v>1.738044375088066E-13</v>
      </c>
      <c r="CA158" s="13">
        <f t="shared" si="170"/>
        <v>2.4483293633950478E-12</v>
      </c>
      <c r="CB158" s="20">
        <f t="shared" si="171"/>
        <v>4.566883036574213E-12</v>
      </c>
      <c r="CC158" s="59">
        <f t="shared" si="119"/>
        <v>293.33333333333786</v>
      </c>
      <c r="CD158" s="59">
        <f ca="1">AVERAGE(OFFSET($CC$3,0,0,'Données projet'!$E$12+1,1))-AVERAGE(OFFSET($H$3,0,0,'Données projet'!$E$12+1,1))</f>
        <v>321.23599968992932</v>
      </c>
      <c r="CE158" s="59">
        <f t="shared" si="148"/>
        <v>388.05195847800502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0.30739991006908451</v>
      </c>
      <c r="CL158" s="21">
        <f>EXP(-LN(2)/25)*CL157+(1-EXP(-LN(2)/25))/(LN(2)/25)*Calculateur!CG158*Calculateur!CI158*VLOOKUP('Données projet'!$B$12,Paramètres!$A$1:$I$89,3,0)*0.475*44/12</f>
        <v>0.65935940106014534</v>
      </c>
      <c r="CM158" s="21">
        <f>EXP(-LN(2)/2)*CM157+(1-EXP(-LN(2)/2))/(LN(2)/2)*CG158*CJ158*VLOOKUP('Données projet'!$B$12,Paramètres!$A$1:$I$89,3,0)*0.475*44/12</f>
        <v>1.8495939034718057E-18</v>
      </c>
      <c r="CN158" s="22">
        <f t="shared" si="172"/>
        <v>0.96675931112922986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-1.0995790944434703E-13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399.24912109442175</v>
      </c>
      <c r="CZ158" s="59">
        <f t="shared" si="150"/>
        <v>269.83150082245305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-1.223725121235475E-13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439.66981240211362</v>
      </c>
      <c r="DU158" s="59">
        <f t="shared" si="152"/>
        <v>295.47805371292458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-1.0818439477588981E-13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393.46715670823653</v>
      </c>
      <c r="EP158" s="59">
        <f t="shared" si="154"/>
        <v>266.16261355327214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549.43232095729741</v>
      </c>
      <c r="T159" s="59">
        <f t="shared" si="142"/>
        <v>280.26155987300996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1.0332283854789968</v>
      </c>
      <c r="AA159" s="21">
        <f>EXP(-LN(2)/25)*AA158+(1-EXP(-LN(2)/25))/(LN(2)/25)*Calculateur!V159*Calculateur!X159*VLOOKUP('Données projet'!$B$9,Paramètres!$A$1:$I$89,3,0)*0.475*44/12</f>
        <v>0.29051396523176343</v>
      </c>
      <c r="AB159" s="21">
        <f>EXP(-LN(2)/2)*AB158+(1-EXP(-LN(2)/2))/(LN(2)/2)*V159*Y159*VLOOKUP('Données projet'!$B$9,Paramètres!$A$1:$I$89,3,0)*0.475*44/12</f>
        <v>4.8845400396450865E-19</v>
      </c>
      <c r="AC159" s="22">
        <f t="shared" si="163"/>
        <v>1.3237423507107602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348.62416478262719</v>
      </c>
      <c r="AO159" s="59">
        <f t="shared" si="144"/>
        <v>371.70674704563288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1.092315489704528</v>
      </c>
      <c r="AV159" s="21">
        <f>EXP(-LN(2)/25)*AV158+(1-EXP(-LN(2)/25))/(LN(2)/25)*Calculateur!AQ159*Calculateur!AS159*VLOOKUP('Données projet'!$B$10,Paramètres!$A$1:$I$89,3,0)*0.475*44/12</f>
        <v>0.37106791589370575</v>
      </c>
      <c r="AW159" s="21">
        <f>EXP(-LN(2)/2)*AW158+(1-EXP(-LN(2)/2))/(LN(2)/2)*AQ159*AT159*VLOOKUP('Données projet'!$B$10,Paramètres!$A$1:$I$89,3,0)*0.475*44/12</f>
        <v>1.3504339667428987E-18</v>
      </c>
      <c r="AX159" s="21">
        <f t="shared" si="166"/>
        <v>1.4633834055982338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405.7176439604217</v>
      </c>
      <c r="BJ159" s="59">
        <f t="shared" si="146"/>
        <v>278.21741231699929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0.60272189981057012</v>
      </c>
      <c r="BQ159" s="21">
        <f>EXP(-LN(2)/25)*BQ158+(1-EXP(-LN(2)/25))/(LN(2)/25)*Calculateur!BL159*Calculateur!BN159*VLOOKUP('Données projet'!$B$11,Paramètres!$A$1:$I$89,3,0)*0.475*44/12</f>
        <v>0.28464644079000168</v>
      </c>
      <c r="BR159" s="21">
        <f>EXP(-LN(2)/2)*BR158+(1-EXP(-LN(2)/2))/(LN(2)/2)*BL159*BO159*VLOOKUP('Données projet'!$B$11,Paramètres!$A$1:$I$89,3,0)*0.475*44/12</f>
        <v>9.2534840351600234E-19</v>
      </c>
      <c r="BS159" s="22">
        <f t="shared" si="169"/>
        <v>0.88736834060057179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1.9895196601282805E-13</v>
      </c>
      <c r="BZ159" s="13">
        <f>BY159*VLOOKUP('Données projet'!$B$12,Paramètres!$A$1:$I$89,3,0)*VLOOKUP('Données projet'!$B$12,Paramètres!$A$1:$I$89,5,0)</f>
        <v>1.738044375088066E-13</v>
      </c>
      <c r="CA159" s="13">
        <f t="shared" si="170"/>
        <v>2.4483293633950478E-12</v>
      </c>
      <c r="CB159" s="20">
        <f t="shared" si="171"/>
        <v>4.566883036574213E-12</v>
      </c>
      <c r="CC159" s="59">
        <f t="shared" si="119"/>
        <v>293.33333333333786</v>
      </c>
      <c r="CD159" s="59">
        <f ca="1">AVERAGE(OFFSET($CC$3,0,0,'Données projet'!$E$12+1,1))-AVERAGE(OFFSET($H$3,0,0,'Données projet'!$E$12+1,1))</f>
        <v>321.23599968992932</v>
      </c>
      <c r="CE159" s="59">
        <f t="shared" si="148"/>
        <v>388.05195847800502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0.30137198532806125</v>
      </c>
      <c r="CL159" s="21">
        <f>EXP(-LN(2)/25)*CL158+(1-EXP(-LN(2)/25))/(LN(2)/25)*Calculateur!CG159*Calculateur!CI159*VLOOKUP('Données projet'!$B$12,Paramètres!$A$1:$I$89,3,0)*0.475*44/12</f>
        <v>0.64132918356395174</v>
      </c>
      <c r="CM159" s="21">
        <f>EXP(-LN(2)/2)*CM158+(1-EXP(-LN(2)/2))/(LN(2)/2)*CG159*CJ159*VLOOKUP('Données projet'!$B$12,Paramètres!$A$1:$I$89,3,0)*0.475*44/12</f>
        <v>1.3078603915862104E-18</v>
      </c>
      <c r="CN159" s="22">
        <f t="shared" si="172"/>
        <v>0.94270116889201305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-1.0995790944434703E-13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399.24912109442175</v>
      </c>
      <c r="CZ159" s="59">
        <f t="shared" si="150"/>
        <v>269.83150082245305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-1.223725121235475E-13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439.66981240211362</v>
      </c>
      <c r="DU159" s="59">
        <f t="shared" si="152"/>
        <v>295.47805371292458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-1.0818439477588981E-13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393.46715670823653</v>
      </c>
      <c r="EP159" s="59">
        <f t="shared" si="154"/>
        <v>266.16261355327214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549.43232095729741</v>
      </c>
      <c r="T160" s="59">
        <f t="shared" si="142"/>
        <v>280.26155987300996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1.0129674070468411</v>
      </c>
      <c r="AA160" s="21">
        <f>EXP(-LN(2)/25)*AA159+(1-EXP(-LN(2)/25))/(LN(2)/25)*Calculateur!V160*Calculateur!X160*VLOOKUP('Données projet'!$B$9,Paramètres!$A$1:$I$89,3,0)*0.475*44/12</f>
        <v>0.28256984557503539</v>
      </c>
      <c r="AB160" s="21">
        <f>EXP(-LN(2)/2)*AB159+(1-EXP(-LN(2)/2))/(LN(2)/2)*V160*Y160*VLOOKUP('Données projet'!$B$9,Paramètres!$A$1:$I$89,3,0)*0.475*44/12</f>
        <v>3.4538913850102484E-19</v>
      </c>
      <c r="AC160" s="22">
        <f t="shared" si="163"/>
        <v>1.2955372526218765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348.62416478262719</v>
      </c>
      <c r="AO160" s="59">
        <f t="shared" si="144"/>
        <v>371.70674704563288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1.0708958491980844</v>
      </c>
      <c r="AV160" s="21">
        <f>EXP(-LN(2)/25)*AV159+(1-EXP(-LN(2)/25))/(LN(2)/25)*Calculateur!AQ160*Calculateur!AS160*VLOOKUP('Données projet'!$B$10,Paramètres!$A$1:$I$89,3,0)*0.475*44/12</f>
        <v>0.36092104421997873</v>
      </c>
      <c r="AW160" s="21">
        <f>EXP(-LN(2)/2)*AW159+(1-EXP(-LN(2)/2))/(LN(2)/2)*AQ160*AT160*VLOOKUP('Données projet'!$B$10,Paramètres!$A$1:$I$89,3,0)*0.475*44/12</f>
        <v>9.5490101542855229E-19</v>
      </c>
      <c r="AX160" s="21">
        <f t="shared" si="166"/>
        <v>1.4318168934180631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405.7176439604217</v>
      </c>
      <c r="BJ160" s="59">
        <f t="shared" si="146"/>
        <v>278.21741231699929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0.5909028909793439</v>
      </c>
      <c r="BQ160" s="21">
        <f>EXP(-LN(2)/25)*BQ159+(1-EXP(-LN(2)/25))/(LN(2)/25)*Calculateur!BL160*Calculateur!BN160*VLOOKUP('Données projet'!$B$11,Paramètres!$A$1:$I$89,3,0)*0.475*44/12</f>
        <v>0.27686276889769335</v>
      </c>
      <c r="BR160" s="21">
        <f>EXP(-LN(2)/2)*BR159+(1-EXP(-LN(2)/2))/(LN(2)/2)*BL160*BO160*VLOOKUP('Données projet'!$B$11,Paramètres!$A$1:$I$89,3,0)*0.475*44/12</f>
        <v>6.5432013108631096E-19</v>
      </c>
      <c r="BS160" s="22">
        <f t="shared" si="169"/>
        <v>0.86776565987703724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1.9895196601282805E-13</v>
      </c>
      <c r="BZ160" s="13">
        <f>BY160*VLOOKUP('Données projet'!$B$12,Paramètres!$A$1:$I$89,3,0)*VLOOKUP('Données projet'!$B$12,Paramètres!$A$1:$I$89,5,0)</f>
        <v>1.738044375088066E-13</v>
      </c>
      <c r="CA160" s="13">
        <f t="shared" si="170"/>
        <v>2.4483293633950478E-12</v>
      </c>
      <c r="CB160" s="20">
        <f t="shared" si="171"/>
        <v>4.566883036574213E-12</v>
      </c>
      <c r="CC160" s="59">
        <f t="shared" si="119"/>
        <v>293.33333333333786</v>
      </c>
      <c r="CD160" s="59">
        <f ca="1">AVERAGE(OFFSET($CC$3,0,0,'Données projet'!$E$12+1,1))-AVERAGE(OFFSET($H$3,0,0,'Données projet'!$E$12+1,1))</f>
        <v>321.23599968992932</v>
      </c>
      <c r="CE160" s="59">
        <f t="shared" si="148"/>
        <v>388.05195847800502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0.29546226451453844</v>
      </c>
      <c r="CL160" s="21">
        <f>EXP(-LN(2)/25)*CL159+(1-EXP(-LN(2)/25))/(LN(2)/25)*Calculateur!CG160*Calculateur!CI160*VLOOKUP('Données projet'!$B$12,Paramètres!$A$1:$I$89,3,0)*0.475*44/12</f>
        <v>0.62379200331335949</v>
      </c>
      <c r="CM160" s="21">
        <f>EXP(-LN(2)/2)*CM159+(1-EXP(-LN(2)/2))/(LN(2)/2)*CG160*CJ160*VLOOKUP('Données projet'!$B$12,Paramètres!$A$1:$I$89,3,0)*0.475*44/12</f>
        <v>9.2479695173590285E-19</v>
      </c>
      <c r="CN160" s="22">
        <f t="shared" si="172"/>
        <v>0.91925426782789788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-1.0995790944434703E-13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399.24912109442175</v>
      </c>
      <c r="CZ160" s="59">
        <f t="shared" si="150"/>
        <v>269.83150082245305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-1.223725121235475E-13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439.66981240211362</v>
      </c>
      <c r="DU160" s="59">
        <f t="shared" si="152"/>
        <v>295.47805371292458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-1.0818439477588981E-13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393.46715670823653</v>
      </c>
      <c r="EP160" s="59">
        <f t="shared" si="154"/>
        <v>266.16261355327214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549.43232095729741</v>
      </c>
      <c r="T161" s="59">
        <f t="shared" si="142"/>
        <v>280.26155987300996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0.99310373404376329</v>
      </c>
      <c r="AA161" s="21">
        <f>EXP(-LN(2)/25)*AA160+(1-EXP(-LN(2)/25))/(LN(2)/25)*Calculateur!V161*Calculateur!X161*VLOOKUP('Données projet'!$B$9,Paramètres!$A$1:$I$89,3,0)*0.475*44/12</f>
        <v>0.27484295828808369</v>
      </c>
      <c r="AB161" s="21">
        <f>EXP(-LN(2)/2)*AB160+(1-EXP(-LN(2)/2))/(LN(2)/2)*V161*Y161*VLOOKUP('Données projet'!$B$9,Paramètres!$A$1:$I$89,3,0)*0.475*44/12</f>
        <v>2.4422700198225432E-19</v>
      </c>
      <c r="AC161" s="22">
        <f t="shared" si="163"/>
        <v>1.267946692331847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348.62416478262719</v>
      </c>
      <c r="AO161" s="59">
        <f t="shared" si="144"/>
        <v>371.70674704563288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1.0498962347772816</v>
      </c>
      <c r="AV161" s="21">
        <f>EXP(-LN(2)/25)*AV160+(1-EXP(-LN(2)/25))/(LN(2)/25)*Calculateur!AQ161*Calculateur!AS161*VLOOKUP('Données projet'!$B$10,Paramètres!$A$1:$I$89,3,0)*0.475*44/12</f>
        <v>0.3510516392857706</v>
      </c>
      <c r="AW161" s="21">
        <f>EXP(-LN(2)/2)*AW160+(1-EXP(-LN(2)/2))/(LN(2)/2)*AQ161*AT161*VLOOKUP('Données projet'!$B$10,Paramètres!$A$1:$I$89,3,0)*0.475*44/12</f>
        <v>6.7521698337144937E-19</v>
      </c>
      <c r="AX161" s="21">
        <f t="shared" si="166"/>
        <v>1.4009478740630521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405.7176439604217</v>
      </c>
      <c r="BJ161" s="59">
        <f t="shared" si="146"/>
        <v>278.21741231699929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0.57931564570241445</v>
      </c>
      <c r="BQ161" s="21">
        <f>EXP(-LN(2)/25)*BQ160+(1-EXP(-LN(2)/25))/(LN(2)/25)*Calculateur!BL161*Calculateur!BN161*VLOOKUP('Données projet'!$B$11,Paramètres!$A$1:$I$89,3,0)*0.475*44/12</f>
        <v>0.26929194192260569</v>
      </c>
      <c r="BR161" s="21">
        <f>EXP(-LN(2)/2)*BR160+(1-EXP(-LN(2)/2))/(LN(2)/2)*BL161*BO161*VLOOKUP('Données projet'!$B$11,Paramètres!$A$1:$I$89,3,0)*0.475*44/12</f>
        <v>4.6267420175800117E-19</v>
      </c>
      <c r="BS161" s="22">
        <f t="shared" si="169"/>
        <v>0.84860758762502009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1.9895196601282805E-13</v>
      </c>
      <c r="BZ161" s="13">
        <f>BY161*VLOOKUP('Données projet'!$B$12,Paramètres!$A$1:$I$89,3,0)*VLOOKUP('Données projet'!$B$12,Paramètres!$A$1:$I$89,5,0)</f>
        <v>1.738044375088066E-13</v>
      </c>
      <c r="CA161" s="13">
        <f t="shared" si="170"/>
        <v>2.4483293633950478E-12</v>
      </c>
      <c r="CB161" s="20">
        <f t="shared" si="171"/>
        <v>4.566883036574213E-12</v>
      </c>
      <c r="CC161" s="59">
        <f t="shared" si="119"/>
        <v>293.33333333333786</v>
      </c>
      <c r="CD161" s="59">
        <f ca="1">AVERAGE(OFFSET($CC$3,0,0,'Données projet'!$E$12+1,1))-AVERAGE(OFFSET($H$3,0,0,'Données projet'!$E$12+1,1))</f>
        <v>321.23599968992932</v>
      </c>
      <c r="CE161" s="59">
        <f t="shared" si="148"/>
        <v>388.05195847800502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0.28966842972159501</v>
      </c>
      <c r="CL161" s="21">
        <f>EXP(-LN(2)/25)*CL160+(1-EXP(-LN(2)/25))/(LN(2)/25)*Calculateur!CG161*Calculateur!CI161*VLOOKUP('Données projet'!$B$12,Paramètres!$A$1:$I$89,3,0)*0.475*44/12</f>
        <v>0.60673437817895992</v>
      </c>
      <c r="CM161" s="21">
        <f>EXP(-LN(2)/2)*CM160+(1-EXP(-LN(2)/2))/(LN(2)/2)*CG161*CJ161*VLOOKUP('Données projet'!$B$12,Paramètres!$A$1:$I$89,3,0)*0.475*44/12</f>
        <v>6.5393019579310522E-19</v>
      </c>
      <c r="CN161" s="22">
        <f t="shared" si="172"/>
        <v>0.89640280790055493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-1.0995790944434703E-13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399.24912109442175</v>
      </c>
      <c r="CZ161" s="59">
        <f t="shared" si="150"/>
        <v>269.83150082245305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-1.223725121235475E-13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439.66981240211362</v>
      </c>
      <c r="DU161" s="59">
        <f t="shared" si="152"/>
        <v>295.47805371292458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-1.0818439477588981E-13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393.46715670823653</v>
      </c>
      <c r="EP161" s="59">
        <f t="shared" si="154"/>
        <v>266.16261355327214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549.43232095729741</v>
      </c>
      <c r="T162" s="59">
        <f t="shared" si="142"/>
        <v>280.26155987300996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0.97362957555263163</v>
      </c>
      <c r="AA162" s="21">
        <f>EXP(-LN(2)/25)*AA161+(1-EXP(-LN(2)/25))/(LN(2)/25)*Calculateur!V162*Calculateur!X162*VLOOKUP('Données projet'!$B$9,Paramètres!$A$1:$I$89,3,0)*0.475*44/12</f>
        <v>0.26732736314033301</v>
      </c>
      <c r="AB162" s="21">
        <f>EXP(-LN(2)/2)*AB161+(1-EXP(-LN(2)/2))/(LN(2)/2)*V162*Y162*VLOOKUP('Données projet'!$B$9,Paramètres!$A$1:$I$89,3,0)*0.475*44/12</f>
        <v>1.7269456925051242E-19</v>
      </c>
      <c r="AC162" s="22">
        <f t="shared" si="163"/>
        <v>1.2409569386929646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348.62416478262719</v>
      </c>
      <c r="AO162" s="59">
        <f t="shared" si="144"/>
        <v>371.70674704563288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1.0293084099867706</v>
      </c>
      <c r="AV162" s="21">
        <f>EXP(-LN(2)/25)*AV161+(1-EXP(-LN(2)/25))/(LN(2)/25)*Calculateur!AQ162*Calculateur!AS162*VLOOKUP('Données projet'!$B$10,Paramètres!$A$1:$I$89,3,0)*0.475*44/12</f>
        <v>0.34145211374849782</v>
      </c>
      <c r="AW162" s="21">
        <f>EXP(-LN(2)/2)*AW161+(1-EXP(-LN(2)/2))/(LN(2)/2)*AQ162*AT162*VLOOKUP('Données projet'!$B$10,Paramètres!$A$1:$I$89,3,0)*0.475*44/12</f>
        <v>4.7745050771427614E-19</v>
      </c>
      <c r="AX162" s="21">
        <f t="shared" si="166"/>
        <v>1.3707605237352685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405.7176439604217</v>
      </c>
      <c r="BJ162" s="59">
        <f t="shared" si="146"/>
        <v>278.21741231699929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0.56795561923784377</v>
      </c>
      <c r="BQ162" s="21">
        <f>EXP(-LN(2)/25)*BQ161+(1-EXP(-LN(2)/25))/(LN(2)/25)*Calculateur!BL162*Calculateur!BN162*VLOOKUP('Données projet'!$B$11,Paramètres!$A$1:$I$89,3,0)*0.475*44/12</f>
        <v>0.26192813960928429</v>
      </c>
      <c r="BR162" s="21">
        <f>EXP(-LN(2)/2)*BR161+(1-EXP(-LN(2)/2))/(LN(2)/2)*BL162*BO162*VLOOKUP('Données projet'!$B$11,Paramètres!$A$1:$I$89,3,0)*0.475*44/12</f>
        <v>3.2716006554315548E-19</v>
      </c>
      <c r="BS162" s="22">
        <f t="shared" si="169"/>
        <v>0.82988375884712806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1.9895196601282805E-13</v>
      </c>
      <c r="BZ162" s="13">
        <f>BY162*VLOOKUP('Données projet'!$B$12,Paramètres!$A$1:$I$89,3,0)*VLOOKUP('Données projet'!$B$12,Paramètres!$A$1:$I$89,5,0)</f>
        <v>1.738044375088066E-13</v>
      </c>
      <c r="CA162" s="13">
        <f t="shared" si="170"/>
        <v>2.4483293633950478E-12</v>
      </c>
      <c r="CB162" s="20">
        <f t="shared" si="171"/>
        <v>4.566883036574213E-12</v>
      </c>
      <c r="CC162" s="59">
        <f t="shared" si="119"/>
        <v>293.33333333333786</v>
      </c>
      <c r="CD162" s="59">
        <f ca="1">AVERAGE(OFFSET($CC$3,0,0,'Données projet'!$E$12+1,1))-AVERAGE(OFFSET($H$3,0,0,'Données projet'!$E$12+1,1))</f>
        <v>321.23599968992932</v>
      </c>
      <c r="CE162" s="59">
        <f t="shared" si="148"/>
        <v>388.05195847800502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0.28398820849505091</v>
      </c>
      <c r="CL162" s="21">
        <f>EXP(-LN(2)/25)*CL161+(1-EXP(-LN(2)/25))/(LN(2)/25)*Calculateur!CG162*Calculateur!CI162*VLOOKUP('Données projet'!$B$12,Paramètres!$A$1:$I$89,3,0)*0.475*44/12</f>
        <v>0.59014319470088206</v>
      </c>
      <c r="CM162" s="21">
        <f>EXP(-LN(2)/2)*CM161+(1-EXP(-LN(2)/2))/(LN(2)/2)*CG162*CJ162*VLOOKUP('Données projet'!$B$12,Paramètres!$A$1:$I$89,3,0)*0.475*44/12</f>
        <v>4.6239847586795143E-19</v>
      </c>
      <c r="CN162" s="22">
        <f t="shared" si="172"/>
        <v>0.87413140319593297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-1.0995790944434703E-13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399.24912109442175</v>
      </c>
      <c r="CZ162" s="59">
        <f t="shared" si="150"/>
        <v>269.83150082245305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-1.223725121235475E-13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439.66981240211362</v>
      </c>
      <c r="DU162" s="59">
        <f t="shared" si="152"/>
        <v>295.47805371292458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-1.0818439477588981E-13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393.46715670823653</v>
      </c>
      <c r="EP162" s="59">
        <f t="shared" si="154"/>
        <v>266.16261355327214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549.43232095729741</v>
      </c>
      <c r="T163" s="59">
        <f t="shared" si="142"/>
        <v>280.26155987300996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0.95453729343144722</v>
      </c>
      <c r="AA163" s="21">
        <f>EXP(-LN(2)/25)*AA162+(1-EXP(-LN(2)/25))/(LN(2)/25)*Calculateur!V163*Calculateur!X163*VLOOKUP('Données projet'!$B$9,Paramètres!$A$1:$I$89,3,0)*0.475*44/12</f>
        <v>0.26001728233712557</v>
      </c>
      <c r="AB163" s="21">
        <f>EXP(-LN(2)/2)*AB162+(1-EXP(-LN(2)/2))/(LN(2)/2)*V163*Y163*VLOOKUP('Données projet'!$B$9,Paramètres!$A$1:$I$89,3,0)*0.475*44/12</f>
        <v>1.2211350099112716E-19</v>
      </c>
      <c r="AC163" s="22">
        <f t="shared" si="163"/>
        <v>1.2145545757685727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348.62416478262719</v>
      </c>
      <c r="AO163" s="59">
        <f t="shared" si="144"/>
        <v>371.70674704563288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1.0091242998830685</v>
      </c>
      <c r="AV163" s="21">
        <f>EXP(-LN(2)/25)*AV162+(1-EXP(-LN(2)/25))/(LN(2)/25)*Calculateur!AQ163*Calculateur!AS163*VLOOKUP('Données projet'!$B$10,Paramètres!$A$1:$I$89,3,0)*0.475*44/12</f>
        <v>0.33211508774185888</v>
      </c>
      <c r="AW163" s="21">
        <f>EXP(-LN(2)/2)*AW162+(1-EXP(-LN(2)/2))/(LN(2)/2)*AQ163*AT163*VLOOKUP('Données projet'!$B$10,Paramètres!$A$1:$I$89,3,0)*0.475*44/12</f>
        <v>3.3760849168572468E-19</v>
      </c>
      <c r="AX163" s="21">
        <f t="shared" si="166"/>
        <v>1.3412393876249273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405.7176439604217</v>
      </c>
      <c r="BJ163" s="59">
        <f t="shared" si="146"/>
        <v>278.21741231699929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0.55681835596331142</v>
      </c>
      <c r="BQ163" s="21">
        <f>EXP(-LN(2)/25)*BQ162+(1-EXP(-LN(2)/25))/(LN(2)/25)*Calculateur!BL163*Calculateur!BN163*VLOOKUP('Données projet'!$B$11,Paramètres!$A$1:$I$89,3,0)*0.475*44/12</f>
        <v>0.25476570085746619</v>
      </c>
      <c r="BR163" s="21">
        <f>EXP(-LN(2)/2)*BR162+(1-EXP(-LN(2)/2))/(LN(2)/2)*BL163*BO163*VLOOKUP('Données projet'!$B$11,Paramètres!$A$1:$I$89,3,0)*0.475*44/12</f>
        <v>2.3133710087900059E-19</v>
      </c>
      <c r="BS163" s="22">
        <f t="shared" si="169"/>
        <v>0.81158405682077761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1.9895196601282805E-13</v>
      </c>
      <c r="BZ163" s="13">
        <f>BY163*VLOOKUP('Données projet'!$B$12,Paramètres!$A$1:$I$89,3,0)*VLOOKUP('Données projet'!$B$12,Paramètres!$A$1:$I$89,5,0)</f>
        <v>1.738044375088066E-13</v>
      </c>
      <c r="CA163" s="13">
        <f t="shared" si="170"/>
        <v>2.4483293633950478E-12</v>
      </c>
      <c r="CB163" s="20">
        <f t="shared" si="171"/>
        <v>4.566883036574213E-12</v>
      </c>
      <c r="CC163" s="59">
        <f t="shared" si="119"/>
        <v>293.33333333333786</v>
      </c>
      <c r="CD163" s="59">
        <f ca="1">AVERAGE(OFFSET($CC$3,0,0,'Données projet'!$E$12+1,1))-AVERAGE(OFFSET($H$3,0,0,'Données projet'!$E$12+1,1))</f>
        <v>321.23599968992932</v>
      </c>
      <c r="CE163" s="59">
        <f t="shared" si="148"/>
        <v>388.05195847800502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0.27841937294216651</v>
      </c>
      <c r="CL163" s="21">
        <f>EXP(-LN(2)/25)*CL162+(1-EXP(-LN(2)/25))/(LN(2)/25)*Calculateur!CG163*Calculateur!CI163*VLOOKUP('Données projet'!$B$12,Paramètres!$A$1:$I$89,3,0)*0.475*44/12</f>
        <v>0.57400569800750467</v>
      </c>
      <c r="CM163" s="21">
        <f>EXP(-LN(2)/2)*CM162+(1-EXP(-LN(2)/2))/(LN(2)/2)*CG163*CJ163*VLOOKUP('Données projet'!$B$12,Paramètres!$A$1:$I$89,3,0)*0.475*44/12</f>
        <v>3.2696509789655261E-19</v>
      </c>
      <c r="CN163" s="22">
        <f t="shared" si="172"/>
        <v>0.85242507094967124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-1.0995790944434703E-13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399.24912109442175</v>
      </c>
      <c r="CZ163" s="59">
        <f t="shared" si="150"/>
        <v>269.83150082245305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-1.223725121235475E-13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439.66981240211362</v>
      </c>
      <c r="DU163" s="59">
        <f t="shared" si="152"/>
        <v>295.47805371292458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-1.0818439477588981E-13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393.46715670823653</v>
      </c>
      <c r="EP163" s="59">
        <f t="shared" si="154"/>
        <v>266.16261355327214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549.43232095729741</v>
      </c>
      <c r="T164" s="59">
        <f t="shared" si="142"/>
        <v>280.26155987300996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0.93581939931751701</v>
      </c>
      <c r="AA164" s="21">
        <f>EXP(-LN(2)/25)*AA163+(1-EXP(-LN(2)/25))/(LN(2)/25)*Calculateur!V164*Calculateur!X164*VLOOKUP('Données projet'!$B$9,Paramètres!$A$1:$I$89,3,0)*0.475*44/12</f>
        <v>0.25290709607790229</v>
      </c>
      <c r="AB164" s="21">
        <f>EXP(-LN(2)/2)*AB163+(1-EXP(-LN(2)/2))/(LN(2)/2)*V164*Y164*VLOOKUP('Données projet'!$B$9,Paramètres!$A$1:$I$89,3,0)*0.475*44/12</f>
        <v>8.634728462525621E-20</v>
      </c>
      <c r="AC164" s="22">
        <f t="shared" si="163"/>
        <v>1.1887264953954193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348.62416478262719</v>
      </c>
      <c r="AO164" s="59">
        <f t="shared" si="144"/>
        <v>371.70674704563288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0.9893359878674084</v>
      </c>
      <c r="AV164" s="21">
        <f>EXP(-LN(2)/25)*AV163+(1-EXP(-LN(2)/25))/(LN(2)/25)*Calculateur!AQ164*Calculateur!AS164*VLOOKUP('Données projet'!$B$10,Paramètres!$A$1:$I$89,3,0)*0.475*44/12</f>
        <v>0.32303338320238434</v>
      </c>
      <c r="AW164" s="21">
        <f>EXP(-LN(2)/2)*AW163+(1-EXP(-LN(2)/2))/(LN(2)/2)*AQ164*AT164*VLOOKUP('Données projet'!$B$10,Paramètres!$A$1:$I$89,3,0)*0.475*44/12</f>
        <v>2.3872525385713807E-19</v>
      </c>
      <c r="AX164" s="21">
        <f t="shared" si="166"/>
        <v>1.3123693710697928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405.7176439604217</v>
      </c>
      <c r="BJ164" s="59">
        <f t="shared" si="146"/>
        <v>278.21741231699929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0.5458994876285328</v>
      </c>
      <c r="BQ164" s="21">
        <f>EXP(-LN(2)/25)*BQ163+(1-EXP(-LN(2)/25))/(LN(2)/25)*Calculateur!BL164*Calculateur!BN164*VLOOKUP('Données projet'!$B$11,Paramètres!$A$1:$I$89,3,0)*0.475*44/12</f>
        <v>0.24779911936997284</v>
      </c>
      <c r="BR164" s="21">
        <f>EXP(-LN(2)/2)*BR163+(1-EXP(-LN(2)/2))/(LN(2)/2)*BL164*BO164*VLOOKUP('Données projet'!$B$11,Paramètres!$A$1:$I$89,3,0)*0.475*44/12</f>
        <v>1.6358003277157774E-19</v>
      </c>
      <c r="BS164" s="22">
        <f t="shared" si="169"/>
        <v>0.7936986069985057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1.9895196601282805E-13</v>
      </c>
      <c r="BZ164" s="13">
        <f>BY164*VLOOKUP('Données projet'!$B$12,Paramètres!$A$1:$I$89,3,0)*VLOOKUP('Données projet'!$B$12,Paramètres!$A$1:$I$89,5,0)</f>
        <v>1.738044375088066E-13</v>
      </c>
      <c r="CA164" s="13">
        <f t="shared" si="170"/>
        <v>2.4483293633950478E-12</v>
      </c>
      <c r="CB164" s="20">
        <f t="shared" si="171"/>
        <v>4.566883036574213E-12</v>
      </c>
      <c r="CC164" s="59">
        <f t="shared" si="119"/>
        <v>293.33333333333786</v>
      </c>
      <c r="CD164" s="59">
        <f ca="1">AVERAGE(OFFSET($CC$3,0,0,'Données projet'!$E$12+1,1))-AVERAGE(OFFSET($H$3,0,0,'Données projet'!$E$12+1,1))</f>
        <v>321.23599968992932</v>
      </c>
      <c r="CE164" s="59">
        <f t="shared" si="148"/>
        <v>388.05195847800502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0.27295973885781988</v>
      </c>
      <c r="CL164" s="21">
        <f>EXP(-LN(2)/25)*CL163+(1-EXP(-LN(2)/25))/(LN(2)/25)*Calculateur!CG164*Calculateur!CI164*VLOOKUP('Données projet'!$B$12,Paramètres!$A$1:$I$89,3,0)*0.475*44/12</f>
        <v>0.55830948200984165</v>
      </c>
      <c r="CM164" s="21">
        <f>EXP(-LN(2)/2)*CM163+(1-EXP(-LN(2)/2))/(LN(2)/2)*CG164*CJ164*VLOOKUP('Données projet'!$B$12,Paramètres!$A$1:$I$89,3,0)*0.475*44/12</f>
        <v>2.3119923793397571E-19</v>
      </c>
      <c r="CN164" s="22">
        <f t="shared" si="172"/>
        <v>0.83126922086766153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-1.0995790944434703E-13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399.24912109442175</v>
      </c>
      <c r="CZ164" s="59">
        <f t="shared" si="150"/>
        <v>269.83150082245305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-1.223725121235475E-13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439.66981240211362</v>
      </c>
      <c r="DU164" s="59">
        <f t="shared" si="152"/>
        <v>295.47805371292458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-1.0818439477588981E-13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393.46715670823653</v>
      </c>
      <c r="EP164" s="59">
        <f t="shared" si="154"/>
        <v>266.16261355327214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549.43232095729741</v>
      </c>
      <c r="T165" s="59">
        <f t="shared" si="142"/>
        <v>280.26155987300996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0.91746855169037289</v>
      </c>
      <c r="AA165" s="21">
        <f>EXP(-LN(2)/25)*AA164+(1-EXP(-LN(2)/25))/(LN(2)/25)*Calculateur!V165*Calculateur!X165*VLOOKUP('Données projet'!$B$9,Paramètres!$A$1:$I$89,3,0)*0.475*44/12</f>
        <v>0.2459913382358459</v>
      </c>
      <c r="AB165" s="21">
        <f>EXP(-LN(2)/2)*AB164+(1-EXP(-LN(2)/2))/(LN(2)/2)*V165*Y165*VLOOKUP('Données projet'!$B$9,Paramètres!$A$1:$I$89,3,0)*0.475*44/12</f>
        <v>6.1056750495563581E-20</v>
      </c>
      <c r="AC165" s="22">
        <f t="shared" si="163"/>
        <v>1.1634598899262187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348.62416478262719</v>
      </c>
      <c r="AO165" s="59">
        <f t="shared" si="144"/>
        <v>371.70674704563288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0.96993571258069677</v>
      </c>
      <c r="AV165" s="21">
        <f>EXP(-LN(2)/25)*AV164+(1-EXP(-LN(2)/25))/(LN(2)/25)*Calculateur!AQ165*Calculateur!AS165*VLOOKUP('Données projet'!$B$10,Paramètres!$A$1:$I$89,3,0)*0.475*44/12</f>
        <v>0.31420001835112782</v>
      </c>
      <c r="AW165" s="21">
        <f>EXP(-LN(2)/2)*AW164+(1-EXP(-LN(2)/2))/(LN(2)/2)*AQ165*AT165*VLOOKUP('Données projet'!$B$10,Paramètres!$A$1:$I$89,3,0)*0.475*44/12</f>
        <v>1.6880424584286234E-19</v>
      </c>
      <c r="AX165" s="21">
        <f t="shared" si="166"/>
        <v>1.2841357309318246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405.7176439604217</v>
      </c>
      <c r="BJ165" s="59">
        <f t="shared" si="146"/>
        <v>278.21741231699929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0.53519473164194709</v>
      </c>
      <c r="BQ165" s="21">
        <f>EXP(-LN(2)/25)*BQ164+(1-EXP(-LN(2)/25))/(LN(2)/25)*Calculateur!BL165*Calculateur!BN165*VLOOKUP('Données projet'!$B$11,Paramètres!$A$1:$I$89,3,0)*0.475*44/12</f>
        <v>0.24102303941961159</v>
      </c>
      <c r="BR165" s="21">
        <f>EXP(-LN(2)/2)*BR164+(1-EXP(-LN(2)/2))/(LN(2)/2)*BL165*BO165*VLOOKUP('Données projet'!$B$11,Paramètres!$A$1:$I$89,3,0)*0.475*44/12</f>
        <v>1.1566855043950029E-19</v>
      </c>
      <c r="BS165" s="22">
        <f t="shared" si="169"/>
        <v>0.77621777106155865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1.9895196601282805E-13</v>
      </c>
      <c r="BZ165" s="13">
        <f>BY165*VLOOKUP('Données projet'!$B$12,Paramètres!$A$1:$I$89,3,0)*VLOOKUP('Données projet'!$B$12,Paramètres!$A$1:$I$89,5,0)</f>
        <v>1.738044375088066E-13</v>
      </c>
      <c r="CA165" s="13">
        <f t="shared" si="170"/>
        <v>2.4483293633950478E-12</v>
      </c>
      <c r="CB165" s="20">
        <f t="shared" si="171"/>
        <v>4.566883036574213E-12</v>
      </c>
      <c r="CC165" s="59">
        <f t="shared" si="119"/>
        <v>293.33333333333786</v>
      </c>
      <c r="CD165" s="59">
        <f ca="1">AVERAGE(OFFSET($CC$3,0,0,'Données projet'!$E$12+1,1))-AVERAGE(OFFSET($H$3,0,0,'Données projet'!$E$12+1,1))</f>
        <v>321.23599968992932</v>
      </c>
      <c r="CE165" s="59">
        <f t="shared" si="148"/>
        <v>388.05195847800502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0.26760716486781932</v>
      </c>
      <c r="CL165" s="21">
        <f>EXP(-LN(2)/25)*CL164+(1-EXP(-LN(2)/25))/(LN(2)/25)*Calculateur!CG165*Calculateur!CI165*VLOOKUP('Données projet'!$B$12,Paramètres!$A$1:$I$89,3,0)*0.475*44/12</f>
        <v>0.54304247986406295</v>
      </c>
      <c r="CM165" s="21">
        <f>EXP(-LN(2)/2)*CM164+(1-EXP(-LN(2)/2))/(LN(2)/2)*CG165*CJ165*VLOOKUP('Données projet'!$B$12,Paramètres!$A$1:$I$89,3,0)*0.475*44/12</f>
        <v>1.6348254894827631E-19</v>
      </c>
      <c r="CN165" s="22">
        <f t="shared" si="172"/>
        <v>0.81064964473188228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-1.0995790944434703E-13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399.24912109442175</v>
      </c>
      <c r="CZ165" s="59">
        <f t="shared" si="150"/>
        <v>269.83150082245305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-1.223725121235475E-13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439.66981240211362</v>
      </c>
      <c r="DU165" s="59">
        <f t="shared" si="152"/>
        <v>295.47805371292458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-1.0818439477588981E-13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393.46715670823653</v>
      </c>
      <c r="EP165" s="59">
        <f t="shared" si="154"/>
        <v>266.16261355327214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549.43232095729741</v>
      </c>
      <c r="T166" s="59">
        <f t="shared" si="142"/>
        <v>280.26155987300996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0.89947755299228527</v>
      </c>
      <c r="AA166" s="21">
        <f>EXP(-LN(2)/25)*AA165+(1-EXP(-LN(2)/25))/(LN(2)/25)*Calculateur!V166*Calculateur!X166*VLOOKUP('Données projet'!$B$9,Paramètres!$A$1:$I$89,3,0)*0.475*44/12</f>
        <v>0.23926469215566443</v>
      </c>
      <c r="AB166" s="21">
        <f>EXP(-LN(2)/2)*AB165+(1-EXP(-LN(2)/2))/(LN(2)/2)*V166*Y166*VLOOKUP('Données projet'!$B$9,Paramètres!$A$1:$I$89,3,0)*0.475*44/12</f>
        <v>4.3173642312628105E-20</v>
      </c>
      <c r="AC166" s="22">
        <f t="shared" si="163"/>
        <v>1.1387422451479496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348.62416478262719</v>
      </c>
      <c r="AO166" s="59">
        <f t="shared" si="144"/>
        <v>371.70674704563288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0.95091586485935808</v>
      </c>
      <c r="AV166" s="21">
        <f>EXP(-LN(2)/25)*AV165+(1-EXP(-LN(2)/25))/(LN(2)/25)*Calculateur!AQ166*Calculateur!AS166*VLOOKUP('Données projet'!$B$10,Paramètres!$A$1:$I$89,3,0)*0.475*44/12</f>
        <v>0.30560820232625535</v>
      </c>
      <c r="AW166" s="21">
        <f>EXP(-LN(2)/2)*AW165+(1-EXP(-LN(2)/2))/(LN(2)/2)*AQ166*AT166*VLOOKUP('Données projet'!$B$10,Paramètres!$A$1:$I$89,3,0)*0.475*44/12</f>
        <v>1.1936262692856904E-19</v>
      </c>
      <c r="AX166" s="21">
        <f t="shared" si="166"/>
        <v>1.2565240671856135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405.7176439604217</v>
      </c>
      <c r="BJ166" s="59">
        <f t="shared" si="146"/>
        <v>278.21741231699929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0.52469988939100187</v>
      </c>
      <c r="BQ166" s="21">
        <f>EXP(-LN(2)/25)*BQ165+(1-EXP(-LN(2)/25))/(LN(2)/25)*Calculateur!BL166*Calculateur!BN166*VLOOKUP('Données projet'!$B$11,Paramètres!$A$1:$I$89,3,0)*0.475*44/12</f>
        <v>0.23443225173183152</v>
      </c>
      <c r="BR166" s="21">
        <f>EXP(-LN(2)/2)*BR165+(1-EXP(-LN(2)/2))/(LN(2)/2)*BL166*BO166*VLOOKUP('Données projet'!$B$11,Paramètres!$A$1:$I$89,3,0)*0.475*44/12</f>
        <v>8.179001638578887E-20</v>
      </c>
      <c r="BS166" s="22">
        <f t="shared" si="169"/>
        <v>0.75913214112283334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1.9895196601282805E-13</v>
      </c>
      <c r="BZ166" s="13">
        <f>BY166*VLOOKUP('Données projet'!$B$12,Paramètres!$A$1:$I$89,3,0)*VLOOKUP('Données projet'!$B$12,Paramètres!$A$1:$I$89,5,0)</f>
        <v>1.738044375088066E-13</v>
      </c>
      <c r="CA166" s="13">
        <f t="shared" si="170"/>
        <v>2.4483293633950478E-12</v>
      </c>
      <c r="CB166" s="20">
        <f t="shared" si="171"/>
        <v>4.566883036574213E-12</v>
      </c>
      <c r="CC166" s="59">
        <f t="shared" si="119"/>
        <v>293.33333333333786</v>
      </c>
      <c r="CD166" s="59">
        <f ca="1">AVERAGE(OFFSET($CC$3,0,0,'Données projet'!$E$12+1,1))-AVERAGE(OFFSET($H$3,0,0,'Données projet'!$E$12+1,1))</f>
        <v>321.23599968992932</v>
      </c>
      <c r="CE166" s="59">
        <f t="shared" si="148"/>
        <v>388.05195847800502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0.26235955158901492</v>
      </c>
      <c r="CL166" s="21">
        <f>EXP(-LN(2)/25)*CL165+(1-EXP(-LN(2)/25))/(LN(2)/25)*Calculateur!CG166*Calculateur!CI166*VLOOKUP('Données projet'!$B$12,Paramètres!$A$1:$I$89,3,0)*0.475*44/12</f>
        <v>0.52819295469481731</v>
      </c>
      <c r="CM166" s="21">
        <f>EXP(-LN(2)/2)*CM165+(1-EXP(-LN(2)/2))/(LN(2)/2)*CG166*CJ166*VLOOKUP('Données projet'!$B$12,Paramètres!$A$1:$I$89,3,0)*0.475*44/12</f>
        <v>1.1559961896698786E-19</v>
      </c>
      <c r="CN166" s="22">
        <f t="shared" si="172"/>
        <v>0.79055250628383222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-1.0995790944434703E-13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399.24912109442175</v>
      </c>
      <c r="CZ166" s="59">
        <f t="shared" si="150"/>
        <v>269.83150082245305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-1.223725121235475E-13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439.66981240211362</v>
      </c>
      <c r="DU166" s="59">
        <f t="shared" si="152"/>
        <v>295.47805371292458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-1.0818439477588981E-13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393.46715670823653</v>
      </c>
      <c r="EP166" s="59">
        <f t="shared" si="154"/>
        <v>266.16261355327214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549.43232095729741</v>
      </c>
      <c r="T167" s="59">
        <f t="shared" si="142"/>
        <v>280.26155987300996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0.88183934680524145</v>
      </c>
      <c r="AA167" s="21">
        <f>EXP(-LN(2)/25)*AA166+(1-EXP(-LN(2)/25))/(LN(2)/25)*Calculateur!V167*Calculateur!X167*VLOOKUP('Données projet'!$B$9,Paramètres!$A$1:$I$89,3,0)*0.475*44/12</f>
        <v>0.23272198656628448</v>
      </c>
      <c r="AB167" s="21">
        <f>EXP(-LN(2)/2)*AB166+(1-EXP(-LN(2)/2))/(LN(2)/2)*V167*Y167*VLOOKUP('Données projet'!$B$9,Paramètres!$A$1:$I$89,3,0)*0.475*44/12</f>
        <v>3.0528375247781791E-20</v>
      </c>
      <c r="AC167" s="22">
        <f t="shared" si="163"/>
        <v>1.1145613333715259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348.62416478262719</v>
      </c>
      <c r="AO167" s="59">
        <f t="shared" si="144"/>
        <v>371.70674704563288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0.93226898475087328</v>
      </c>
      <c r="AV167" s="21">
        <f>EXP(-LN(2)/25)*AV166+(1-EXP(-LN(2)/25))/(LN(2)/25)*Calculateur!AQ167*Calculateur!AS167*VLOOKUP('Données projet'!$B$10,Paramètres!$A$1:$I$89,3,0)*0.475*44/12</f>
        <v>0.297251329962407</v>
      </c>
      <c r="AW167" s="21">
        <f>EXP(-LN(2)/2)*AW166+(1-EXP(-LN(2)/2))/(LN(2)/2)*AQ167*AT167*VLOOKUP('Données projet'!$B$10,Paramètres!$A$1:$I$89,3,0)*0.475*44/12</f>
        <v>8.4402122921431171E-20</v>
      </c>
      <c r="AX167" s="21">
        <f t="shared" si="166"/>
        <v>1.2295203147132803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405.7176439604217</v>
      </c>
      <c r="BJ167" s="59">
        <f t="shared" si="146"/>
        <v>278.21741231699929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0.514410844595376</v>
      </c>
      <c r="BQ167" s="21">
        <f>EXP(-LN(2)/25)*BQ166+(1-EXP(-LN(2)/25))/(LN(2)/25)*Calculateur!BL167*Calculateur!BN167*VLOOKUP('Données projet'!$B$11,Paramètres!$A$1:$I$89,3,0)*0.475*44/12</f>
        <v>0.22802168947996826</v>
      </c>
      <c r="BR167" s="21">
        <f>EXP(-LN(2)/2)*BR166+(1-EXP(-LN(2)/2))/(LN(2)/2)*BL167*BO167*VLOOKUP('Données projet'!$B$11,Paramètres!$A$1:$I$89,3,0)*0.475*44/12</f>
        <v>5.7834275219750146E-20</v>
      </c>
      <c r="BS167" s="22">
        <f t="shared" si="169"/>
        <v>0.74243253407534426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1.9895196601282805E-13</v>
      </c>
      <c r="BZ167" s="13">
        <f>BY167*VLOOKUP('Données projet'!$B$12,Paramètres!$A$1:$I$89,3,0)*VLOOKUP('Données projet'!$B$12,Paramètres!$A$1:$I$89,5,0)</f>
        <v>1.738044375088066E-13</v>
      </c>
      <c r="CA167" s="13">
        <f t="shared" si="170"/>
        <v>2.4483293633950478E-12</v>
      </c>
      <c r="CB167" s="20">
        <f t="shared" si="171"/>
        <v>4.566883036574213E-12</v>
      </c>
      <c r="CC167" s="59">
        <f t="shared" si="119"/>
        <v>293.33333333333786</v>
      </c>
      <c r="CD167" s="59">
        <f ca="1">AVERAGE(OFFSET($CC$3,0,0,'Données projet'!$E$12+1,1))-AVERAGE(OFFSET($H$3,0,0,'Données projet'!$E$12+1,1))</f>
        <v>321.23599968992932</v>
      </c>
      <c r="CE167" s="59">
        <f t="shared" si="148"/>
        <v>388.05195847800502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0.25721484080587981</v>
      </c>
      <c r="CL167" s="21">
        <f>EXP(-LN(2)/25)*CL166+(1-EXP(-LN(2)/25))/(LN(2)/25)*Calculateur!CG167*Calculateur!CI167*VLOOKUP('Données projet'!$B$12,Paramètres!$A$1:$I$89,3,0)*0.475*44/12</f>
        <v>0.5137494905722273</v>
      </c>
      <c r="CM167" s="21">
        <f>EXP(-LN(2)/2)*CM166+(1-EXP(-LN(2)/2))/(LN(2)/2)*CG167*CJ167*VLOOKUP('Données projet'!$B$12,Paramètres!$A$1:$I$89,3,0)*0.475*44/12</f>
        <v>8.1741274474138153E-20</v>
      </c>
      <c r="CN167" s="22">
        <f t="shared" si="172"/>
        <v>0.77096433137810716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-1.0995790944434703E-13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399.24912109442175</v>
      </c>
      <c r="CZ167" s="59">
        <f t="shared" si="150"/>
        <v>269.83150082245305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-1.223725121235475E-13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439.66981240211362</v>
      </c>
      <c r="DU167" s="59">
        <f t="shared" si="152"/>
        <v>295.47805371292458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-1.0818439477588981E-13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393.46715670823653</v>
      </c>
      <c r="EP167" s="59">
        <f t="shared" si="154"/>
        <v>266.16261355327214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549.43232095729741</v>
      </c>
      <c r="T168" s="59">
        <f t="shared" si="142"/>
        <v>280.26155987300996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0.86454701508328202</v>
      </c>
      <c r="AA168" s="21">
        <f>EXP(-LN(2)/25)*AA167+(1-EXP(-LN(2)/25))/(LN(2)/25)*Calculateur!V168*Calculateur!X168*VLOOKUP('Données projet'!$B$9,Paramètres!$A$1:$I$89,3,0)*0.475*44/12</f>
        <v>0.22635819160531206</v>
      </c>
      <c r="AB168" s="21">
        <f>EXP(-LN(2)/2)*AB167+(1-EXP(-LN(2)/2))/(LN(2)/2)*V168*Y168*VLOOKUP('Données projet'!$B$9,Paramètres!$A$1:$I$89,3,0)*0.475*44/12</f>
        <v>2.1586821156314052E-20</v>
      </c>
      <c r="AC168" s="22">
        <f t="shared" si="163"/>
        <v>1.090905206688594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348.62416478262719</v>
      </c>
      <c r="AO168" s="59">
        <f t="shared" si="144"/>
        <v>371.70674704563288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0.91398775858784198</v>
      </c>
      <c r="AV168" s="21">
        <f>EXP(-LN(2)/25)*AV167+(1-EXP(-LN(2)/25))/(LN(2)/25)*Calculateur!AQ168*Calculateur!AS168*VLOOKUP('Données projet'!$B$10,Paramètres!$A$1:$I$89,3,0)*0.475*44/12</f>
        <v>0.28912297671281689</v>
      </c>
      <c r="AW168" s="21">
        <f>EXP(-LN(2)/2)*AW167+(1-EXP(-LN(2)/2))/(LN(2)/2)*AQ168*AT168*VLOOKUP('Données projet'!$B$10,Paramètres!$A$1:$I$89,3,0)*0.475*44/12</f>
        <v>5.9681313464284518E-20</v>
      </c>
      <c r="AX168" s="21">
        <f t="shared" si="166"/>
        <v>1.2031107353006589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405.7176439604217</v>
      </c>
      <c r="BJ168" s="59">
        <f t="shared" si="146"/>
        <v>278.21741231699929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0.5043235616924947</v>
      </c>
      <c r="BQ168" s="21">
        <f>EXP(-LN(2)/25)*BQ167+(1-EXP(-LN(2)/25))/(LN(2)/25)*Calculateur!BL168*Calculateur!BN168*VLOOKUP('Données projet'!$B$11,Paramètres!$A$1:$I$89,3,0)*0.475*44/12</f>
        <v>0.22178642438999902</v>
      </c>
      <c r="BR168" s="21">
        <f>EXP(-LN(2)/2)*BR167+(1-EXP(-LN(2)/2))/(LN(2)/2)*BL168*BO168*VLOOKUP('Données projet'!$B$11,Paramètres!$A$1:$I$89,3,0)*0.475*44/12</f>
        <v>4.0895008192894435E-20</v>
      </c>
      <c r="BS168" s="22">
        <f t="shared" si="169"/>
        <v>0.72610998608249377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1.9895196601282805E-13</v>
      </c>
      <c r="BZ168" s="13">
        <f>BY168*VLOOKUP('Données projet'!$B$12,Paramètres!$A$1:$I$89,3,0)*VLOOKUP('Données projet'!$B$12,Paramètres!$A$1:$I$89,5,0)</f>
        <v>1.738044375088066E-13</v>
      </c>
      <c r="CA168" s="13">
        <f t="shared" si="170"/>
        <v>2.4483293633950478E-12</v>
      </c>
      <c r="CB168" s="20">
        <f t="shared" si="171"/>
        <v>4.566883036574213E-12</v>
      </c>
      <c r="CC168" s="59">
        <f t="shared" si="119"/>
        <v>293.33333333333786</v>
      </c>
      <c r="CD168" s="59">
        <f ca="1">AVERAGE(OFFSET($CC$3,0,0,'Données projet'!$E$12+1,1))-AVERAGE(OFFSET($H$3,0,0,'Données projet'!$E$12+1,1))</f>
        <v>321.23599968992932</v>
      </c>
      <c r="CE168" s="59">
        <f t="shared" si="148"/>
        <v>388.05195847800502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0.25217101466323821</v>
      </c>
      <c r="CL168" s="21">
        <f>EXP(-LN(2)/25)*CL167+(1-EXP(-LN(2)/25))/(LN(2)/25)*Calculateur!CG168*Calculateur!CI168*VLOOKUP('Données projet'!$B$12,Paramètres!$A$1:$I$89,3,0)*0.475*44/12</f>
        <v>0.49970098373561822</v>
      </c>
      <c r="CM168" s="21">
        <f>EXP(-LN(2)/2)*CM167+(1-EXP(-LN(2)/2))/(LN(2)/2)*CG168*CJ168*VLOOKUP('Données projet'!$B$12,Paramètres!$A$1:$I$89,3,0)*0.475*44/12</f>
        <v>5.7799809483493928E-20</v>
      </c>
      <c r="CN168" s="22">
        <f t="shared" si="172"/>
        <v>0.75187199839885643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-1.0995790944434703E-13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399.24912109442175</v>
      </c>
      <c r="CZ168" s="59">
        <f t="shared" si="150"/>
        <v>269.83150082245305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-1.223725121235475E-13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439.66981240211362</v>
      </c>
      <c r="DU168" s="59">
        <f t="shared" si="152"/>
        <v>295.47805371292458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-1.0818439477588981E-13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393.46715670823653</v>
      </c>
      <c r="EP168" s="59">
        <f t="shared" si="154"/>
        <v>266.16261355327214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549.43232095729741</v>
      </c>
      <c r="T169" s="59">
        <f t="shared" si="142"/>
        <v>280.26155987300996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0.84759377543910941</v>
      </c>
      <c r="AA169" s="21">
        <f>EXP(-LN(2)/25)*AA168+(1-EXP(-LN(2)/25))/(LN(2)/25)*Calculateur!V169*Calculateur!X169*VLOOKUP('Données projet'!$B$9,Paramètres!$A$1:$I$89,3,0)*0.475*44/12</f>
        <v>0.22016841495220485</v>
      </c>
      <c r="AB169" s="21">
        <f>EXP(-LN(2)/2)*AB168+(1-EXP(-LN(2)/2))/(LN(2)/2)*V169*Y169*VLOOKUP('Données projet'!$B$9,Paramètres!$A$1:$I$89,3,0)*0.475*44/12</f>
        <v>1.5264187623890895E-20</v>
      </c>
      <c r="AC169" s="22">
        <f t="shared" si="163"/>
        <v>1.0677621903913144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348.62416478262719</v>
      </c>
      <c r="AO169" s="59">
        <f t="shared" si="144"/>
        <v>371.70674704563288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0.8960650161194208</v>
      </c>
      <c r="AV169" s="21">
        <f>EXP(-LN(2)/25)*AV168+(1-EXP(-LN(2)/25))/(LN(2)/25)*Calculateur!AQ169*Calculateur!AS169*VLOOKUP('Données projet'!$B$10,Paramètres!$A$1:$I$89,3,0)*0.475*44/12</f>
        <v>0.28121689371028835</v>
      </c>
      <c r="AW169" s="21">
        <f>EXP(-LN(2)/2)*AW168+(1-EXP(-LN(2)/2))/(LN(2)/2)*AQ169*AT169*VLOOKUP('Données projet'!$B$10,Paramètres!$A$1:$I$89,3,0)*0.475*44/12</f>
        <v>4.2201061460715586E-20</v>
      </c>
      <c r="AX169" s="21">
        <f t="shared" si="166"/>
        <v>1.1772819098297092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405.7176439604217</v>
      </c>
      <c r="BJ169" s="59">
        <f t="shared" si="146"/>
        <v>278.21741231699929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0.49443408425470387</v>
      </c>
      <c r="BQ169" s="21">
        <f>EXP(-LN(2)/25)*BQ168+(1-EXP(-LN(2)/25))/(LN(2)/25)*Calculateur!BL169*Calculateur!BN169*VLOOKUP('Données projet'!$B$11,Paramètres!$A$1:$I$89,3,0)*0.475*44/12</f>
        <v>0.21572166295181333</v>
      </c>
      <c r="BR169" s="21">
        <f>EXP(-LN(2)/2)*BR168+(1-EXP(-LN(2)/2))/(LN(2)/2)*BL169*BO169*VLOOKUP('Données projet'!$B$11,Paramètres!$A$1:$I$89,3,0)*0.475*44/12</f>
        <v>2.8917137609875073E-20</v>
      </c>
      <c r="BS169" s="22">
        <f t="shared" si="169"/>
        <v>0.7101557472065172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1.9895196601282805E-13</v>
      </c>
      <c r="BZ169" s="13">
        <f>BY169*VLOOKUP('Données projet'!$B$12,Paramètres!$A$1:$I$89,3,0)*VLOOKUP('Données projet'!$B$12,Paramètres!$A$1:$I$89,5,0)</f>
        <v>1.738044375088066E-13</v>
      </c>
      <c r="CA169" s="13">
        <f t="shared" si="170"/>
        <v>2.4483293633950478E-12</v>
      </c>
      <c r="CB169" s="20">
        <f t="shared" si="171"/>
        <v>4.566883036574213E-12</v>
      </c>
      <c r="CC169" s="59">
        <f t="shared" si="119"/>
        <v>293.33333333333786</v>
      </c>
      <c r="CD169" s="59">
        <f ca="1">AVERAGE(OFFSET($CC$3,0,0,'Données projet'!$E$12+1,1))-AVERAGE(OFFSET($H$3,0,0,'Données projet'!$E$12+1,1))</f>
        <v>321.23599968992932</v>
      </c>
      <c r="CE169" s="59">
        <f t="shared" si="148"/>
        <v>388.05195847800502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0.24722609487482367</v>
      </c>
      <c r="CL169" s="21">
        <f>EXP(-LN(2)/25)*CL168+(1-EXP(-LN(2)/25))/(LN(2)/25)*Calculateur!CG169*Calculateur!CI169*VLOOKUP('Données projet'!$B$12,Paramètres!$A$1:$I$89,3,0)*0.475*44/12</f>
        <v>0.48603663405723507</v>
      </c>
      <c r="CM169" s="21">
        <f>EXP(-LN(2)/2)*CM168+(1-EXP(-LN(2)/2))/(LN(2)/2)*CG169*CJ169*VLOOKUP('Données projet'!$B$12,Paramètres!$A$1:$I$89,3,0)*0.475*44/12</f>
        <v>4.0870637237069076E-20</v>
      </c>
      <c r="CN169" s="22">
        <f t="shared" si="172"/>
        <v>0.73326272893205879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-1.0995790944434703E-13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399.24912109442175</v>
      </c>
      <c r="CZ169" s="59">
        <f t="shared" si="150"/>
        <v>269.83150082245305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-1.223725121235475E-13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439.66981240211362</v>
      </c>
      <c r="DU169" s="59">
        <f t="shared" si="152"/>
        <v>295.47805371292458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-1.0818439477588981E-13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393.46715670823653</v>
      </c>
      <c r="EP169" s="59">
        <f t="shared" si="154"/>
        <v>266.16261355327214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549.43232095729741</v>
      </c>
      <c r="T170" s="59">
        <f t="shared" si="142"/>
        <v>280.26155987300996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0.83097297848390383</v>
      </c>
      <c r="AA170" s="21">
        <f>EXP(-LN(2)/25)*AA169+(1-EXP(-LN(2)/25))/(LN(2)/25)*Calculateur!V170*Calculateur!X170*VLOOKUP('Données projet'!$B$9,Paramètres!$A$1:$I$89,3,0)*0.475*44/12</f>
        <v>0.21414789806718307</v>
      </c>
      <c r="AB170" s="21">
        <f>EXP(-LN(2)/2)*AB169+(1-EXP(-LN(2)/2))/(LN(2)/2)*V170*Y170*VLOOKUP('Données projet'!$B$9,Paramètres!$A$1:$I$89,3,0)*0.475*44/12</f>
        <v>1.0793410578157026E-20</v>
      </c>
      <c r="AC170" s="22">
        <f t="shared" si="163"/>
        <v>1.0451208765510869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348.62416478262719</v>
      </c>
      <c r="AO170" s="59">
        <f t="shared" si="144"/>
        <v>371.70674704563288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0.87849372769901191</v>
      </c>
      <c r="AV170" s="21">
        <f>EXP(-LN(2)/25)*AV169+(1-EXP(-LN(2)/25))/(LN(2)/25)*Calculateur!AQ170*Calculateur!AS170*VLOOKUP('Données projet'!$B$10,Paramètres!$A$1:$I$89,3,0)*0.475*44/12</f>
        <v>0.2735270029632268</v>
      </c>
      <c r="AW170" s="21">
        <f>EXP(-LN(2)/2)*AW169+(1-EXP(-LN(2)/2))/(LN(2)/2)*AQ170*AT170*VLOOKUP('Données projet'!$B$10,Paramètres!$A$1:$I$89,3,0)*0.475*44/12</f>
        <v>2.9840656732142259E-20</v>
      </c>
      <c r="AX170" s="21">
        <f t="shared" si="166"/>
        <v>1.1520207306622388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405.7176439604217</v>
      </c>
      <c r="BJ170" s="59">
        <f t="shared" si="146"/>
        <v>278.21741231699929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0.48473853343748247</v>
      </c>
      <c r="BQ170" s="21">
        <f>EXP(-LN(2)/25)*BQ169+(1-EXP(-LN(2)/25))/(LN(2)/25)*Calculateur!BL170*Calculateur!BN170*VLOOKUP('Données projet'!$B$11,Paramètres!$A$1:$I$89,3,0)*0.475*44/12</f>
        <v>0.20982274273408677</v>
      </c>
      <c r="BR170" s="21">
        <f>EXP(-LN(2)/2)*BR169+(1-EXP(-LN(2)/2))/(LN(2)/2)*BL170*BO170*VLOOKUP('Données projet'!$B$11,Paramètres!$A$1:$I$89,3,0)*0.475*44/12</f>
        <v>2.0447504096447217E-20</v>
      </c>
      <c r="BS170" s="22">
        <f t="shared" si="169"/>
        <v>0.69456127617156926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1.9895196601282805E-13</v>
      </c>
      <c r="BZ170" s="13">
        <f>BY170*VLOOKUP('Données projet'!$B$12,Paramètres!$A$1:$I$89,3,0)*VLOOKUP('Données projet'!$B$12,Paramètres!$A$1:$I$89,5,0)</f>
        <v>1.738044375088066E-13</v>
      </c>
      <c r="CA170" s="13">
        <f t="shared" si="170"/>
        <v>2.4483293633950478E-12</v>
      </c>
      <c r="CB170" s="20">
        <f t="shared" si="171"/>
        <v>4.566883036574213E-12</v>
      </c>
      <c r="CC170" s="59">
        <f t="shared" si="119"/>
        <v>293.33333333333786</v>
      </c>
      <c r="CD170" s="59">
        <f ca="1">AVERAGE(OFFSET($CC$3,0,0,'Données projet'!$E$12+1,1))-AVERAGE(OFFSET($H$3,0,0,'Données projet'!$E$12+1,1))</f>
        <v>321.23599968992932</v>
      </c>
      <c r="CE170" s="59">
        <f t="shared" si="148"/>
        <v>388.05195847800502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0.24237814194735668</v>
      </c>
      <c r="CL170" s="21">
        <f>EXP(-LN(2)/25)*CL169+(1-EXP(-LN(2)/25))/(LN(2)/25)*Calculateur!CG170*Calculateur!CI170*VLOOKUP('Données projet'!$B$12,Paramètres!$A$1:$I$89,3,0)*0.475*44/12</f>
        <v>0.47274593673938425</v>
      </c>
      <c r="CM170" s="21">
        <f>EXP(-LN(2)/2)*CM169+(1-EXP(-LN(2)/2))/(LN(2)/2)*CG170*CJ170*VLOOKUP('Données projet'!$B$12,Paramètres!$A$1:$I$89,3,0)*0.475*44/12</f>
        <v>2.8899904741746964E-20</v>
      </c>
      <c r="CN170" s="22">
        <f t="shared" si="172"/>
        <v>0.71512407868674099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-1.0995790944434703E-13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399.24912109442175</v>
      </c>
      <c r="CZ170" s="59">
        <f t="shared" si="150"/>
        <v>269.83150082245305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-1.223725121235475E-13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439.66981240211362</v>
      </c>
      <c r="DU170" s="59">
        <f t="shared" si="152"/>
        <v>295.47805371292458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-1.0818439477588981E-13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393.46715670823653</v>
      </c>
      <c r="EP170" s="59">
        <f t="shared" si="154"/>
        <v>266.16261355327214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549.43232095729741</v>
      </c>
      <c r="T171" s="59">
        <f t="shared" si="142"/>
        <v>280.26155987300996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0.81467810521930473</v>
      </c>
      <c r="AA171" s="21">
        <f>EXP(-LN(2)/25)*AA170+(1-EXP(-LN(2)/25))/(LN(2)/25)*Calculateur!V171*Calculateur!X171*VLOOKUP('Données projet'!$B$9,Paramètres!$A$1:$I$89,3,0)*0.475*44/12</f>
        <v>0.20829201253298743</v>
      </c>
      <c r="AB171" s="21">
        <f>EXP(-LN(2)/2)*AB170+(1-EXP(-LN(2)/2))/(LN(2)/2)*V171*Y171*VLOOKUP('Données projet'!$B$9,Paramètres!$A$1:$I$89,3,0)*0.475*44/12</f>
        <v>7.6320938119454476E-21</v>
      </c>
      <c r="AC171" s="22">
        <f t="shared" si="163"/>
        <v>1.0229701177522921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348.62416478262719</v>
      </c>
      <c r="AO171" s="59">
        <f t="shared" si="144"/>
        <v>371.70674704563288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0.86126700152709956</v>
      </c>
      <c r="AV171" s="21">
        <f>EXP(-LN(2)/25)*AV170+(1-EXP(-LN(2)/25))/(LN(2)/25)*Calculateur!AQ171*Calculateur!AS171*VLOOKUP('Données projet'!$B$10,Paramètres!$A$1:$I$89,3,0)*0.475*44/12</f>
        <v>0.26604739268303745</v>
      </c>
      <c r="AW171" s="21">
        <f>EXP(-LN(2)/2)*AW170+(1-EXP(-LN(2)/2))/(LN(2)/2)*AQ171*AT171*VLOOKUP('Données projet'!$B$10,Paramètres!$A$1:$I$89,3,0)*0.475*44/12</f>
        <v>2.1100530730357793E-20</v>
      </c>
      <c r="AX171" s="21">
        <f t="shared" si="166"/>
        <v>1.1273143942101371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405.7176439604217</v>
      </c>
      <c r="BJ171" s="59">
        <f t="shared" si="146"/>
        <v>278.21741231699929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0.4752331064580847</v>
      </c>
      <c r="BQ171" s="21">
        <f>EXP(-LN(2)/25)*BQ170+(1-EXP(-LN(2)/25))/(LN(2)/25)*Calculateur!BL171*Calculateur!BN171*VLOOKUP('Données projet'!$B$11,Paramètres!$A$1:$I$89,3,0)*0.475*44/12</f>
        <v>0.20408512879992469</v>
      </c>
      <c r="BR171" s="21">
        <f>EXP(-LN(2)/2)*BR170+(1-EXP(-LN(2)/2))/(LN(2)/2)*BL171*BO171*VLOOKUP('Données projet'!$B$11,Paramètres!$A$1:$I$89,3,0)*0.475*44/12</f>
        <v>1.4458568804937537E-20</v>
      </c>
      <c r="BS171" s="22">
        <f t="shared" si="169"/>
        <v>0.67931823525800938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1.9895196601282805E-13</v>
      </c>
      <c r="BZ171" s="13">
        <f>BY171*VLOOKUP('Données projet'!$B$12,Paramètres!$A$1:$I$89,3,0)*VLOOKUP('Données projet'!$B$12,Paramètres!$A$1:$I$89,5,0)</f>
        <v>1.738044375088066E-13</v>
      </c>
      <c r="CA171" s="13">
        <f t="shared" si="170"/>
        <v>2.4483293633950478E-12</v>
      </c>
      <c r="CB171" s="20">
        <f t="shared" si="171"/>
        <v>4.566883036574213E-12</v>
      </c>
      <c r="CC171" s="59">
        <f t="shared" si="119"/>
        <v>293.33333333333786</v>
      </c>
      <c r="CD171" s="59">
        <f ca="1">AVERAGE(OFFSET($CC$3,0,0,'Données projet'!$E$12+1,1))-AVERAGE(OFFSET($H$3,0,0,'Données projet'!$E$12+1,1))</f>
        <v>321.23599968992932</v>
      </c>
      <c r="CE171" s="59">
        <f t="shared" si="148"/>
        <v>388.05195847800502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0.23762525441983801</v>
      </c>
      <c r="CL171" s="21">
        <f>EXP(-LN(2)/25)*CL170+(1-EXP(-LN(2)/25))/(LN(2)/25)*Calculateur!CG171*Calculateur!CI171*VLOOKUP('Données projet'!$B$12,Paramètres!$A$1:$I$89,3,0)*0.475*44/12</f>
        <v>0.45981867423861744</v>
      </c>
      <c r="CM171" s="21">
        <f>EXP(-LN(2)/2)*CM170+(1-EXP(-LN(2)/2))/(LN(2)/2)*CG171*CJ171*VLOOKUP('Données projet'!$B$12,Paramètres!$A$1:$I$89,3,0)*0.475*44/12</f>
        <v>2.0435318618534538E-20</v>
      </c>
      <c r="CN171" s="22">
        <f t="shared" si="172"/>
        <v>0.6974439286584555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-1.0995790944434703E-13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399.24912109442175</v>
      </c>
      <c r="CZ171" s="59">
        <f t="shared" si="150"/>
        <v>269.83150082245305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-1.223725121235475E-13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439.66981240211362</v>
      </c>
      <c r="DU171" s="59">
        <f t="shared" si="152"/>
        <v>295.47805371292458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-1.0818439477588981E-13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393.46715670823653</v>
      </c>
      <c r="EP171" s="59">
        <f t="shared" si="154"/>
        <v>266.16261355327214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549.43232095729741</v>
      </c>
      <c r="T172" s="59">
        <f t="shared" si="142"/>
        <v>280.26155987300996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0.79870276448053312</v>
      </c>
      <c r="AA172" s="21">
        <f>EXP(-LN(2)/25)*AA171+(1-EXP(-LN(2)/25))/(LN(2)/25)*Calculateur!V172*Calculateur!X172*VLOOKUP('Données projet'!$B$9,Paramètres!$A$1:$I$89,3,0)*0.475*44/12</f>
        <v>0.20259625649667201</v>
      </c>
      <c r="AB172" s="21">
        <f>EXP(-LN(2)/2)*AB171+(1-EXP(-LN(2)/2))/(LN(2)/2)*V172*Y172*VLOOKUP('Données projet'!$B$9,Paramètres!$A$1:$I$89,3,0)*0.475*44/12</f>
        <v>5.3967052890785131E-21</v>
      </c>
      <c r="AC172" s="22">
        <f t="shared" si="163"/>
        <v>1.0012990209772052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348.62416478262719</v>
      </c>
      <c r="AO172" s="59">
        <f t="shared" si="144"/>
        <v>371.70674704563288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0.84437808094815292</v>
      </c>
      <c r="AV172" s="21">
        <f>EXP(-LN(2)/25)*AV171+(1-EXP(-LN(2)/25))/(LN(2)/25)*Calculateur!AQ172*Calculateur!AS172*VLOOKUP('Données projet'!$B$10,Paramètres!$A$1:$I$89,3,0)*0.475*44/12</f>
        <v>0.25877231273929546</v>
      </c>
      <c r="AW172" s="21">
        <f>EXP(-LN(2)/2)*AW171+(1-EXP(-LN(2)/2))/(LN(2)/2)*AQ172*AT172*VLOOKUP('Données projet'!$B$10,Paramètres!$A$1:$I$89,3,0)*0.475*44/12</f>
        <v>1.4920328366071129E-20</v>
      </c>
      <c r="AX172" s="21">
        <f t="shared" si="166"/>
        <v>1.1031503936874483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405.7176439604217</v>
      </c>
      <c r="BJ172" s="59">
        <f t="shared" si="146"/>
        <v>278.21741231699929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0.46591407510401495</v>
      </c>
      <c r="BQ172" s="21">
        <f>EXP(-LN(2)/25)*BQ171+(1-EXP(-LN(2)/25))/(LN(2)/25)*Calculateur!BL172*Calculateur!BN172*VLOOKUP('Données projet'!$B$11,Paramètres!$A$1:$I$89,3,0)*0.475*44/12</f>
        <v>0.19850441022052026</v>
      </c>
      <c r="BR172" s="21">
        <f>EXP(-LN(2)/2)*BR171+(1-EXP(-LN(2)/2))/(LN(2)/2)*BL172*BO172*VLOOKUP('Données projet'!$B$11,Paramètres!$A$1:$I$89,3,0)*0.475*44/12</f>
        <v>1.0223752048223609E-20</v>
      </c>
      <c r="BS172" s="22">
        <f t="shared" si="169"/>
        <v>0.66441848532453518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1.9895196601282805E-13</v>
      </c>
      <c r="BZ172" s="13">
        <f>BY172*VLOOKUP('Données projet'!$B$12,Paramètres!$A$1:$I$89,3,0)*VLOOKUP('Données projet'!$B$12,Paramètres!$A$1:$I$89,5,0)</f>
        <v>1.738044375088066E-13</v>
      </c>
      <c r="CA172" s="13">
        <f t="shared" si="170"/>
        <v>2.4483293633950478E-12</v>
      </c>
      <c r="CB172" s="20">
        <f t="shared" si="171"/>
        <v>4.566883036574213E-12</v>
      </c>
      <c r="CC172" s="59">
        <f t="shared" si="119"/>
        <v>293.33333333333786</v>
      </c>
      <c r="CD172" s="59">
        <f ca="1">AVERAGE(OFFSET($CC$3,0,0,'Données projet'!$E$12+1,1))-AVERAGE(OFFSET($H$3,0,0,'Données projet'!$E$12+1,1))</f>
        <v>321.23599968992932</v>
      </c>
      <c r="CE172" s="59">
        <f t="shared" si="148"/>
        <v>388.05195847800502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0.23296556811775884</v>
      </c>
      <c r="CL172" s="21">
        <f>EXP(-LN(2)/25)*CL171+(1-EXP(-LN(2)/25))/(LN(2)/25)*Calculateur!CG172*Calculateur!CI172*VLOOKUP('Données projet'!$B$12,Paramètres!$A$1:$I$89,3,0)*0.475*44/12</f>
        <v>0.44724490841074932</v>
      </c>
      <c r="CM172" s="21">
        <f>EXP(-LN(2)/2)*CM171+(1-EXP(-LN(2)/2))/(LN(2)/2)*CG172*CJ172*VLOOKUP('Données projet'!$B$12,Paramètres!$A$1:$I$89,3,0)*0.475*44/12</f>
        <v>1.4449952370873482E-20</v>
      </c>
      <c r="CN172" s="22">
        <f t="shared" si="172"/>
        <v>0.68021047652850819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-1.0995790944434703E-13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399.24912109442175</v>
      </c>
      <c r="CZ172" s="59">
        <f t="shared" si="150"/>
        <v>269.83150082245305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-1.223725121235475E-13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439.66981240211362</v>
      </c>
      <c r="DU172" s="59">
        <f t="shared" si="152"/>
        <v>295.47805371292458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-1.0818439477588981E-13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393.46715670823653</v>
      </c>
      <c r="EP172" s="59">
        <f t="shared" si="154"/>
        <v>266.16261355327214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549.43232095729741</v>
      </c>
      <c r="T173" s="59">
        <f t="shared" si="142"/>
        <v>280.26155987300996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0.78304069042965307</v>
      </c>
      <c r="AA173" s="21">
        <f>EXP(-LN(2)/25)*AA172+(1-EXP(-LN(2)/25))/(LN(2)/25)*Calculateur!V173*Calculateur!X173*VLOOKUP('Données projet'!$B$9,Paramètres!$A$1:$I$89,3,0)*0.475*44/12</f>
        <v>0.19705625120869644</v>
      </c>
      <c r="AB173" s="21">
        <f>EXP(-LN(2)/2)*AB172+(1-EXP(-LN(2)/2))/(LN(2)/2)*V173*Y173*VLOOKUP('Données projet'!$B$9,Paramètres!$A$1:$I$89,3,0)*0.475*44/12</f>
        <v>3.8160469059727238E-21</v>
      </c>
      <c r="AC173" s="22">
        <f t="shared" si="163"/>
        <v>0.98009694163834948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348.62416478262719</v>
      </c>
      <c r="AO173" s="59">
        <f t="shared" si="144"/>
        <v>371.70674704563288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0.82782034180053499</v>
      </c>
      <c r="AV173" s="21">
        <f>EXP(-LN(2)/25)*AV172+(1-EXP(-LN(2)/25))/(LN(2)/25)*Calculateur!AQ173*Calculateur!AS173*VLOOKUP('Données projet'!$B$10,Paramètres!$A$1:$I$89,3,0)*0.475*44/12</f>
        <v>0.25169617023919494</v>
      </c>
      <c r="AW173" s="21">
        <f>EXP(-LN(2)/2)*AW172+(1-EXP(-LN(2)/2))/(LN(2)/2)*AQ173*AT173*VLOOKUP('Données projet'!$B$10,Paramètres!$A$1:$I$89,3,0)*0.475*44/12</f>
        <v>1.0550265365178896E-20</v>
      </c>
      <c r="AX173" s="21">
        <f t="shared" si="166"/>
        <v>1.0795165120397299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405.7176439604217</v>
      </c>
      <c r="BJ173" s="59">
        <f t="shared" si="146"/>
        <v>278.21741231699929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0.45677778427075061</v>
      </c>
      <c r="BQ173" s="21">
        <f>EXP(-LN(2)/25)*BQ172+(1-EXP(-LN(2)/25))/(LN(2)/25)*Calculateur!BL173*Calculateur!BN173*VLOOKUP('Données projet'!$B$11,Paramètres!$A$1:$I$89,3,0)*0.475*44/12</f>
        <v>0.19307629668414689</v>
      </c>
      <c r="BR173" s="21">
        <f>EXP(-LN(2)/2)*BR172+(1-EXP(-LN(2)/2))/(LN(2)/2)*BL173*BO173*VLOOKUP('Données projet'!$B$11,Paramètres!$A$1:$I$89,3,0)*0.475*44/12</f>
        <v>7.2292844024687683E-21</v>
      </c>
      <c r="BS173" s="22">
        <f t="shared" si="169"/>
        <v>0.6498540809548975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1.9895196601282805E-13</v>
      </c>
      <c r="BZ173" s="13">
        <f>BY173*VLOOKUP('Données projet'!$B$12,Paramètres!$A$1:$I$89,3,0)*VLOOKUP('Données projet'!$B$12,Paramètres!$A$1:$I$89,5,0)</f>
        <v>1.738044375088066E-13</v>
      </c>
      <c r="CA173" s="13">
        <f t="shared" si="170"/>
        <v>2.4483293633950478E-12</v>
      </c>
      <c r="CB173" s="20">
        <f t="shared" si="171"/>
        <v>4.566883036574213E-12</v>
      </c>
      <c r="CC173" s="59">
        <f t="shared" si="119"/>
        <v>293.33333333333786</v>
      </c>
      <c r="CD173" s="59">
        <f ca="1">AVERAGE(OFFSET($CC$3,0,0,'Données projet'!$E$12+1,1))-AVERAGE(OFFSET($H$3,0,0,'Données projet'!$E$12+1,1))</f>
        <v>321.23599968992932</v>
      </c>
      <c r="CE173" s="59">
        <f t="shared" si="148"/>
        <v>388.05195847800502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0.22839725542193542</v>
      </c>
      <c r="CL173" s="21">
        <f>EXP(-LN(2)/25)*CL172+(1-EXP(-LN(2)/25))/(LN(2)/25)*Calculateur!CG173*Calculateur!CI173*VLOOKUP('Données projet'!$B$12,Paramètres!$A$1:$I$89,3,0)*0.475*44/12</f>
        <v>0.43501497287066981</v>
      </c>
      <c r="CM173" s="21">
        <f>EXP(-LN(2)/2)*CM172+(1-EXP(-LN(2)/2))/(LN(2)/2)*CG173*CJ173*VLOOKUP('Données projet'!$B$12,Paramètres!$A$1:$I$89,3,0)*0.475*44/12</f>
        <v>1.0217659309267269E-20</v>
      </c>
      <c r="CN173" s="22">
        <f t="shared" si="172"/>
        <v>0.66341222829260527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-1.0995790944434703E-13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399.24912109442175</v>
      </c>
      <c r="CZ173" s="59">
        <f t="shared" si="150"/>
        <v>269.83150082245305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-1.223725121235475E-13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439.66981240211362</v>
      </c>
      <c r="DU173" s="59">
        <f t="shared" si="152"/>
        <v>295.47805371292458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-1.0818439477588981E-13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393.46715670823653</v>
      </c>
      <c r="EP173" s="59">
        <f t="shared" si="154"/>
        <v>266.16261355327214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549.43232095729741</v>
      </c>
      <c r="T174" s="59">
        <f t="shared" si="142"/>
        <v>280.26155987300996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0.76768574009798896</v>
      </c>
      <c r="AA174" s="21">
        <f>EXP(-LN(2)/25)*AA173+(1-EXP(-LN(2)/25))/(LN(2)/25)*Calculateur!V174*Calculateur!X174*VLOOKUP('Données projet'!$B$9,Paramètres!$A$1:$I$89,3,0)*0.475*44/12</f>
        <v>0.19166773765665676</v>
      </c>
      <c r="AB174" s="21">
        <f>EXP(-LN(2)/2)*AB173+(1-EXP(-LN(2)/2))/(LN(2)/2)*V174*Y174*VLOOKUP('Données projet'!$B$9,Paramètres!$A$1:$I$89,3,0)*0.475*44/12</f>
        <v>2.6983526445392565E-21</v>
      </c>
      <c r="AC174" s="22">
        <f t="shared" si="163"/>
        <v>0.95935347775464574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348.62416478262719</v>
      </c>
      <c r="AO174" s="59">
        <f t="shared" si="144"/>
        <v>371.70674704563288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0.81158728981837824</v>
      </c>
      <c r="AV174" s="21">
        <f>EXP(-LN(2)/25)*AV173+(1-EXP(-LN(2)/25))/(LN(2)/25)*Calculateur!AQ174*Calculateur!AS174*VLOOKUP('Données projet'!$B$10,Paramètres!$A$1:$I$89,3,0)*0.475*44/12</f>
        <v>0.24481352522787783</v>
      </c>
      <c r="AW174" s="21">
        <f>EXP(-LN(2)/2)*AW173+(1-EXP(-LN(2)/2))/(LN(2)/2)*AQ174*AT174*VLOOKUP('Données projet'!$B$10,Paramètres!$A$1:$I$89,3,0)*0.475*44/12</f>
        <v>7.4601641830355647E-21</v>
      </c>
      <c r="AX174" s="21">
        <f t="shared" si="166"/>
        <v>1.056400815046256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405.7176439604217</v>
      </c>
      <c r="BJ174" s="59">
        <f t="shared" si="146"/>
        <v>278.21741231699929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0.44782065052813946</v>
      </c>
      <c r="BQ174" s="21">
        <f>EXP(-LN(2)/25)*BQ173+(1-EXP(-LN(2)/25))/(LN(2)/25)*Calculateur!BL174*Calculateur!BN174*VLOOKUP('Données projet'!$B$11,Paramètres!$A$1:$I$89,3,0)*0.475*44/12</f>
        <v>0.18779661519787774</v>
      </c>
      <c r="BR174" s="21">
        <f>EXP(-LN(2)/2)*BR173+(1-EXP(-LN(2)/2))/(LN(2)/2)*BL174*BO174*VLOOKUP('Données projet'!$B$11,Paramètres!$A$1:$I$89,3,0)*0.475*44/12</f>
        <v>5.1118760241118044E-21</v>
      </c>
      <c r="BS174" s="22">
        <f t="shared" si="169"/>
        <v>0.63561726572601718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1.9895196601282805E-13</v>
      </c>
      <c r="BZ174" s="13">
        <f>BY174*VLOOKUP('Données projet'!$B$12,Paramètres!$A$1:$I$89,3,0)*VLOOKUP('Données projet'!$B$12,Paramètres!$A$1:$I$89,5,0)</f>
        <v>1.738044375088066E-13</v>
      </c>
      <c r="CA174" s="13">
        <f t="shared" si="170"/>
        <v>2.4483293633950478E-12</v>
      </c>
      <c r="CB174" s="20">
        <f t="shared" si="171"/>
        <v>4.566883036574213E-12</v>
      </c>
      <c r="CC174" s="59">
        <f t="shared" si="119"/>
        <v>293.33333333333786</v>
      </c>
      <c r="CD174" s="59">
        <f ca="1">AVERAGE(OFFSET($CC$3,0,0,'Données projet'!$E$12+1,1))-AVERAGE(OFFSET($H$3,0,0,'Données projet'!$E$12+1,1))</f>
        <v>321.23599968992932</v>
      </c>
      <c r="CE174" s="59">
        <f t="shared" si="148"/>
        <v>388.05195847800502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0.22391852455168149</v>
      </c>
      <c r="CL174" s="21">
        <f>EXP(-LN(2)/25)*CL173+(1-EXP(-LN(2)/25))/(LN(2)/25)*Calculateur!CG174*Calculateur!CI174*VLOOKUP('Données projet'!$B$12,Paramètres!$A$1:$I$89,3,0)*0.475*44/12</f>
        <v>0.42311946556107816</v>
      </c>
      <c r="CM174" s="21">
        <f>EXP(-LN(2)/2)*CM173+(1-EXP(-LN(2)/2))/(LN(2)/2)*CG174*CJ174*VLOOKUP('Données projet'!$B$12,Paramètres!$A$1:$I$89,3,0)*0.475*44/12</f>
        <v>7.2249761854367411E-21</v>
      </c>
      <c r="CN174" s="22">
        <f t="shared" si="172"/>
        <v>0.64703799011275964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-1.0995790944434703E-13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399.24912109442175</v>
      </c>
      <c r="CZ174" s="59">
        <f t="shared" si="150"/>
        <v>269.83150082245305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-1.223725121235475E-13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439.66981240211362</v>
      </c>
      <c r="DU174" s="59">
        <f t="shared" si="152"/>
        <v>295.47805371292458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-1.0818439477588981E-13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393.46715670823653</v>
      </c>
      <c r="EP174" s="59">
        <f t="shared" si="154"/>
        <v>266.16261355327214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549.43232095729741</v>
      </c>
      <c r="T175" s="59">
        <f t="shared" si="142"/>
        <v>280.26155987300996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0.75263189097673378</v>
      </c>
      <c r="AA175" s="21">
        <f>EXP(-LN(2)/25)*AA174+(1-EXP(-LN(2)/25))/(LN(2)/25)*Calculateur!V175*Calculateur!X175*VLOOKUP('Données projet'!$B$9,Paramètres!$A$1:$I$89,3,0)*0.475*44/12</f>
        <v>0.18642657329106721</v>
      </c>
      <c r="AB175" s="21">
        <f>EXP(-LN(2)/2)*AB174+(1-EXP(-LN(2)/2))/(LN(2)/2)*V175*Y175*VLOOKUP('Données projet'!$B$9,Paramètres!$A$1:$I$89,3,0)*0.475*44/12</f>
        <v>1.9080234529863619E-21</v>
      </c>
      <c r="AC175" s="22">
        <f t="shared" si="163"/>
        <v>0.93905846426780104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348.62416478262719</v>
      </c>
      <c r="AO175" s="59">
        <f t="shared" si="144"/>
        <v>371.70674704563288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0.79567255808440751</v>
      </c>
      <c r="AV175" s="21">
        <f>EXP(-LN(2)/25)*AV174+(1-EXP(-LN(2)/25))/(LN(2)/25)*Calculateur!AQ175*Calculateur!AS175*VLOOKUP('Données projet'!$B$10,Paramètres!$A$1:$I$89,3,0)*0.475*44/12</f>
        <v>0.23811908650633776</v>
      </c>
      <c r="AW175" s="21">
        <f>EXP(-LN(2)/2)*AW174+(1-EXP(-LN(2)/2))/(LN(2)/2)*AQ175*AT175*VLOOKUP('Données projet'!$B$10,Paramètres!$A$1:$I$89,3,0)*0.475*44/12</f>
        <v>5.2751326825894482E-21</v>
      </c>
      <c r="AX175" s="21">
        <f t="shared" si="166"/>
        <v>1.0337916445907454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405.7176439604217</v>
      </c>
      <c r="BJ175" s="59">
        <f t="shared" si="146"/>
        <v>278.21741231699929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0.43903916071490878</v>
      </c>
      <c r="BQ175" s="21">
        <f>EXP(-LN(2)/25)*BQ174+(1-EXP(-LN(2)/25))/(LN(2)/25)*Calculateur!BL175*Calculateur!BN175*VLOOKUP('Données projet'!$B$11,Paramètres!$A$1:$I$89,3,0)*0.475*44/12</f>
        <v>0.182661306879497</v>
      </c>
      <c r="BR175" s="21">
        <f>EXP(-LN(2)/2)*BR174+(1-EXP(-LN(2)/2))/(LN(2)/2)*BL175*BO175*VLOOKUP('Données projet'!$B$11,Paramètres!$A$1:$I$89,3,0)*0.475*44/12</f>
        <v>3.6146422012343841E-21</v>
      </c>
      <c r="BS175" s="22">
        <f t="shared" si="169"/>
        <v>0.62170046759440578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1.9895196601282805E-13</v>
      </c>
      <c r="BZ175" s="13">
        <f>BY175*VLOOKUP('Données projet'!$B$12,Paramètres!$A$1:$I$89,3,0)*VLOOKUP('Données projet'!$B$12,Paramètres!$A$1:$I$89,5,0)</f>
        <v>1.738044375088066E-13</v>
      </c>
      <c r="CA175" s="13">
        <f t="shared" si="170"/>
        <v>2.4483293633950478E-12</v>
      </c>
      <c r="CB175" s="20">
        <f t="shared" si="171"/>
        <v>4.566883036574213E-12</v>
      </c>
      <c r="CC175" s="59">
        <f t="shared" si="119"/>
        <v>293.33333333333786</v>
      </c>
      <c r="CD175" s="59">
        <f ca="1">AVERAGE(OFFSET($CC$3,0,0,'Données projet'!$E$12+1,1))-AVERAGE(OFFSET($H$3,0,0,'Données projet'!$E$12+1,1))</f>
        <v>321.23599968992932</v>
      </c>
      <c r="CE175" s="59">
        <f t="shared" si="148"/>
        <v>388.05195847800502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0.21952761886203714</v>
      </c>
      <c r="CL175" s="21">
        <f>EXP(-LN(2)/25)*CL174+(1-EXP(-LN(2)/25))/(LN(2)/25)*Calculateur!CG175*Calculateur!CI175*VLOOKUP('Données projet'!$B$12,Paramètres!$A$1:$I$89,3,0)*0.475*44/12</f>
        <v>0.41154924152442485</v>
      </c>
      <c r="CM175" s="21">
        <f>EXP(-LN(2)/2)*CM174+(1-EXP(-LN(2)/2))/(LN(2)/2)*CG175*CJ175*VLOOKUP('Données projet'!$B$12,Paramètres!$A$1:$I$89,3,0)*0.475*44/12</f>
        <v>5.1088296546336345E-21</v>
      </c>
      <c r="CN175" s="22">
        <f t="shared" si="172"/>
        <v>0.63107686038646205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-1.0995790944434703E-13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399.24912109442175</v>
      </c>
      <c r="CZ175" s="59">
        <f t="shared" si="150"/>
        <v>269.83150082245305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-1.223725121235475E-13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439.66981240211362</v>
      </c>
      <c r="DU175" s="59">
        <f t="shared" si="152"/>
        <v>295.47805371292458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-1.0818439477588981E-13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393.46715670823653</v>
      </c>
      <c r="EP175" s="59">
        <f t="shared" si="154"/>
        <v>266.16261355327214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549.43232095729741</v>
      </c>
      <c r="T176" s="59">
        <f t="shared" si="142"/>
        <v>280.26155987300996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0.73787323865480514</v>
      </c>
      <c r="AA176" s="21">
        <f>EXP(-LN(2)/25)*AA175+(1-EXP(-LN(2)/25))/(LN(2)/25)*Calculateur!V176*Calculateur!X176*VLOOKUP('Données projet'!$B$9,Paramètres!$A$1:$I$89,3,0)*0.475*44/12</f>
        <v>0.18132872884067558</v>
      </c>
      <c r="AB176" s="21">
        <f>EXP(-LN(2)/2)*AB175+(1-EXP(-LN(2)/2))/(LN(2)/2)*V176*Y176*VLOOKUP('Données projet'!$B$9,Paramètres!$A$1:$I$89,3,0)*0.475*44/12</f>
        <v>1.3491763222696283E-21</v>
      </c>
      <c r="AC176" s="22">
        <f t="shared" si="163"/>
        <v>0.91920196749548078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348.62416478262719</v>
      </c>
      <c r="AO176" s="59">
        <f t="shared" si="144"/>
        <v>371.70674704563288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0.78006990453271208</v>
      </c>
      <c r="AV176" s="21">
        <f>EXP(-LN(2)/25)*AV175+(1-EXP(-LN(2)/25))/(LN(2)/25)*Calculateur!AQ176*Calculateur!AS176*VLOOKUP('Données projet'!$B$10,Paramètres!$A$1:$I$89,3,0)*0.475*44/12</f>
        <v>0.23160770756368343</v>
      </c>
      <c r="AW176" s="21">
        <f>EXP(-LN(2)/2)*AW175+(1-EXP(-LN(2)/2))/(LN(2)/2)*AQ176*AT176*VLOOKUP('Données projet'!$B$10,Paramètres!$A$1:$I$89,3,0)*0.475*44/12</f>
        <v>3.7300820915177824E-21</v>
      </c>
      <c r="AX176" s="21">
        <f t="shared" si="166"/>
        <v>1.0116776120963955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405.7176439604217</v>
      </c>
      <c r="BJ176" s="59">
        <f t="shared" si="146"/>
        <v>278.21741231699929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0.43042987056073562</v>
      </c>
      <c r="BQ176" s="21">
        <f>EXP(-LN(2)/25)*BQ175+(1-EXP(-LN(2)/25))/(LN(2)/25)*Calculateur!BL176*Calculateur!BN176*VLOOKUP('Données projet'!$B$11,Paramètres!$A$1:$I$89,3,0)*0.475*44/12</f>
        <v>0.17766642383713649</v>
      </c>
      <c r="BR176" s="21">
        <f>EXP(-LN(2)/2)*BR175+(1-EXP(-LN(2)/2))/(LN(2)/2)*BL176*BO176*VLOOKUP('Données projet'!$B$11,Paramètres!$A$1:$I$89,3,0)*0.475*44/12</f>
        <v>2.5559380120559022E-21</v>
      </c>
      <c r="BS176" s="22">
        <f t="shared" si="169"/>
        <v>0.60809629439787205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1.9895196601282805E-13</v>
      </c>
      <c r="BZ176" s="13">
        <f>BY176*VLOOKUP('Données projet'!$B$12,Paramètres!$A$1:$I$89,3,0)*VLOOKUP('Données projet'!$B$12,Paramètres!$A$1:$I$89,5,0)</f>
        <v>1.738044375088066E-13</v>
      </c>
      <c r="CA176" s="13">
        <f t="shared" si="170"/>
        <v>2.4483293633950478E-12</v>
      </c>
      <c r="CB176" s="20">
        <f t="shared" si="171"/>
        <v>4.566883036574213E-12</v>
      </c>
      <c r="CC176" s="59">
        <f t="shared" si="119"/>
        <v>293.33333333333786</v>
      </c>
      <c r="CD176" s="59">
        <f ca="1">AVERAGE(OFFSET($CC$3,0,0,'Données projet'!$E$12+1,1))-AVERAGE(OFFSET($H$3,0,0,'Données projet'!$E$12+1,1))</f>
        <v>321.23599968992932</v>
      </c>
      <c r="CE176" s="59">
        <f t="shared" si="148"/>
        <v>388.05195847800502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0.2152228161547787</v>
      </c>
      <c r="CL176" s="21">
        <f>EXP(-LN(2)/25)*CL175+(1-EXP(-LN(2)/25))/(LN(2)/25)*Calculateur!CG176*Calculateur!CI176*VLOOKUP('Données projet'!$B$12,Paramètres!$A$1:$I$89,3,0)*0.475*44/12</f>
        <v>0.40029540587250545</v>
      </c>
      <c r="CM176" s="21">
        <f>EXP(-LN(2)/2)*CM175+(1-EXP(-LN(2)/2))/(LN(2)/2)*CG176*CJ176*VLOOKUP('Données projet'!$B$12,Paramètres!$A$1:$I$89,3,0)*0.475*44/12</f>
        <v>3.6124880927183705E-21</v>
      </c>
      <c r="CN176" s="22">
        <f t="shared" si="172"/>
        <v>0.61551822202728412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-1.0995790944434703E-13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399.24912109442175</v>
      </c>
      <c r="CZ176" s="59">
        <f t="shared" si="150"/>
        <v>269.83150082245305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-1.223725121235475E-13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439.66981240211362</v>
      </c>
      <c r="DU176" s="59">
        <f t="shared" si="152"/>
        <v>295.47805371292458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-1.0818439477588981E-13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393.46715670823653</v>
      </c>
      <c r="EP176" s="59">
        <f t="shared" si="154"/>
        <v>266.16261355327214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549.43232095729741</v>
      </c>
      <c r="T177" s="59">
        <f t="shared" si="142"/>
        <v>280.26155987300996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0.7234039945030204</v>
      </c>
      <c r="AA177" s="21">
        <f>EXP(-LN(2)/25)*AA176+(1-EXP(-LN(2)/25))/(LN(2)/25)*Calculateur!V177*Calculateur!X177*VLOOKUP('Données projet'!$B$9,Paramètres!$A$1:$I$89,3,0)*0.475*44/12</f>
        <v>0.17637028521486389</v>
      </c>
      <c r="AB177" s="21">
        <f>EXP(-LN(2)/2)*AB176+(1-EXP(-LN(2)/2))/(LN(2)/2)*V177*Y177*VLOOKUP('Données projet'!$B$9,Paramètres!$A$1:$I$89,3,0)*0.475*44/12</f>
        <v>9.5401172649318096E-22</v>
      </c>
      <c r="AC177" s="22">
        <f t="shared" si="163"/>
        <v>0.89977427971788426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348.62416478262719</v>
      </c>
      <c r="AO177" s="59">
        <f t="shared" si="144"/>
        <v>371.70674704563288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0.76477320950048644</v>
      </c>
      <c r="AV177" s="21">
        <f>EXP(-LN(2)/25)*AV176+(1-EXP(-LN(2)/25))/(LN(2)/25)*Calculateur!AQ177*Calculateur!AS177*VLOOKUP('Données projet'!$B$10,Paramètres!$A$1:$I$89,3,0)*0.475*44/12</f>
        <v>0.22527438262063451</v>
      </c>
      <c r="AW177" s="21">
        <f>EXP(-LN(2)/2)*AW176+(1-EXP(-LN(2)/2))/(LN(2)/2)*AQ177*AT177*VLOOKUP('Données projet'!$B$10,Paramètres!$A$1:$I$89,3,0)*0.475*44/12</f>
        <v>2.6375663412947241E-21</v>
      </c>
      <c r="AX177" s="21">
        <f t="shared" si="166"/>
        <v>0.99004759212112092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405.7176439604217</v>
      </c>
      <c r="BJ177" s="59">
        <f t="shared" si="146"/>
        <v>278.21741231699929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0.42198940333533735</v>
      </c>
      <c r="BQ177" s="21">
        <f>EXP(-LN(2)/25)*BQ176+(1-EXP(-LN(2)/25))/(LN(2)/25)*Calculateur!BL177*Calculateur!BN177*VLOOKUP('Données projet'!$B$11,Paramètres!$A$1:$I$89,3,0)*0.475*44/12</f>
        <v>0.17280812613423882</v>
      </c>
      <c r="BR177" s="21">
        <f>EXP(-LN(2)/2)*BR176+(1-EXP(-LN(2)/2))/(LN(2)/2)*BL177*BO177*VLOOKUP('Données projet'!$B$11,Paramètres!$A$1:$I$89,3,0)*0.475*44/12</f>
        <v>1.8073211006171921E-21</v>
      </c>
      <c r="BS177" s="22">
        <f t="shared" si="169"/>
        <v>0.5947975294695762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1.9895196601282805E-13</v>
      </c>
      <c r="BZ177" s="13">
        <f>BY177*VLOOKUP('Données projet'!$B$12,Paramètres!$A$1:$I$89,3,0)*VLOOKUP('Données projet'!$B$12,Paramètres!$A$1:$I$89,5,0)</f>
        <v>1.738044375088066E-13</v>
      </c>
      <c r="CA177" s="13">
        <f t="shared" si="170"/>
        <v>2.4483293633950478E-12</v>
      </c>
      <c r="CB177" s="20">
        <f t="shared" si="171"/>
        <v>4.566883036574213E-12</v>
      </c>
      <c r="CC177" s="59">
        <f t="shared" si="119"/>
        <v>293.33333333333786</v>
      </c>
      <c r="CD177" s="59">
        <f ca="1">AVERAGE(OFFSET($CC$3,0,0,'Données projet'!$E$12+1,1))-AVERAGE(OFFSET($H$3,0,0,'Données projet'!$E$12+1,1))</f>
        <v>321.23599968992932</v>
      </c>
      <c r="CE177" s="59">
        <f t="shared" si="148"/>
        <v>388.05195847800502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0.21100242800293922</v>
      </c>
      <c r="CL177" s="21">
        <f>EXP(-LN(2)/25)*CL176+(1-EXP(-LN(2)/25))/(LN(2)/25)*Calculateur!CG177*Calculateur!CI177*VLOOKUP('Données projet'!$B$12,Paramètres!$A$1:$I$89,3,0)*0.475*44/12</f>
        <v>0.38934930694830128</v>
      </c>
      <c r="CM177" s="21">
        <f>EXP(-LN(2)/2)*CM176+(1-EXP(-LN(2)/2))/(LN(2)/2)*CG177*CJ177*VLOOKUP('Données projet'!$B$12,Paramètres!$A$1:$I$89,3,0)*0.475*44/12</f>
        <v>2.5544148273168173E-21</v>
      </c>
      <c r="CN177" s="22">
        <f t="shared" si="172"/>
        <v>0.6003517349512405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-1.0995790944434703E-13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399.24912109442175</v>
      </c>
      <c r="CZ177" s="59">
        <f t="shared" si="150"/>
        <v>269.83150082245305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-1.223725121235475E-13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439.66981240211362</v>
      </c>
      <c r="DU177" s="59">
        <f t="shared" si="152"/>
        <v>295.47805371292458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-1.0818439477588981E-13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393.46715670823653</v>
      </c>
      <c r="EP177" s="59">
        <f t="shared" si="154"/>
        <v>266.16261355327214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549.43232095729741</v>
      </c>
      <c r="T178" s="59">
        <f t="shared" si="142"/>
        <v>280.26155987300996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0.70921848340368465</v>
      </c>
      <c r="AA178" s="21">
        <f>EXP(-LN(2)/25)*AA177+(1-EXP(-LN(2)/25))/(LN(2)/25)*Calculateur!V178*Calculateur!X178*VLOOKUP('Données projet'!$B$9,Paramètres!$A$1:$I$89,3,0)*0.475*44/12</f>
        <v>0.17154743049075324</v>
      </c>
      <c r="AB178" s="21">
        <f>EXP(-LN(2)/2)*AB177+(1-EXP(-LN(2)/2))/(LN(2)/2)*V178*Y178*VLOOKUP('Données projet'!$B$9,Paramètres!$A$1:$I$89,3,0)*0.475*44/12</f>
        <v>6.7458816113481414E-22</v>
      </c>
      <c r="AC178" s="22">
        <f t="shared" si="163"/>
        <v>0.88076591389443792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348.62416478262719</v>
      </c>
      <c r="AO178" s="59">
        <f t="shared" si="144"/>
        <v>371.70674704563288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0.74977647332778008</v>
      </c>
      <c r="AV178" s="21">
        <f>EXP(-LN(2)/25)*AV177+(1-EXP(-LN(2)/25))/(LN(2)/25)*Calculateur!AQ178*Calculateur!AS178*VLOOKUP('Données projet'!$B$10,Paramètres!$A$1:$I$89,3,0)*0.475*44/12</f>
        <v>0.21911424278120836</v>
      </c>
      <c r="AW178" s="21">
        <f>EXP(-LN(2)/2)*AW177+(1-EXP(-LN(2)/2))/(LN(2)/2)*AQ178*AT178*VLOOKUP('Données projet'!$B$10,Paramètres!$A$1:$I$89,3,0)*0.475*44/12</f>
        <v>1.8650410457588912E-21</v>
      </c>
      <c r="AX178" s="21">
        <f t="shared" si="166"/>
        <v>0.96889071610898847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405.7176439604217</v>
      </c>
      <c r="BJ178" s="59">
        <f t="shared" si="146"/>
        <v>278.21741231699929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0.41371444852405248</v>
      </c>
      <c r="BQ178" s="21">
        <f>EXP(-LN(2)/25)*BQ177+(1-EXP(-LN(2)/25))/(LN(2)/25)*Calculateur!BL178*Calculateur!BN178*VLOOKUP('Données projet'!$B$11,Paramètres!$A$1:$I$89,3,0)*0.475*44/12</f>
        <v>0.16808267883751365</v>
      </c>
      <c r="BR178" s="21">
        <f>EXP(-LN(2)/2)*BR177+(1-EXP(-LN(2)/2))/(LN(2)/2)*BL178*BO178*VLOOKUP('Données projet'!$B$11,Paramètres!$A$1:$I$89,3,0)*0.475*44/12</f>
        <v>1.2779690060279511E-21</v>
      </c>
      <c r="BS178" s="22">
        <f t="shared" si="169"/>
        <v>0.58179712736156608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1.9895196601282805E-13</v>
      </c>
      <c r="BZ178" s="13">
        <f>BY178*VLOOKUP('Données projet'!$B$12,Paramètres!$A$1:$I$89,3,0)*VLOOKUP('Données projet'!$B$12,Paramètres!$A$1:$I$89,5,0)</f>
        <v>1.738044375088066E-13</v>
      </c>
      <c r="CA178" s="13">
        <f t="shared" si="170"/>
        <v>2.4483293633950478E-12</v>
      </c>
      <c r="CB178" s="20">
        <f t="shared" si="171"/>
        <v>4.566883036574213E-12</v>
      </c>
      <c r="CC178" s="59">
        <f t="shared" si="119"/>
        <v>293.33333333333786</v>
      </c>
      <c r="CD178" s="59">
        <f ca="1">AVERAGE(OFFSET($CC$3,0,0,'Données projet'!$E$12+1,1))-AVERAGE(OFFSET($H$3,0,0,'Données projet'!$E$12+1,1))</f>
        <v>321.23599968992932</v>
      </c>
      <c r="CE178" s="59">
        <f t="shared" si="148"/>
        <v>388.05195847800502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0.20686479908857472</v>
      </c>
      <c r="CL178" s="21">
        <f>EXP(-LN(2)/25)*CL177+(1-EXP(-LN(2)/25))/(LN(2)/25)*Calculateur!CG178*Calculateur!CI178*VLOOKUP('Données projet'!$B$12,Paramètres!$A$1:$I$89,3,0)*0.475*44/12</f>
        <v>0.37870252967480977</v>
      </c>
      <c r="CM178" s="21">
        <f>EXP(-LN(2)/2)*CM177+(1-EXP(-LN(2)/2))/(LN(2)/2)*CG178*CJ178*VLOOKUP('Données projet'!$B$12,Paramètres!$A$1:$I$89,3,0)*0.475*44/12</f>
        <v>1.8062440463591853E-21</v>
      </c>
      <c r="CN178" s="22">
        <f t="shared" si="172"/>
        <v>0.58556732876338446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-1.0995790944434703E-13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399.24912109442175</v>
      </c>
      <c r="CZ178" s="59">
        <f t="shared" si="150"/>
        <v>269.83150082245305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-1.223725121235475E-13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439.66981240211362</v>
      </c>
      <c r="DU178" s="59">
        <f t="shared" si="152"/>
        <v>295.47805371292458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-1.0818439477588981E-13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393.46715670823653</v>
      </c>
      <c r="EP178" s="59">
        <f t="shared" si="154"/>
        <v>266.16261355327214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549.43232095729741</v>
      </c>
      <c r="T179" s="59">
        <f t="shared" si="142"/>
        <v>280.26155987300996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0.69531114152469953</v>
      </c>
      <c r="AA179" s="21">
        <f>EXP(-LN(2)/25)*AA178+(1-EXP(-LN(2)/25))/(LN(2)/25)*Calculateur!V179*Calculateur!X179*VLOOKUP('Données projet'!$B$9,Paramètres!$A$1:$I$89,3,0)*0.475*44/12</f>
        <v>0.1668564569826963</v>
      </c>
      <c r="AB179" s="21">
        <f>EXP(-LN(2)/2)*AB178+(1-EXP(-LN(2)/2))/(LN(2)/2)*V179*Y179*VLOOKUP('Données projet'!$B$9,Paramètres!$A$1:$I$89,3,0)*0.475*44/12</f>
        <v>4.7700586324659048E-22</v>
      </c>
      <c r="AC179" s="22">
        <f t="shared" si="163"/>
        <v>0.86216759850739577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348.62416478262719</v>
      </c>
      <c r="AO179" s="59">
        <f t="shared" si="144"/>
        <v>371.70674704563288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0.7350738140043146</v>
      </c>
      <c r="AV179" s="21">
        <f>EXP(-LN(2)/25)*AV178+(1-EXP(-LN(2)/25))/(LN(2)/25)*Calculateur!AQ179*Calculateur!AS179*VLOOKUP('Données projet'!$B$10,Paramètres!$A$1:$I$89,3,0)*0.475*44/12</f>
        <v>0.21312255228963897</v>
      </c>
      <c r="AW179" s="21">
        <f>EXP(-LN(2)/2)*AW178+(1-EXP(-LN(2)/2))/(LN(2)/2)*AQ179*AT179*VLOOKUP('Données projet'!$B$10,Paramètres!$A$1:$I$89,3,0)*0.475*44/12</f>
        <v>1.318783170647362E-21</v>
      </c>
      <c r="AX179" s="21">
        <f t="shared" si="166"/>
        <v>0.94819636629395354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405.7176439604217</v>
      </c>
      <c r="BJ179" s="59">
        <f t="shared" si="146"/>
        <v>278.21741231699929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0.40560176052939284</v>
      </c>
      <c r="BQ179" s="21">
        <f>EXP(-LN(2)/25)*BQ178+(1-EXP(-LN(2)/25))/(LN(2)/25)*Calculateur!BL179*Calculateur!BN179*VLOOKUP('Données projet'!$B$11,Paramètres!$A$1:$I$89,3,0)*0.475*44/12</f>
        <v>0.16348644914561791</v>
      </c>
      <c r="BR179" s="21">
        <f>EXP(-LN(2)/2)*BR178+(1-EXP(-LN(2)/2))/(LN(2)/2)*BL179*BO179*VLOOKUP('Données projet'!$B$11,Paramètres!$A$1:$I$89,3,0)*0.475*44/12</f>
        <v>9.0366055030859604E-22</v>
      </c>
      <c r="BS179" s="22">
        <f t="shared" si="169"/>
        <v>0.56908820967501073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1.9895196601282805E-13</v>
      </c>
      <c r="BZ179" s="13">
        <f>BY179*VLOOKUP('Données projet'!$B$12,Paramètres!$A$1:$I$89,3,0)*VLOOKUP('Données projet'!$B$12,Paramètres!$A$1:$I$89,5,0)</f>
        <v>1.738044375088066E-13</v>
      </c>
      <c r="CA179" s="13">
        <f t="shared" si="170"/>
        <v>2.4483293633950478E-12</v>
      </c>
      <c r="CB179" s="20">
        <f t="shared" si="171"/>
        <v>4.566883036574213E-12</v>
      </c>
      <c r="CC179" s="59">
        <f t="shared" si="119"/>
        <v>293.33333333333786</v>
      </c>
      <c r="CD179" s="59">
        <f ca="1">AVERAGE(OFFSET($CC$3,0,0,'Données projet'!$E$12+1,1))-AVERAGE(OFFSET($H$3,0,0,'Données projet'!$E$12+1,1))</f>
        <v>321.23599968992932</v>
      </c>
      <c r="CE179" s="59">
        <f t="shared" si="148"/>
        <v>388.05195847800502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0.20280830655351645</v>
      </c>
      <c r="CL179" s="21">
        <f>EXP(-LN(2)/25)*CL178+(1-EXP(-LN(2)/25))/(LN(2)/25)*Calculateur!CG179*Calculateur!CI179*VLOOKUP('Données projet'!$B$12,Paramètres!$A$1:$I$89,3,0)*0.475*44/12</f>
        <v>0.36834688908575158</v>
      </c>
      <c r="CM179" s="21">
        <f>EXP(-LN(2)/2)*CM178+(1-EXP(-LN(2)/2))/(LN(2)/2)*CG179*CJ179*VLOOKUP('Données projet'!$B$12,Paramètres!$A$1:$I$89,3,0)*0.475*44/12</f>
        <v>1.2772074136584086E-21</v>
      </c>
      <c r="CN179" s="22">
        <f t="shared" si="172"/>
        <v>0.57115519563926798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-1.0995790944434703E-13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399.24912109442175</v>
      </c>
      <c r="CZ179" s="59">
        <f t="shared" si="150"/>
        <v>269.83150082245305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-1.223725121235475E-13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439.66981240211362</v>
      </c>
      <c r="DU179" s="59">
        <f t="shared" si="152"/>
        <v>295.47805371292458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-1.0818439477588981E-13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393.46715670823653</v>
      </c>
      <c r="EP179" s="59">
        <f t="shared" si="154"/>
        <v>266.16261355327214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549.43232095729741</v>
      </c>
      <c r="T180" s="59">
        <f t="shared" si="142"/>
        <v>280.26155987300996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0.68167651413732033</v>
      </c>
      <c r="AA180" s="21">
        <f>EXP(-LN(2)/25)*AA179+(1-EXP(-LN(2)/25))/(LN(2)/25)*Calculateur!V180*Calculateur!X180*VLOOKUP('Données projet'!$B$9,Paramètres!$A$1:$I$89,3,0)*0.475*44/12</f>
        <v>0.16229375839190474</v>
      </c>
      <c r="AB180" s="21">
        <f>EXP(-LN(2)/2)*AB179+(1-EXP(-LN(2)/2))/(LN(2)/2)*V180*Y180*VLOOKUP('Données projet'!$B$9,Paramètres!$A$1:$I$89,3,0)*0.475*44/12</f>
        <v>3.3729408056740707E-22</v>
      </c>
      <c r="AC180" s="22">
        <f t="shared" si="163"/>
        <v>0.84397027252922507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348.62416478262719</v>
      </c>
      <c r="AO180" s="59">
        <f t="shared" si="144"/>
        <v>371.70674704563288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0.72065946486244559</v>
      </c>
      <c r="AV180" s="21">
        <f>EXP(-LN(2)/25)*AV179+(1-EXP(-LN(2)/25))/(LN(2)/25)*Calculateur!AQ180*Calculateur!AS180*VLOOKUP('Données projet'!$B$10,Paramètres!$A$1:$I$89,3,0)*0.475*44/12</f>
        <v>0.20729470488965088</v>
      </c>
      <c r="AW180" s="21">
        <f>EXP(-LN(2)/2)*AW179+(1-EXP(-LN(2)/2))/(LN(2)/2)*AQ180*AT180*VLOOKUP('Données projet'!$B$10,Paramètres!$A$1:$I$89,3,0)*0.475*44/12</f>
        <v>9.3252052287944559E-22</v>
      </c>
      <c r="AX180" s="21">
        <f t="shared" si="166"/>
        <v>0.92795416975209644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405.7176439604217</v>
      </c>
      <c r="BJ180" s="59">
        <f t="shared" si="146"/>
        <v>278.21741231699929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0.39764815739805737</v>
      </c>
      <c r="BQ180" s="21">
        <f>EXP(-LN(2)/25)*BQ179+(1-EXP(-LN(2)/25))/(LN(2)/25)*Calculateur!BL180*Calculateur!BN180*VLOOKUP('Données projet'!$B$11,Paramètres!$A$1:$I$89,3,0)*0.475*44/12</f>
        <v>0.15901590359635229</v>
      </c>
      <c r="BR180" s="21">
        <f>EXP(-LN(2)/2)*BR179+(1-EXP(-LN(2)/2))/(LN(2)/2)*BL180*BO180*VLOOKUP('Données projet'!$B$11,Paramètres!$A$1:$I$89,3,0)*0.475*44/12</f>
        <v>6.3898450301397555E-22</v>
      </c>
      <c r="BS180" s="22">
        <f t="shared" si="169"/>
        <v>0.55666406099440968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1.9895196601282805E-13</v>
      </c>
      <c r="BZ180" s="13">
        <f>BY180*VLOOKUP('Données projet'!$B$12,Paramètres!$A$1:$I$89,3,0)*VLOOKUP('Données projet'!$B$12,Paramètres!$A$1:$I$89,5,0)</f>
        <v>1.738044375088066E-13</v>
      </c>
      <c r="CA180" s="13">
        <f t="shared" si="170"/>
        <v>2.4483293633950478E-12</v>
      </c>
      <c r="CB180" s="20">
        <f t="shared" si="171"/>
        <v>4.566883036574213E-12</v>
      </c>
      <c r="CC180" s="59">
        <f t="shared" si="119"/>
        <v>293.33333333333786</v>
      </c>
      <c r="CD180" s="59">
        <f ca="1">AVERAGE(OFFSET($CC$3,0,0,'Données projet'!$E$12+1,1))-AVERAGE(OFFSET($H$3,0,0,'Données projet'!$E$12+1,1))</f>
        <v>321.23599968992932</v>
      </c>
      <c r="CE180" s="59">
        <f t="shared" si="148"/>
        <v>388.05195847800502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0.19883135936285454</v>
      </c>
      <c r="CL180" s="21">
        <f>EXP(-LN(2)/25)*CL179+(1-EXP(-LN(2)/25))/(LN(2)/25)*Calculateur!CG180*Calculateur!CI180*VLOOKUP('Données projet'!$B$12,Paramètres!$A$1:$I$89,3,0)*0.475*44/12</f>
        <v>0.35827442403318066</v>
      </c>
      <c r="CM180" s="21">
        <f>EXP(-LN(2)/2)*CM179+(1-EXP(-LN(2)/2))/(LN(2)/2)*CG180*CJ180*VLOOKUP('Données projet'!$B$12,Paramètres!$A$1:$I$89,3,0)*0.475*44/12</f>
        <v>9.0312202317959263E-22</v>
      </c>
      <c r="CN180" s="22">
        <f t="shared" si="172"/>
        <v>0.55710578339603523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-1.0995790944434703E-13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399.24912109442175</v>
      </c>
      <c r="CZ180" s="59">
        <f t="shared" si="150"/>
        <v>269.83150082245305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-1.223725121235475E-13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439.66981240211362</v>
      </c>
      <c r="DU180" s="59">
        <f t="shared" si="152"/>
        <v>295.47805371292458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-1.0818439477588981E-13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393.46715670823653</v>
      </c>
      <c r="EP180" s="59">
        <f t="shared" si="154"/>
        <v>266.16261355327214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549.43232095729741</v>
      </c>
      <c r="T181" s="59">
        <f t="shared" si="142"/>
        <v>280.26155987300996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0.66830925347670611</v>
      </c>
      <c r="AA181" s="21">
        <f>EXP(-LN(2)/25)*AA180+(1-EXP(-LN(2)/25))/(LN(2)/25)*Calculateur!V181*Calculateur!X181*VLOOKUP('Données projet'!$B$9,Paramètres!$A$1:$I$89,3,0)*0.475*44/12</f>
        <v>0.15785582703402029</v>
      </c>
      <c r="AB181" s="21">
        <f>EXP(-LN(2)/2)*AB180+(1-EXP(-LN(2)/2))/(LN(2)/2)*V181*Y181*VLOOKUP('Données projet'!$B$9,Paramètres!$A$1:$I$89,3,0)*0.475*44/12</f>
        <v>2.3850293162329524E-22</v>
      </c>
      <c r="AC181" s="22">
        <f t="shared" si="163"/>
        <v>0.82616508051072635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348.62416478262719</v>
      </c>
      <c r="AO181" s="59">
        <f t="shared" si="144"/>
        <v>371.70674704563288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0.70652777231536379</v>
      </c>
      <c r="AV181" s="21">
        <f>EXP(-LN(2)/25)*AV180+(1-EXP(-LN(2)/25))/(LN(2)/25)*Calculateur!AQ181*Calculateur!AS181*VLOOKUP('Données projet'!$B$10,Paramètres!$A$1:$I$89,3,0)*0.475*44/12</f>
        <v>0.20162622028328861</v>
      </c>
      <c r="AW181" s="21">
        <f>EXP(-LN(2)/2)*AW180+(1-EXP(-LN(2)/2))/(LN(2)/2)*AQ181*AT181*VLOOKUP('Données projet'!$B$10,Paramètres!$A$1:$I$89,3,0)*0.475*44/12</f>
        <v>6.5939158532368102E-22</v>
      </c>
      <c r="AX181" s="21">
        <f t="shared" si="166"/>
        <v>0.90815399259865237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405.7176439604217</v>
      </c>
      <c r="BJ181" s="59">
        <f t="shared" si="146"/>
        <v>278.21741231699929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0.3898505195729085</v>
      </c>
      <c r="BQ181" s="21">
        <f>EXP(-LN(2)/25)*BQ180+(1-EXP(-LN(2)/25))/(LN(2)/25)*Calculateur!BL181*Calculateur!BN181*VLOOKUP('Données projet'!$B$11,Paramètres!$A$1:$I$89,3,0)*0.475*44/12</f>
        <v>0.15466760535022711</v>
      </c>
      <c r="BR181" s="21">
        <f>EXP(-LN(2)/2)*BR180+(1-EXP(-LN(2)/2))/(LN(2)/2)*BL181*BO181*VLOOKUP('Données projet'!$B$11,Paramètres!$A$1:$I$89,3,0)*0.475*44/12</f>
        <v>4.5183027515429802E-22</v>
      </c>
      <c r="BS181" s="22">
        <f t="shared" si="169"/>
        <v>0.54451812492313567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1.9895196601282805E-13</v>
      </c>
      <c r="BZ181" s="13">
        <f>BY181*VLOOKUP('Données projet'!$B$12,Paramètres!$A$1:$I$89,3,0)*VLOOKUP('Données projet'!$B$12,Paramètres!$A$1:$I$89,5,0)</f>
        <v>1.738044375088066E-13</v>
      </c>
      <c r="CA181" s="13">
        <f t="shared" si="170"/>
        <v>2.4483293633950478E-12</v>
      </c>
      <c r="CB181" s="20">
        <f t="shared" si="171"/>
        <v>4.566883036574213E-12</v>
      </c>
      <c r="CC181" s="59">
        <f t="shared" si="119"/>
        <v>293.33333333333786</v>
      </c>
      <c r="CD181" s="59">
        <f ca="1">AVERAGE(OFFSET($CC$3,0,0,'Données projet'!$E$12+1,1))-AVERAGE(OFFSET($H$3,0,0,'Données projet'!$E$12+1,1))</f>
        <v>321.23599968992932</v>
      </c>
      <c r="CE181" s="59">
        <f t="shared" si="148"/>
        <v>388.05195847800502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0.19493239768090326</v>
      </c>
      <c r="CL181" s="21">
        <f>EXP(-LN(2)/25)*CL180+(1-EXP(-LN(2)/25))/(LN(2)/25)*Calculateur!CG181*Calculateur!CI181*VLOOKUP('Données projet'!$B$12,Paramètres!$A$1:$I$89,3,0)*0.475*44/12</f>
        <v>0.34847739106716025</v>
      </c>
      <c r="CM181" s="21">
        <f>EXP(-LN(2)/2)*CM180+(1-EXP(-LN(2)/2))/(LN(2)/2)*CG181*CJ181*VLOOKUP('Données projet'!$B$12,Paramètres!$A$1:$I$89,3,0)*0.475*44/12</f>
        <v>6.3860370682920432E-22</v>
      </c>
      <c r="CN181" s="22">
        <f t="shared" si="172"/>
        <v>0.54340978874806356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-1.0995790944434703E-13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399.24912109442175</v>
      </c>
      <c r="CZ181" s="59">
        <f t="shared" si="150"/>
        <v>269.83150082245305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-1.223725121235475E-13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439.66981240211362</v>
      </c>
      <c r="DU181" s="59">
        <f t="shared" si="152"/>
        <v>295.47805371292458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-1.0818439477588981E-13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393.46715670823653</v>
      </c>
      <c r="EP181" s="59">
        <f t="shared" si="154"/>
        <v>266.16261355327214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549.43232095729741</v>
      </c>
      <c r="T182" s="59">
        <f t="shared" si="142"/>
        <v>280.26155987300996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0.65520411664442257</v>
      </c>
      <c r="AA182" s="21">
        <f>EXP(-LN(2)/25)*AA181+(1-EXP(-LN(2)/25))/(LN(2)/25)*Calculateur!V182*Calculateur!X182*VLOOKUP('Données projet'!$B$9,Paramètres!$A$1:$I$89,3,0)*0.475*44/12</f>
        <v>0.15353925114249783</v>
      </c>
      <c r="AB182" s="21">
        <f>EXP(-LN(2)/2)*AB181+(1-EXP(-LN(2)/2))/(LN(2)/2)*V182*Y182*VLOOKUP('Données projet'!$B$9,Paramètres!$A$1:$I$89,3,0)*0.475*44/12</f>
        <v>1.6864704028370353E-22</v>
      </c>
      <c r="AC182" s="22">
        <f t="shared" si="163"/>
        <v>0.80874336778692046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348.62416478262719</v>
      </c>
      <c r="AO182" s="59">
        <f t="shared" si="144"/>
        <v>371.70674704563288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0.69267319363964885</v>
      </c>
      <c r="AV182" s="21">
        <f>EXP(-LN(2)/25)*AV181+(1-EXP(-LN(2)/25))/(LN(2)/25)*Calculateur!AQ182*Calculateur!AS182*VLOOKUP('Données projet'!$B$10,Paramètres!$A$1:$I$89,3,0)*0.475*44/12</f>
        <v>0.19611274068657997</v>
      </c>
      <c r="AW182" s="21">
        <f>EXP(-LN(2)/2)*AW181+(1-EXP(-LN(2)/2))/(LN(2)/2)*AQ182*AT182*VLOOKUP('Données projet'!$B$10,Paramètres!$A$1:$I$89,3,0)*0.475*44/12</f>
        <v>4.662602614397228E-22</v>
      </c>
      <c r="AX182" s="21">
        <f t="shared" si="166"/>
        <v>0.88878593432622877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405.7176439604217</v>
      </c>
      <c r="BJ182" s="59">
        <f t="shared" si="146"/>
        <v>278.21741231699929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0.38220578866942134</v>
      </c>
      <c r="BQ182" s="21">
        <f>EXP(-LN(2)/25)*BQ181+(1-EXP(-LN(2)/25))/(LN(2)/25)*Calculateur!BL182*Calculateur!BN182*VLOOKUP('Données projet'!$B$11,Paramètres!$A$1:$I$89,3,0)*0.475*44/12</f>
        <v>0.15043821154830928</v>
      </c>
      <c r="BR182" s="21">
        <f>EXP(-LN(2)/2)*BR181+(1-EXP(-LN(2)/2))/(LN(2)/2)*BL182*BO182*VLOOKUP('Données projet'!$B$11,Paramètres!$A$1:$I$89,3,0)*0.475*44/12</f>
        <v>3.1949225150698777E-22</v>
      </c>
      <c r="BS182" s="22">
        <f t="shared" si="169"/>
        <v>0.53264400021773062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1.9895196601282805E-13</v>
      </c>
      <c r="BZ182" s="13">
        <f>BY182*VLOOKUP('Données projet'!$B$12,Paramètres!$A$1:$I$89,3,0)*VLOOKUP('Données projet'!$B$12,Paramètres!$A$1:$I$89,5,0)</f>
        <v>1.738044375088066E-13</v>
      </c>
      <c r="CA182" s="13">
        <f t="shared" si="170"/>
        <v>2.4483293633950478E-12</v>
      </c>
      <c r="CB182" s="20">
        <f t="shared" si="171"/>
        <v>4.566883036574213E-12</v>
      </c>
      <c r="CC182" s="59">
        <f t="shared" si="119"/>
        <v>293.33333333333786</v>
      </c>
      <c r="CD182" s="59">
        <f ca="1">AVERAGE(OFFSET($CC$3,0,0,'Données projet'!$E$12+1,1))-AVERAGE(OFFSET($H$3,0,0,'Données projet'!$E$12+1,1))</f>
        <v>321.23599968992932</v>
      </c>
      <c r="CE182" s="59">
        <f t="shared" si="148"/>
        <v>388.05195847800502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0.19110989225940322</v>
      </c>
      <c r="CL182" s="21">
        <f>EXP(-LN(2)/25)*CL181+(1-EXP(-LN(2)/25))/(LN(2)/25)*Calculateur!CG182*Calculateur!CI182*VLOOKUP('Données projet'!$B$12,Paramètres!$A$1:$I$89,3,0)*0.475*44/12</f>
        <v>0.33894825848279919</v>
      </c>
      <c r="CM182" s="21">
        <f>EXP(-LN(2)/2)*CM181+(1-EXP(-LN(2)/2))/(LN(2)/2)*CG182*CJ182*VLOOKUP('Données projet'!$B$12,Paramètres!$A$1:$I$89,3,0)*0.475*44/12</f>
        <v>4.5156101158979632E-22</v>
      </c>
      <c r="CN182" s="22">
        <f t="shared" si="172"/>
        <v>0.53005815074220242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-1.0995790944434703E-13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399.24912109442175</v>
      </c>
      <c r="CZ182" s="59">
        <f t="shared" si="150"/>
        <v>269.83150082245305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-1.223725121235475E-13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439.66981240211362</v>
      </c>
      <c r="DU182" s="59">
        <f t="shared" si="152"/>
        <v>295.47805371292458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-1.0818439477588981E-13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393.46715670823653</v>
      </c>
      <c r="EP182" s="59">
        <f t="shared" si="154"/>
        <v>266.16261355327214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549.43232095729741</v>
      </c>
      <c r="T183" s="59">
        <f t="shared" si="142"/>
        <v>280.26155987300996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0.64235596355207591</v>
      </c>
      <c r="AA183" s="21">
        <f>EXP(-LN(2)/25)*AA182+(1-EXP(-LN(2)/25))/(LN(2)/25)*Calculateur!V183*Calculateur!X183*VLOOKUP('Données projet'!$B$9,Paramètres!$A$1:$I$89,3,0)*0.475*44/12</f>
        <v>0.14934071224572792</v>
      </c>
      <c r="AB183" s="21">
        <f>EXP(-LN(2)/2)*AB182+(1-EXP(-LN(2)/2))/(LN(2)/2)*V183*Y183*VLOOKUP('Données projet'!$B$9,Paramètres!$A$1:$I$89,3,0)*0.475*44/12</f>
        <v>1.1925146581164762E-22</v>
      </c>
      <c r="AC183" s="22">
        <f t="shared" si="163"/>
        <v>0.79169667579780389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348.62416478262719</v>
      </c>
      <c r="AO183" s="59">
        <f t="shared" si="144"/>
        <v>371.70674704563288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0.67909029480130612</v>
      </c>
      <c r="AV183" s="21">
        <f>EXP(-LN(2)/25)*AV182+(1-EXP(-LN(2)/25))/(LN(2)/25)*Calculateur!AQ183*Calculateur!AS183*VLOOKUP('Données projet'!$B$10,Paramètres!$A$1:$I$89,3,0)*0.475*44/12</f>
        <v>0.19075002747938463</v>
      </c>
      <c r="AW183" s="21">
        <f>EXP(-LN(2)/2)*AW182+(1-EXP(-LN(2)/2))/(LN(2)/2)*AQ183*AT183*VLOOKUP('Données projet'!$B$10,Paramètres!$A$1:$I$89,3,0)*0.475*44/12</f>
        <v>3.2969579266184051E-22</v>
      </c>
      <c r="AX183" s="21">
        <f t="shared" si="166"/>
        <v>0.86984032228069075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405.7176439604217</v>
      </c>
      <c r="BJ183" s="59">
        <f t="shared" si="146"/>
        <v>278.21741231699929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0.37471096627612616</v>
      </c>
      <c r="BQ183" s="21">
        <f>EXP(-LN(2)/25)*BQ182+(1-EXP(-LN(2)/25))/(LN(2)/25)*Calculateur!BL183*Calculateur!BN183*VLOOKUP('Données projet'!$B$11,Paramètres!$A$1:$I$89,3,0)*0.475*44/12</f>
        <v>0.14632447074231905</v>
      </c>
      <c r="BR183" s="21">
        <f>EXP(-LN(2)/2)*BR182+(1-EXP(-LN(2)/2))/(LN(2)/2)*BL183*BO183*VLOOKUP('Données projet'!$B$11,Paramètres!$A$1:$I$89,3,0)*0.475*44/12</f>
        <v>2.2591513757714901E-22</v>
      </c>
      <c r="BS183" s="22">
        <f t="shared" si="169"/>
        <v>0.52103543701844524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1.9895196601282805E-13</v>
      </c>
      <c r="BZ183" s="13">
        <f>BY183*VLOOKUP('Données projet'!$B$12,Paramètres!$A$1:$I$89,3,0)*VLOOKUP('Données projet'!$B$12,Paramètres!$A$1:$I$89,5,0)</f>
        <v>1.738044375088066E-13</v>
      </c>
      <c r="CA183" s="13">
        <f t="shared" si="170"/>
        <v>2.4483293633950478E-12</v>
      </c>
      <c r="CB183" s="20">
        <f t="shared" si="171"/>
        <v>4.566883036574213E-12</v>
      </c>
      <c r="CC183" s="59">
        <f t="shared" si="119"/>
        <v>293.33333333333786</v>
      </c>
      <c r="CD183" s="59">
        <f ca="1">AVERAGE(OFFSET($CC$3,0,0,'Données projet'!$E$12+1,1))-AVERAGE(OFFSET($H$3,0,0,'Données projet'!$E$12+1,1))</f>
        <v>321.23599968992932</v>
      </c>
      <c r="CE183" s="59">
        <f t="shared" si="148"/>
        <v>388.05195847800502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0.18736234383772071</v>
      </c>
      <c r="CL183" s="21">
        <f>EXP(-LN(2)/25)*CL182+(1-EXP(-LN(2)/25))/(LN(2)/25)*Calculateur!CG183*Calculateur!CI183*VLOOKUP('Données projet'!$B$12,Paramètres!$A$1:$I$89,3,0)*0.475*44/12</f>
        <v>0.32967970053007278</v>
      </c>
      <c r="CM183" s="21">
        <f>EXP(-LN(2)/2)*CM182+(1-EXP(-LN(2)/2))/(LN(2)/2)*CG183*CJ183*VLOOKUP('Données projet'!$B$12,Paramètres!$A$1:$I$89,3,0)*0.475*44/12</f>
        <v>3.1930185341460216E-22</v>
      </c>
      <c r="CN183" s="22">
        <f t="shared" si="172"/>
        <v>0.51704204436779344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-1.0995790944434703E-13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399.24912109442175</v>
      </c>
      <c r="CZ183" s="59">
        <f t="shared" si="150"/>
        <v>269.83150082245305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-1.223725121235475E-13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439.66981240211362</v>
      </c>
      <c r="DU183" s="59">
        <f t="shared" si="152"/>
        <v>295.47805371292458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-1.0818439477588981E-13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393.46715670823653</v>
      </c>
      <c r="EP183" s="59">
        <f t="shared" si="154"/>
        <v>266.16261355327214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549.43232095729741</v>
      </c>
      <c r="T184" s="59">
        <f t="shared" si="142"/>
        <v>280.26155987300996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0.62975975490527059</v>
      </c>
      <c r="AA184" s="21">
        <f>EXP(-LN(2)/25)*AA183+(1-EXP(-LN(2)/25))/(LN(2)/25)*Calculateur!V184*Calculateur!X184*VLOOKUP('Données projet'!$B$9,Paramètres!$A$1:$I$89,3,0)*0.475*44/12</f>
        <v>0.14525698261588177</v>
      </c>
      <c r="AB184" s="21">
        <f>EXP(-LN(2)/2)*AB183+(1-EXP(-LN(2)/2))/(LN(2)/2)*V184*Y184*VLOOKUP('Données projet'!$B$9,Paramètres!$A$1:$I$89,3,0)*0.475*44/12</f>
        <v>8.4323520141851767E-23</v>
      </c>
      <c r="AC184" s="22">
        <f t="shared" si="163"/>
        <v>0.7750167375211523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348.62416478262719</v>
      </c>
      <c r="AO184" s="59">
        <f t="shared" si="144"/>
        <v>371.70674704563288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0.66577374832443303</v>
      </c>
      <c r="AV184" s="21">
        <f>EXP(-LN(2)/25)*AV183+(1-EXP(-LN(2)/25))/(LN(2)/25)*Calculateur!AQ184*Calculateur!AS184*VLOOKUP('Données projet'!$B$10,Paramètres!$A$1:$I$89,3,0)*0.475*44/12</f>
        <v>0.18553395794685287</v>
      </c>
      <c r="AW184" s="21">
        <f>EXP(-LN(2)/2)*AW183+(1-EXP(-LN(2)/2))/(LN(2)/2)*AQ184*AT184*VLOOKUP('Données projet'!$B$10,Paramètres!$A$1:$I$89,3,0)*0.475*44/12</f>
        <v>2.331301307198614E-22</v>
      </c>
      <c r="AX184" s="21">
        <f t="shared" si="166"/>
        <v>0.85130770627128594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405.7176439604217</v>
      </c>
      <c r="BJ184" s="59">
        <f t="shared" si="146"/>
        <v>278.21741231699929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0.3673631127785732</v>
      </c>
      <c r="BQ184" s="21">
        <f>EXP(-LN(2)/25)*BQ183+(1-EXP(-LN(2)/25))/(LN(2)/25)*Calculateur!BL184*Calculateur!BN184*VLOOKUP('Données projet'!$B$11,Paramètres!$A$1:$I$89,3,0)*0.475*44/12</f>
        <v>0.14232322039500084</v>
      </c>
      <c r="BR184" s="21">
        <f>EXP(-LN(2)/2)*BR183+(1-EXP(-LN(2)/2))/(LN(2)/2)*BL184*BO184*VLOOKUP('Données projet'!$B$11,Paramètres!$A$1:$I$89,3,0)*0.475*44/12</f>
        <v>1.5974612575349389E-22</v>
      </c>
      <c r="BS184" s="22">
        <f t="shared" si="169"/>
        <v>0.50968633317357404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1.9895196601282805E-13</v>
      </c>
      <c r="BZ184" s="13">
        <f>BY184*VLOOKUP('Données projet'!$B$12,Paramètres!$A$1:$I$89,3,0)*VLOOKUP('Données projet'!$B$12,Paramètres!$A$1:$I$89,5,0)</f>
        <v>1.738044375088066E-13</v>
      </c>
      <c r="CA184" s="13">
        <f t="shared" si="170"/>
        <v>2.4483293633950478E-12</v>
      </c>
      <c r="CB184" s="20">
        <f t="shared" si="171"/>
        <v>4.566883036574213E-12</v>
      </c>
      <c r="CC184" s="59">
        <f t="shared" si="119"/>
        <v>293.33333333333786</v>
      </c>
      <c r="CD184" s="59">
        <f ca="1">AVERAGE(OFFSET($CC$3,0,0,'Données projet'!$E$12+1,1))-AVERAGE(OFFSET($H$3,0,0,'Données projet'!$E$12+1,1))</f>
        <v>321.23599968992932</v>
      </c>
      <c r="CE184" s="59">
        <f t="shared" si="148"/>
        <v>388.05195847800502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0.18368828255480857</v>
      </c>
      <c r="CL184" s="21">
        <f>EXP(-LN(2)/25)*CL183+(1-EXP(-LN(2)/25))/(LN(2)/25)*Calculateur!CG184*Calculateur!CI184*VLOOKUP('Données projet'!$B$12,Paramètres!$A$1:$I$89,3,0)*0.475*44/12</f>
        <v>0.32066459178197598</v>
      </c>
      <c r="CM184" s="21">
        <f>EXP(-LN(2)/2)*CM183+(1-EXP(-LN(2)/2))/(LN(2)/2)*CG184*CJ184*VLOOKUP('Données projet'!$B$12,Paramètres!$A$1:$I$89,3,0)*0.475*44/12</f>
        <v>2.2578050579489816E-22</v>
      </c>
      <c r="CN184" s="22">
        <f t="shared" si="172"/>
        <v>0.50435287433678455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-1.0995790944434703E-13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399.24912109442175</v>
      </c>
      <c r="CZ184" s="59">
        <f t="shared" si="150"/>
        <v>269.83150082245305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-1.223725121235475E-13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439.66981240211362</v>
      </c>
      <c r="DU184" s="59">
        <f t="shared" si="152"/>
        <v>295.47805371292458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-1.0818439477588981E-13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393.46715670823653</v>
      </c>
      <c r="EP184" s="59">
        <f t="shared" si="154"/>
        <v>266.16261355327214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549.43232095729741</v>
      </c>
      <c r="T185" s="59">
        <f t="shared" si="142"/>
        <v>280.26155987300996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0.61741055022710045</v>
      </c>
      <c r="AA185" s="21">
        <f>EXP(-LN(2)/25)*AA184+(1-EXP(-LN(2)/25))/(LN(2)/25)*Calculateur!V185*Calculateur!X185*VLOOKUP('Données projet'!$B$9,Paramètres!$A$1:$I$89,3,0)*0.475*44/12</f>
        <v>0.14128492278751775</v>
      </c>
      <c r="AB185" s="21">
        <f>EXP(-LN(2)/2)*AB184+(1-EXP(-LN(2)/2))/(LN(2)/2)*V185*Y185*VLOOKUP('Données projet'!$B$9,Paramètres!$A$1:$I$89,3,0)*0.475*44/12</f>
        <v>5.962573290582381E-23</v>
      </c>
      <c r="AC185" s="22">
        <f t="shared" si="163"/>
        <v>0.75869547301461826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348.62416478262719</v>
      </c>
      <c r="AO185" s="59">
        <f t="shared" si="144"/>
        <v>371.70674704563288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0.6527183312016801</v>
      </c>
      <c r="AV185" s="21">
        <f>EXP(-LN(2)/25)*AV184+(1-EXP(-LN(2)/25))/(LN(2)/25)*Calculateur!AQ185*Calculateur!AS185*VLOOKUP('Données projet'!$B$10,Paramètres!$A$1:$I$89,3,0)*0.475*44/12</f>
        <v>0.18046052210998936</v>
      </c>
      <c r="AW185" s="21">
        <f>EXP(-LN(2)/2)*AW184+(1-EXP(-LN(2)/2))/(LN(2)/2)*AQ185*AT185*VLOOKUP('Données projet'!$B$10,Paramètres!$A$1:$I$89,3,0)*0.475*44/12</f>
        <v>1.6484789633092026E-22</v>
      </c>
      <c r="AX185" s="21">
        <f t="shared" si="166"/>
        <v>0.83317885331166952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405.7176439604217</v>
      </c>
      <c r="BJ185" s="59">
        <f t="shared" si="146"/>
        <v>278.21741231699929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0.36015934620635914</v>
      </c>
      <c r="BQ185" s="21">
        <f>EXP(-LN(2)/25)*BQ184+(1-EXP(-LN(2)/25))/(LN(2)/25)*Calculateur!BL185*Calculateur!BN185*VLOOKUP('Données projet'!$B$11,Paramètres!$A$1:$I$89,3,0)*0.475*44/12</f>
        <v>0.13843138444884667</v>
      </c>
      <c r="BR185" s="21">
        <f>EXP(-LN(2)/2)*BR184+(1-EXP(-LN(2)/2))/(LN(2)/2)*BL185*BO185*VLOOKUP('Données projet'!$B$11,Paramètres!$A$1:$I$89,3,0)*0.475*44/12</f>
        <v>1.129575687885745E-22</v>
      </c>
      <c r="BS185" s="22">
        <f t="shared" si="169"/>
        <v>0.49859073065520582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1.9895196601282805E-13</v>
      </c>
      <c r="BZ185" s="13">
        <f>BY185*VLOOKUP('Données projet'!$B$12,Paramètres!$A$1:$I$89,3,0)*VLOOKUP('Données projet'!$B$12,Paramètres!$A$1:$I$89,5,0)</f>
        <v>1.738044375088066E-13</v>
      </c>
      <c r="CA185" s="13">
        <f t="shared" si="170"/>
        <v>2.4483293633950478E-12</v>
      </c>
      <c r="CB185" s="20">
        <f t="shared" si="171"/>
        <v>4.566883036574213E-12</v>
      </c>
      <c r="CC185" s="59">
        <f t="shared" si="119"/>
        <v>293.33333333333786</v>
      </c>
      <c r="CD185" s="59">
        <f ca="1">AVERAGE(OFFSET($CC$3,0,0,'Données projet'!$E$12+1,1))-AVERAGE(OFFSET($H$3,0,0,'Données projet'!$E$12+1,1))</f>
        <v>321.23599968992932</v>
      </c>
      <c r="CE185" s="59">
        <f t="shared" si="148"/>
        <v>388.05195847800502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0.18008626737269823</v>
      </c>
      <c r="CL185" s="21">
        <f>EXP(-LN(2)/25)*CL184+(1-EXP(-LN(2)/25))/(LN(2)/25)*Calculateur!CG185*Calculateur!CI185*VLOOKUP('Données projet'!$B$12,Paramètres!$A$1:$I$89,3,0)*0.475*44/12</f>
        <v>0.31189600165667986</v>
      </c>
      <c r="CM185" s="21">
        <f>EXP(-LN(2)/2)*CM184+(1-EXP(-LN(2)/2))/(LN(2)/2)*CG185*CJ185*VLOOKUP('Données projet'!$B$12,Paramètres!$A$1:$I$89,3,0)*0.475*44/12</f>
        <v>1.5965092670730108E-22</v>
      </c>
      <c r="CN185" s="22">
        <f t="shared" si="172"/>
        <v>0.49198226902937808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-1.0995790944434703E-13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399.24912109442175</v>
      </c>
      <c r="CZ185" s="59">
        <f t="shared" si="150"/>
        <v>269.83150082245305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-1.223725121235475E-13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439.66981240211362</v>
      </c>
      <c r="DU185" s="59">
        <f t="shared" si="152"/>
        <v>295.47805371292458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-1.0818439477588981E-13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393.46715670823653</v>
      </c>
      <c r="EP185" s="59">
        <f t="shared" si="154"/>
        <v>266.16261355327214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549.43232095729741</v>
      </c>
      <c r="T186" s="59">
        <f t="shared" si="142"/>
        <v>280.26155987300996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0.60530350592039817</v>
      </c>
      <c r="AA186" s="21">
        <f>EXP(-LN(2)/25)*AA185+(1-EXP(-LN(2)/25))/(LN(2)/25)*Calculateur!V186*Calculateur!X186*VLOOKUP('Données projet'!$B$9,Paramètres!$A$1:$I$89,3,0)*0.475*44/12</f>
        <v>0.1374214791440419</v>
      </c>
      <c r="AB186" s="21">
        <f>EXP(-LN(2)/2)*AB185+(1-EXP(-LN(2)/2))/(LN(2)/2)*V186*Y186*VLOOKUP('Données projet'!$B$9,Paramètres!$A$1:$I$89,3,0)*0.475*44/12</f>
        <v>4.2161760070925884E-23</v>
      </c>
      <c r="AC186" s="22">
        <f t="shared" si="163"/>
        <v>0.74272498506444007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348.62416478262719</v>
      </c>
      <c r="AO186" s="59">
        <f t="shared" si="144"/>
        <v>371.70674704563288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0.63991892284568619</v>
      </c>
      <c r="AV186" s="21">
        <f>EXP(-LN(2)/25)*AV185+(1-EXP(-LN(2)/25))/(LN(2)/25)*Calculateur!AQ186*Calculateur!AS186*VLOOKUP('Données projet'!$B$10,Paramètres!$A$1:$I$89,3,0)*0.475*44/12</f>
        <v>0.1755258196428853</v>
      </c>
      <c r="AW186" s="21">
        <f>EXP(-LN(2)/2)*AW185+(1-EXP(-LN(2)/2))/(LN(2)/2)*AQ186*AT186*VLOOKUP('Données projet'!$B$10,Paramètres!$A$1:$I$89,3,0)*0.475*44/12</f>
        <v>1.165650653599307E-22</v>
      </c>
      <c r="AX186" s="21">
        <f t="shared" si="166"/>
        <v>0.81544474248857146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405.7176439604217</v>
      </c>
      <c r="BJ186" s="59">
        <f t="shared" si="146"/>
        <v>278.21741231699929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0.35309684110276246</v>
      </c>
      <c r="BQ186" s="21">
        <f>EXP(-LN(2)/25)*BQ185+(1-EXP(-LN(2)/25))/(LN(2)/25)*Calculateur!BL186*Calculateur!BN186*VLOOKUP('Données projet'!$B$11,Paramètres!$A$1:$I$89,3,0)*0.475*44/12</f>
        <v>0.13464597096130285</v>
      </c>
      <c r="BR186" s="21">
        <f>EXP(-LN(2)/2)*BR185+(1-EXP(-LN(2)/2))/(LN(2)/2)*BL186*BO186*VLOOKUP('Données projet'!$B$11,Paramètres!$A$1:$I$89,3,0)*0.475*44/12</f>
        <v>7.9873062876746943E-23</v>
      </c>
      <c r="BS186" s="22">
        <f t="shared" si="169"/>
        <v>0.48774281206406533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1.9895196601282805E-13</v>
      </c>
      <c r="BZ186" s="13">
        <f>BY186*VLOOKUP('Données projet'!$B$12,Paramètres!$A$1:$I$89,3,0)*VLOOKUP('Données projet'!$B$12,Paramètres!$A$1:$I$89,5,0)</f>
        <v>1.738044375088066E-13</v>
      </c>
      <c r="CA186" s="13">
        <f t="shared" si="170"/>
        <v>2.4483293633950478E-12</v>
      </c>
      <c r="CB186" s="20">
        <f t="shared" si="171"/>
        <v>4.566883036574213E-12</v>
      </c>
      <c r="CC186" s="59">
        <f t="shared" si="119"/>
        <v>293.33333333333786</v>
      </c>
      <c r="CD186" s="59">
        <f ca="1">AVERAGE(OFFSET($CC$3,0,0,'Données projet'!$E$12+1,1))-AVERAGE(OFFSET($H$3,0,0,'Données projet'!$E$12+1,1))</f>
        <v>321.23599968992932</v>
      </c>
      <c r="CE186" s="59">
        <f t="shared" si="148"/>
        <v>388.05195847800502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0.17655488551129675</v>
      </c>
      <c r="CL186" s="21">
        <f>EXP(-LN(2)/25)*CL185+(1-EXP(-LN(2)/25))/(LN(2)/25)*Calculateur!CG186*Calculateur!CI186*VLOOKUP('Données projet'!$B$12,Paramètres!$A$1:$I$89,3,0)*0.475*44/12</f>
        <v>0.30336718908948007</v>
      </c>
      <c r="CM186" s="21">
        <f>EXP(-LN(2)/2)*CM185+(1-EXP(-LN(2)/2))/(LN(2)/2)*CG186*CJ186*VLOOKUP('Données projet'!$B$12,Paramètres!$A$1:$I$89,3,0)*0.475*44/12</f>
        <v>1.1289025289744908E-22</v>
      </c>
      <c r="CN186" s="22">
        <f t="shared" si="172"/>
        <v>0.47992207460077685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-1.0995790944434703E-13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399.24912109442175</v>
      </c>
      <c r="CZ186" s="59">
        <f t="shared" si="150"/>
        <v>269.83150082245305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-1.223725121235475E-13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439.66981240211362</v>
      </c>
      <c r="DU186" s="59">
        <f t="shared" si="152"/>
        <v>295.47805371292458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-1.0818439477588981E-13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393.46715670823653</v>
      </c>
      <c r="EP186" s="59">
        <f t="shared" si="154"/>
        <v>266.16261355327214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549.43232095729741</v>
      </c>
      <c r="T187" s="59">
        <f t="shared" si="142"/>
        <v>280.26155987300996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0.59343387336798248</v>
      </c>
      <c r="AA187" s="21">
        <f>EXP(-LN(2)/25)*AA186+(1-EXP(-LN(2)/25))/(LN(2)/25)*Calculateur!V187*Calculateur!X187*VLOOKUP('Données projet'!$B$9,Paramètres!$A$1:$I$89,3,0)*0.475*44/12</f>
        <v>0.13366368157016656</v>
      </c>
      <c r="AB187" s="21">
        <f>EXP(-LN(2)/2)*AB186+(1-EXP(-LN(2)/2))/(LN(2)/2)*V187*Y187*VLOOKUP('Données projet'!$B$9,Paramètres!$A$1:$I$89,3,0)*0.475*44/12</f>
        <v>2.9812866452911905E-23</v>
      </c>
      <c r="AC187" s="22">
        <f t="shared" si="163"/>
        <v>0.72709755493814909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348.62416478262719</v>
      </c>
      <c r="AO187" s="59">
        <f t="shared" si="144"/>
        <v>371.70674704563288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0.62737050308068509</v>
      </c>
      <c r="AV187" s="21">
        <f>EXP(-LN(2)/25)*AV186+(1-EXP(-LN(2)/25))/(LN(2)/25)*Calculateur!AQ187*Calculateur!AS187*VLOOKUP('Données projet'!$B$10,Paramètres!$A$1:$I$89,3,0)*0.475*44/12</f>
        <v>0.17072605687424891</v>
      </c>
      <c r="AW187" s="21">
        <f>EXP(-LN(2)/2)*AW186+(1-EXP(-LN(2)/2))/(LN(2)/2)*AQ187*AT187*VLOOKUP('Données projet'!$B$10,Paramètres!$A$1:$I$89,3,0)*0.475*44/12</f>
        <v>8.2423948165460128E-23</v>
      </c>
      <c r="AX187" s="21">
        <f t="shared" si="166"/>
        <v>0.798096559954934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405.7176439604217</v>
      </c>
      <c r="BJ187" s="59">
        <f t="shared" si="146"/>
        <v>278.21741231699929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0.34617282741654454</v>
      </c>
      <c r="BQ187" s="21">
        <f>EXP(-LN(2)/25)*BQ186+(1-EXP(-LN(2)/25))/(LN(2)/25)*Calculateur!BL187*Calculateur!BN187*VLOOKUP('Données projet'!$B$11,Paramètres!$A$1:$I$89,3,0)*0.475*44/12</f>
        <v>0.13096406980464215</v>
      </c>
      <c r="BR187" s="21">
        <f>EXP(-LN(2)/2)*BR186+(1-EXP(-LN(2)/2))/(LN(2)/2)*BL187*BO187*VLOOKUP('Données projet'!$B$11,Paramètres!$A$1:$I$89,3,0)*0.475*44/12</f>
        <v>5.6478784394287252E-23</v>
      </c>
      <c r="BS187" s="22">
        <f t="shared" si="169"/>
        <v>0.47713689722118668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1.9895196601282805E-13</v>
      </c>
      <c r="BZ187" s="13">
        <f>BY187*VLOOKUP('Données projet'!$B$12,Paramètres!$A$1:$I$89,3,0)*VLOOKUP('Données projet'!$B$12,Paramètres!$A$1:$I$89,5,0)</f>
        <v>1.738044375088066E-13</v>
      </c>
      <c r="CA187" s="13">
        <f t="shared" si="170"/>
        <v>2.4483293633950478E-12</v>
      </c>
      <c r="CB187" s="20">
        <f t="shared" si="171"/>
        <v>4.566883036574213E-12</v>
      </c>
      <c r="CC187" s="59">
        <f t="shared" si="119"/>
        <v>293.33333333333786</v>
      </c>
      <c r="CD187" s="59">
        <f ca="1">AVERAGE(OFFSET($CC$3,0,0,'Données projet'!$E$12+1,1))-AVERAGE(OFFSET($H$3,0,0,'Données projet'!$E$12+1,1))</f>
        <v>321.23599968992932</v>
      </c>
      <c r="CE187" s="59">
        <f t="shared" si="148"/>
        <v>388.05195847800502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0.17309275189426709</v>
      </c>
      <c r="CL187" s="21">
        <f>EXP(-LN(2)/25)*CL186+(1-EXP(-LN(2)/25))/(LN(2)/25)*Calculateur!CG187*Calculateur!CI187*VLOOKUP('Données projet'!$B$12,Paramètres!$A$1:$I$89,3,0)*0.475*44/12</f>
        <v>0.29507159735044114</v>
      </c>
      <c r="CM187" s="21">
        <f>EXP(-LN(2)/2)*CM186+(1-EXP(-LN(2)/2))/(LN(2)/2)*CG187*CJ187*VLOOKUP('Données projet'!$B$12,Paramètres!$A$1:$I$89,3,0)*0.475*44/12</f>
        <v>7.982546335365054E-23</v>
      </c>
      <c r="CN187" s="22">
        <f t="shared" si="172"/>
        <v>0.46816434924470823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-1.0995790944434703E-13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399.24912109442175</v>
      </c>
      <c r="CZ187" s="59">
        <f t="shared" si="150"/>
        <v>269.83150082245305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-1.223725121235475E-13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439.66981240211362</v>
      </c>
      <c r="DU187" s="59">
        <f t="shared" si="152"/>
        <v>295.47805371292458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-1.0818439477588981E-13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393.46715670823653</v>
      </c>
      <c r="EP187" s="59">
        <f t="shared" si="154"/>
        <v>266.16261355327214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549.43232095729741</v>
      </c>
      <c r="T188" s="59">
        <f t="shared" si="142"/>
        <v>280.26155987300996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0.58179699707015864</v>
      </c>
      <c r="AA188" s="21">
        <f>EXP(-LN(2)/25)*AA187+(1-EXP(-LN(2)/25))/(LN(2)/25)*Calculateur!V188*Calculateur!X188*VLOOKUP('Données projet'!$B$9,Paramètres!$A$1:$I$89,3,0)*0.475*44/12</f>
        <v>0.13000864116856284</v>
      </c>
      <c r="AB188" s="21">
        <f>EXP(-LN(2)/2)*AB187+(1-EXP(-LN(2)/2))/(LN(2)/2)*V188*Y188*VLOOKUP('Données projet'!$B$9,Paramètres!$A$1:$I$89,3,0)*0.475*44/12</f>
        <v>2.1080880035462942E-23</v>
      </c>
      <c r="AC188" s="22">
        <f t="shared" si="163"/>
        <v>0.71180563823872145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348.62416478262719</v>
      </c>
      <c r="AO188" s="59">
        <f t="shared" si="144"/>
        <v>371.70674704563288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0.61506815017349536</v>
      </c>
      <c r="AV188" s="21">
        <f>EXP(-LN(2)/25)*AV187+(1-EXP(-LN(2)/25))/(LN(2)/25)*Calculateur!AQ188*Calculateur!AS188*VLOOKUP('Données projet'!$B$10,Paramètres!$A$1:$I$89,3,0)*0.475*44/12</f>
        <v>0.16605754387092944</v>
      </c>
      <c r="AW188" s="21">
        <f>EXP(-LN(2)/2)*AW187+(1-EXP(-LN(2)/2))/(LN(2)/2)*AQ188*AT188*VLOOKUP('Données projet'!$B$10,Paramètres!$A$1:$I$89,3,0)*0.475*44/12</f>
        <v>5.8282532679965349E-23</v>
      </c>
      <c r="AX188" s="21">
        <f t="shared" si="166"/>
        <v>0.78112569404442478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405.7176439604217</v>
      </c>
      <c r="BJ188" s="59">
        <f t="shared" si="146"/>
        <v>278.21741231699929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0.33938458941548205</v>
      </c>
      <c r="BQ188" s="21">
        <f>EXP(-LN(2)/25)*BQ187+(1-EXP(-LN(2)/25))/(LN(2)/25)*Calculateur!BL188*Calculateur!BN188*VLOOKUP('Données projet'!$B$11,Paramètres!$A$1:$I$89,3,0)*0.475*44/12</f>
        <v>0.1273828504287331</v>
      </c>
      <c r="BR188" s="21">
        <f>EXP(-LN(2)/2)*BR187+(1-EXP(-LN(2)/2))/(LN(2)/2)*BL188*BO188*VLOOKUP('Données projet'!$B$11,Paramètres!$A$1:$I$89,3,0)*0.475*44/12</f>
        <v>3.9936531438373472E-23</v>
      </c>
      <c r="BS188" s="22">
        <f t="shared" si="169"/>
        <v>0.46676743984421515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1.9895196601282805E-13</v>
      </c>
      <c r="BZ188" s="13">
        <f>BY188*VLOOKUP('Données projet'!$B$12,Paramètres!$A$1:$I$89,3,0)*VLOOKUP('Données projet'!$B$12,Paramètres!$A$1:$I$89,5,0)</f>
        <v>1.738044375088066E-13</v>
      </c>
      <c r="CA188" s="13">
        <f t="shared" si="170"/>
        <v>2.4483293633950478E-12</v>
      </c>
      <c r="CB188" s="20">
        <f t="shared" si="171"/>
        <v>4.566883036574213E-12</v>
      </c>
      <c r="CC188" s="59">
        <f t="shared" si="119"/>
        <v>293.33333333333786</v>
      </c>
      <c r="CD188" s="59">
        <f ca="1">AVERAGE(OFFSET($CC$3,0,0,'Données projet'!$E$12+1,1))-AVERAGE(OFFSET($H$3,0,0,'Données projet'!$E$12+1,1))</f>
        <v>321.23599968992932</v>
      </c>
      <c r="CE188" s="59">
        <f t="shared" si="148"/>
        <v>388.05195847800502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0.1696985086057744</v>
      </c>
      <c r="CL188" s="21">
        <f>EXP(-LN(2)/25)*CL187+(1-EXP(-LN(2)/25))/(LN(2)/25)*Calculateur!CG188*Calculateur!CI188*VLOOKUP('Données projet'!$B$12,Paramètres!$A$1:$I$89,3,0)*0.475*44/12</f>
        <v>0.28700284900375239</v>
      </c>
      <c r="CM188" s="21">
        <f>EXP(-LN(2)/2)*CM187+(1-EXP(-LN(2)/2))/(LN(2)/2)*CG188*CJ188*VLOOKUP('Données projet'!$B$12,Paramètres!$A$1:$I$89,3,0)*0.475*44/12</f>
        <v>5.6445126448724539E-23</v>
      </c>
      <c r="CN188" s="22">
        <f t="shared" si="172"/>
        <v>0.45670135760952679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-1.0995790944434703E-13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399.24912109442175</v>
      </c>
      <c r="CZ188" s="59">
        <f t="shared" si="150"/>
        <v>269.83150082245305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-1.223725121235475E-13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439.66981240211362</v>
      </c>
      <c r="DU188" s="59">
        <f t="shared" si="152"/>
        <v>295.47805371292458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-1.0818439477588981E-13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393.46715670823653</v>
      </c>
      <c r="EP188" s="59">
        <f t="shared" si="154"/>
        <v>266.16261355327214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549.43232095729741</v>
      </c>
      <c r="T189" s="59">
        <f t="shared" si="142"/>
        <v>280.26155987300996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0.57038831281874136</v>
      </c>
      <c r="AA189" s="21">
        <f>EXP(-LN(2)/25)*AA188+(1-EXP(-LN(2)/25))/(LN(2)/25)*Calculateur!V189*Calculateur!X189*VLOOKUP('Données projet'!$B$9,Paramètres!$A$1:$I$89,3,0)*0.475*44/12</f>
        <v>0.12645354803895117</v>
      </c>
      <c r="AB189" s="21">
        <f>EXP(-LN(2)/2)*AB188+(1-EXP(-LN(2)/2))/(LN(2)/2)*V189*Y189*VLOOKUP('Données projet'!$B$9,Paramètres!$A$1:$I$89,3,0)*0.475*44/12</f>
        <v>1.4906433226455952E-23</v>
      </c>
      <c r="AC189" s="22">
        <f t="shared" si="163"/>
        <v>0.69684186085769251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348.62416478262719</v>
      </c>
      <c r="AO189" s="59">
        <f t="shared" si="144"/>
        <v>371.70674704563288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0.60300703890312124</v>
      </c>
      <c r="AV189" s="21">
        <f>EXP(-LN(2)/25)*AV188+(1-EXP(-LN(2)/25))/(LN(2)/25)*Calculateur!AQ189*Calculateur!AS189*VLOOKUP('Données projet'!$B$10,Paramètres!$A$1:$I$89,3,0)*0.475*44/12</f>
        <v>0.16151669160119217</v>
      </c>
      <c r="AW189" s="21">
        <f>EXP(-LN(2)/2)*AW188+(1-EXP(-LN(2)/2))/(LN(2)/2)*AQ189*AT189*VLOOKUP('Données projet'!$B$10,Paramètres!$A$1:$I$89,3,0)*0.475*44/12</f>
        <v>4.1211974082730064E-23</v>
      </c>
      <c r="AX189" s="21">
        <f t="shared" si="166"/>
        <v>0.76452373050431344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405.7176439604217</v>
      </c>
      <c r="BJ189" s="59">
        <f t="shared" si="146"/>
        <v>278.21741231699929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0.33272946462120401</v>
      </c>
      <c r="BQ189" s="21">
        <f>EXP(-LN(2)/25)*BQ188+(1-EXP(-LN(2)/25))/(LN(2)/25)*Calculateur!BL189*Calculateur!BN189*VLOOKUP('Données projet'!$B$11,Paramètres!$A$1:$I$89,3,0)*0.475*44/12</f>
        <v>0.12389955968498642</v>
      </c>
      <c r="BR189" s="21">
        <f>EXP(-LN(2)/2)*BR188+(1-EXP(-LN(2)/2))/(LN(2)/2)*BL189*BO189*VLOOKUP('Données projet'!$B$11,Paramètres!$A$1:$I$89,3,0)*0.475*44/12</f>
        <v>2.8239392197143626E-23</v>
      </c>
      <c r="BS189" s="22">
        <f t="shared" si="169"/>
        <v>0.45662902430619046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1.9895196601282805E-13</v>
      </c>
      <c r="BZ189" s="13">
        <f>BY189*VLOOKUP('Données projet'!$B$12,Paramètres!$A$1:$I$89,3,0)*VLOOKUP('Données projet'!$B$12,Paramètres!$A$1:$I$89,5,0)</f>
        <v>1.738044375088066E-13</v>
      </c>
      <c r="CA189" s="13">
        <f t="shared" si="170"/>
        <v>2.4483293633950478E-12</v>
      </c>
      <c r="CB189" s="20">
        <f t="shared" si="171"/>
        <v>4.566883036574213E-12</v>
      </c>
      <c r="CC189" s="59">
        <f t="shared" si="119"/>
        <v>293.33333333333786</v>
      </c>
      <c r="CD189" s="59">
        <f ca="1">AVERAGE(OFFSET($CC$3,0,0,'Données projet'!$E$12+1,1))-AVERAGE(OFFSET($H$3,0,0,'Données projet'!$E$12+1,1))</f>
        <v>321.23599968992932</v>
      </c>
      <c r="CE189" s="59">
        <f t="shared" si="148"/>
        <v>388.05195847800502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0.16637082435788506</v>
      </c>
      <c r="CL189" s="21">
        <f>EXP(-LN(2)/25)*CL188+(1-EXP(-LN(2)/25))/(LN(2)/25)*Calculateur!CG189*Calculateur!CI189*VLOOKUP('Données projet'!$B$12,Paramètres!$A$1:$I$89,3,0)*0.475*44/12</f>
        <v>0.27915474100492088</v>
      </c>
      <c r="CM189" s="21">
        <f>EXP(-LN(2)/2)*CM188+(1-EXP(-LN(2)/2))/(LN(2)/2)*CG189*CJ189*VLOOKUP('Données projet'!$B$12,Paramètres!$A$1:$I$89,3,0)*0.475*44/12</f>
        <v>3.991273167682527E-23</v>
      </c>
      <c r="CN189" s="22">
        <f t="shared" si="172"/>
        <v>0.44552556536280596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-1.0995790944434703E-13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399.24912109442175</v>
      </c>
      <c r="CZ189" s="59">
        <f t="shared" si="150"/>
        <v>269.83150082245305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-1.223725121235475E-13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439.66981240211362</v>
      </c>
      <c r="DU189" s="59">
        <f t="shared" si="152"/>
        <v>295.47805371292458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-1.0818439477588981E-13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393.46715670823653</v>
      </c>
      <c r="EP189" s="59">
        <f t="shared" si="154"/>
        <v>266.16261355327214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549.43232095729741</v>
      </c>
      <c r="T190" s="59">
        <f t="shared" si="142"/>
        <v>280.26155987300996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0.55920334590688414</v>
      </c>
      <c r="AA190" s="21">
        <f>EXP(-LN(2)/25)*AA189+(1-EXP(-LN(2)/25))/(LN(2)/25)*Calculateur!V190*Calculateur!X190*VLOOKUP('Données projet'!$B$9,Paramètres!$A$1:$I$89,3,0)*0.475*44/12</f>
        <v>0.12299566911792298</v>
      </c>
      <c r="AB190" s="21">
        <f>EXP(-LN(2)/2)*AB189+(1-EXP(-LN(2)/2))/(LN(2)/2)*V190*Y190*VLOOKUP('Données projet'!$B$9,Paramètres!$A$1:$I$89,3,0)*0.475*44/12</f>
        <v>1.0540440017731471E-23</v>
      </c>
      <c r="AC190" s="22">
        <f t="shared" si="163"/>
        <v>0.68219901502480718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348.62416478262719</v>
      </c>
      <c r="AO190" s="59">
        <f t="shared" si="144"/>
        <v>371.70674704563288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0.59118243866820774</v>
      </c>
      <c r="AV190" s="21">
        <f>EXP(-LN(2)/25)*AV189+(1-EXP(-LN(2)/25))/(LN(2)/25)*Calculateur!AQ190*Calculateur!AS190*VLOOKUP('Données projet'!$B$10,Paramètres!$A$1:$I$89,3,0)*0.475*44/12</f>
        <v>0.15710000917556391</v>
      </c>
      <c r="AW190" s="21">
        <f>EXP(-LN(2)/2)*AW189+(1-EXP(-LN(2)/2))/(LN(2)/2)*AQ190*AT190*VLOOKUP('Données projet'!$B$10,Paramètres!$A$1:$I$89,3,0)*0.475*44/12</f>
        <v>2.9141266339982675E-23</v>
      </c>
      <c r="AX190" s="21">
        <f t="shared" si="166"/>
        <v>0.74828244784377163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405.7176439604217</v>
      </c>
      <c r="BJ190" s="59">
        <f t="shared" si="146"/>
        <v>278.21741231699929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0.32620484276491646</v>
      </c>
      <c r="BQ190" s="21">
        <f>EXP(-LN(2)/25)*BQ189+(1-EXP(-LN(2)/25))/(LN(2)/25)*Calculateur!BL190*Calculateur!BN190*VLOOKUP('Données projet'!$B$11,Paramètres!$A$1:$I$89,3,0)*0.475*44/12</f>
        <v>0.12051151970980579</v>
      </c>
      <c r="BR190" s="21">
        <f>EXP(-LN(2)/2)*BR189+(1-EXP(-LN(2)/2))/(LN(2)/2)*BL190*BO190*VLOOKUP('Données projet'!$B$11,Paramètres!$A$1:$I$89,3,0)*0.475*44/12</f>
        <v>1.9968265719186736E-23</v>
      </c>
      <c r="BS190" s="22">
        <f t="shared" si="169"/>
        <v>0.44671636247472224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1.9895196601282805E-13</v>
      </c>
      <c r="BZ190" s="13">
        <f>BY190*VLOOKUP('Données projet'!$B$12,Paramètres!$A$1:$I$89,3,0)*VLOOKUP('Données projet'!$B$12,Paramètres!$A$1:$I$89,5,0)</f>
        <v>1.738044375088066E-13</v>
      </c>
      <c r="CA190" s="13">
        <f t="shared" si="170"/>
        <v>2.4483293633950478E-12</v>
      </c>
      <c r="CB190" s="20">
        <f t="shared" si="171"/>
        <v>4.566883036574213E-12</v>
      </c>
      <c r="CC190" s="59">
        <f t="shared" si="119"/>
        <v>293.33333333333786</v>
      </c>
      <c r="CD190" s="59">
        <f ca="1">AVERAGE(OFFSET($CC$3,0,0,'Données projet'!$E$12+1,1))-AVERAGE(OFFSET($H$3,0,0,'Données projet'!$E$12+1,1))</f>
        <v>321.23599968992932</v>
      </c>
      <c r="CE190" s="59">
        <f t="shared" si="148"/>
        <v>388.05195847800502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0.16310839396840984</v>
      </c>
      <c r="CL190" s="21">
        <f>EXP(-LN(2)/25)*CL189+(1-EXP(-LN(2)/25))/(LN(2)/25)*Calculateur!CG190*Calculateur!CI190*VLOOKUP('Données projet'!$B$12,Paramètres!$A$1:$I$89,3,0)*0.475*44/12</f>
        <v>0.27152123993203153</v>
      </c>
      <c r="CM190" s="21">
        <f>EXP(-LN(2)/2)*CM189+(1-EXP(-LN(2)/2))/(LN(2)/2)*CG190*CJ190*VLOOKUP('Données projet'!$B$12,Paramètres!$A$1:$I$89,3,0)*0.475*44/12</f>
        <v>2.822256322436227E-23</v>
      </c>
      <c r="CN190" s="22">
        <f t="shared" si="172"/>
        <v>0.4346296339004414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-1.0995790944434703E-13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399.24912109442175</v>
      </c>
      <c r="CZ190" s="59">
        <f t="shared" si="150"/>
        <v>269.83150082245305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-1.223725121235475E-13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439.66981240211362</v>
      </c>
      <c r="DU190" s="59">
        <f t="shared" si="152"/>
        <v>295.47805371292458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-1.0818439477588981E-13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393.46715670823653</v>
      </c>
      <c r="EP190" s="59">
        <f t="shared" si="154"/>
        <v>266.16261355327214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549.43232095729741</v>
      </c>
      <c r="T191" s="59">
        <f t="shared" si="142"/>
        <v>280.26155987300996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0.54823770937401228</v>
      </c>
      <c r="AA191" s="21">
        <f>EXP(-LN(2)/25)*AA190+(1-EXP(-LN(2)/25))/(LN(2)/25)*Calculateur!V191*Calculateur!X191*VLOOKUP('Données projet'!$B$9,Paramètres!$A$1:$I$89,3,0)*0.475*44/12</f>
        <v>0.11963234607783224</v>
      </c>
      <c r="AB191" s="21">
        <f>EXP(-LN(2)/2)*AB190+(1-EXP(-LN(2)/2))/(LN(2)/2)*V191*Y191*VLOOKUP('Données projet'!$B$9,Paramètres!$A$1:$I$89,3,0)*0.475*44/12</f>
        <v>7.4532166132279762E-24</v>
      </c>
      <c r="AC191" s="22">
        <f t="shared" si="163"/>
        <v>0.66787005545184452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348.62416478262719</v>
      </c>
      <c r="AO191" s="59">
        <f t="shared" si="144"/>
        <v>371.70674704563288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0.57958971163160689</v>
      </c>
      <c r="AV191" s="21">
        <f>EXP(-LN(2)/25)*AV190+(1-EXP(-LN(2)/25))/(LN(2)/25)*Calculateur!AQ191*Calculateur!AS191*VLOOKUP('Données projet'!$B$10,Paramètres!$A$1:$I$89,3,0)*0.475*44/12</f>
        <v>0.15280410116312768</v>
      </c>
      <c r="AW191" s="21">
        <f>EXP(-LN(2)/2)*AW190+(1-EXP(-LN(2)/2))/(LN(2)/2)*AQ191*AT191*VLOOKUP('Données projet'!$B$10,Paramètres!$A$1:$I$89,3,0)*0.475*44/12</f>
        <v>2.0605987041365032E-23</v>
      </c>
      <c r="AX191" s="21">
        <f t="shared" si="166"/>
        <v>0.73239381279473459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405.7176439604217</v>
      </c>
      <c r="BJ191" s="59">
        <f t="shared" si="146"/>
        <v>278.21741231699929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0.31980816476360435</v>
      </c>
      <c r="BQ191" s="21">
        <f>EXP(-LN(2)/25)*BQ190+(1-EXP(-LN(2)/25))/(LN(2)/25)*Calculateur!BL191*Calculateur!BN191*VLOOKUP('Données projet'!$B$11,Paramètres!$A$1:$I$89,3,0)*0.475*44/12</f>
        <v>0.11721612586591576</v>
      </c>
      <c r="BR191" s="21">
        <f>EXP(-LN(2)/2)*BR190+(1-EXP(-LN(2)/2))/(LN(2)/2)*BL191*BO191*VLOOKUP('Données projet'!$B$11,Paramètres!$A$1:$I$89,3,0)*0.475*44/12</f>
        <v>1.4119696098571813E-23</v>
      </c>
      <c r="BS191" s="22">
        <f t="shared" si="169"/>
        <v>0.43702429062952008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1.9895196601282805E-13</v>
      </c>
      <c r="BZ191" s="13">
        <f>BY191*VLOOKUP('Données projet'!$B$12,Paramètres!$A$1:$I$89,3,0)*VLOOKUP('Données projet'!$B$12,Paramètres!$A$1:$I$89,5,0)</f>
        <v>1.738044375088066E-13</v>
      </c>
      <c r="CA191" s="13">
        <f t="shared" si="170"/>
        <v>2.4483293633950478E-12</v>
      </c>
      <c r="CB191" s="20">
        <f t="shared" si="171"/>
        <v>4.566883036574213E-12</v>
      </c>
      <c r="CC191" s="59">
        <f t="shared" si="119"/>
        <v>293.33333333333786</v>
      </c>
      <c r="CD191" s="59">
        <f ca="1">AVERAGE(OFFSET($CC$3,0,0,'Données projet'!$E$12+1,1))-AVERAGE(OFFSET($H$3,0,0,'Données projet'!$E$12+1,1))</f>
        <v>321.23599968992932</v>
      </c>
      <c r="CE191" s="59">
        <f t="shared" si="148"/>
        <v>388.05195847800502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0.15990993784898619</v>
      </c>
      <c r="CL191" s="21">
        <f>EXP(-LN(2)/25)*CL190+(1-EXP(-LN(2)/25))/(LN(2)/25)*Calculateur!CG191*Calculateur!CI191*VLOOKUP('Données projet'!$B$12,Paramètres!$A$1:$I$89,3,0)*0.475*44/12</f>
        <v>0.26409647734740871</v>
      </c>
      <c r="CM191" s="21">
        <f>EXP(-LN(2)/2)*CM190+(1-EXP(-LN(2)/2))/(LN(2)/2)*CG191*CJ191*VLOOKUP('Données projet'!$B$12,Paramètres!$A$1:$I$89,3,0)*0.475*44/12</f>
        <v>1.9956365838412635E-23</v>
      </c>
      <c r="CN191" s="22">
        <f t="shared" si="172"/>
        <v>0.42400641519639493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-1.0995790944434703E-13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399.24912109442175</v>
      </c>
      <c r="CZ191" s="59">
        <f t="shared" si="150"/>
        <v>269.83150082245305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-1.223725121235475E-13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439.66981240211362</v>
      </c>
      <c r="DU191" s="59">
        <f t="shared" si="152"/>
        <v>295.47805371292458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-1.0818439477588981E-13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393.46715670823653</v>
      </c>
      <c r="EP191" s="59">
        <f t="shared" si="154"/>
        <v>266.16261355327214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549.43232095729741</v>
      </c>
      <c r="T192" s="59">
        <f t="shared" si="142"/>
        <v>280.26155987300996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0.53748710228517216</v>
      </c>
      <c r="AA192" s="21">
        <f>EXP(-LN(2)/25)*AA191+(1-EXP(-LN(2)/25))/(LN(2)/25)*Calculateur!V192*Calculateur!X192*VLOOKUP('Données projet'!$B$9,Paramètres!$A$1:$I$89,3,0)*0.475*44/12</f>
        <v>0.11636099328314226</v>
      </c>
      <c r="AB192" s="21">
        <f>EXP(-LN(2)/2)*AB191+(1-EXP(-LN(2)/2))/(LN(2)/2)*V192*Y192*VLOOKUP('Données projet'!$B$9,Paramètres!$A$1:$I$89,3,0)*0.475*44/12</f>
        <v>5.2702200088657354E-24</v>
      </c>
      <c r="AC192" s="22">
        <f t="shared" si="163"/>
        <v>0.65384809556831436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348.62416478262719</v>
      </c>
      <c r="AO192" s="59">
        <f t="shared" si="144"/>
        <v>371.70674704563288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0.56822431090132852</v>
      </c>
      <c r="AV192" s="21">
        <f>EXP(-LN(2)/25)*AV191+(1-EXP(-LN(2)/25))/(LN(2)/25)*Calculateur!AQ192*Calculateur!AS192*VLOOKUP('Données projet'!$B$10,Paramètres!$A$1:$I$89,3,0)*0.475*44/12</f>
        <v>0.1486256649812035</v>
      </c>
      <c r="AW192" s="21">
        <f>EXP(-LN(2)/2)*AW191+(1-EXP(-LN(2)/2))/(LN(2)/2)*AQ192*AT192*VLOOKUP('Données projet'!$B$10,Paramètres!$A$1:$I$89,3,0)*0.475*44/12</f>
        <v>1.4570633169991337E-23</v>
      </c>
      <c r="AX192" s="21">
        <f t="shared" si="166"/>
        <v>0.71684997588253196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405.7176439604217</v>
      </c>
      <c r="BJ192" s="59">
        <f t="shared" si="146"/>
        <v>278.21741231699929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0.31353692171630965</v>
      </c>
      <c r="BQ192" s="21">
        <f>EXP(-LN(2)/25)*BQ191+(1-EXP(-LN(2)/25))/(LN(2)/25)*Calculateur!BL192*Calculateur!BN192*VLOOKUP('Données projet'!$B$11,Paramètres!$A$1:$I$89,3,0)*0.475*44/12</f>
        <v>0.11401084473998413</v>
      </c>
      <c r="BR192" s="21">
        <f>EXP(-LN(2)/2)*BR191+(1-EXP(-LN(2)/2))/(LN(2)/2)*BL192*BO192*VLOOKUP('Données projet'!$B$11,Paramètres!$A$1:$I$89,3,0)*0.475*44/12</f>
        <v>9.9841328595933679E-24</v>
      </c>
      <c r="BS192" s="22">
        <f t="shared" si="169"/>
        <v>0.42754776645629378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1.9895196601282805E-13</v>
      </c>
      <c r="BZ192" s="13">
        <f>BY192*VLOOKUP('Données projet'!$B$12,Paramètres!$A$1:$I$89,3,0)*VLOOKUP('Données projet'!$B$12,Paramètres!$A$1:$I$89,5,0)</f>
        <v>1.738044375088066E-13</v>
      </c>
      <c r="CA192" s="13">
        <f t="shared" si="170"/>
        <v>2.4483293633950478E-12</v>
      </c>
      <c r="CB192" s="20">
        <f t="shared" si="171"/>
        <v>4.566883036574213E-12</v>
      </c>
      <c r="CC192" s="59">
        <f t="shared" si="119"/>
        <v>293.33333333333786</v>
      </c>
      <c r="CD192" s="59">
        <f ca="1">AVERAGE(OFFSET($CC$3,0,0,'Données projet'!$E$12+1,1))-AVERAGE(OFFSET($H$3,0,0,'Données projet'!$E$12+1,1))</f>
        <v>321.23599968992932</v>
      </c>
      <c r="CE192" s="59">
        <f t="shared" si="148"/>
        <v>388.05195847800502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0.15677420150319885</v>
      </c>
      <c r="CL192" s="21">
        <f>EXP(-LN(2)/25)*CL191+(1-EXP(-LN(2)/25))/(LN(2)/25)*Calculateur!CG192*Calculateur!CI192*VLOOKUP('Données projet'!$B$12,Paramètres!$A$1:$I$89,3,0)*0.475*44/12</f>
        <v>0.25687474528611365</v>
      </c>
      <c r="CM192" s="21">
        <f>EXP(-LN(2)/2)*CM191+(1-EXP(-LN(2)/2))/(LN(2)/2)*CG192*CJ192*VLOOKUP('Données projet'!$B$12,Paramètres!$A$1:$I$89,3,0)*0.475*44/12</f>
        <v>1.4111281612181135E-23</v>
      </c>
      <c r="CN192" s="22">
        <f t="shared" si="172"/>
        <v>0.41364894678931252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-1.0995790944434703E-13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399.24912109442175</v>
      </c>
      <c r="CZ192" s="59">
        <f t="shared" si="150"/>
        <v>269.83150082245305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-1.223725121235475E-13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439.66981240211362</v>
      </c>
      <c r="DU192" s="59">
        <f t="shared" si="152"/>
        <v>295.47805371292458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-1.0818439477588981E-13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393.46715670823653</v>
      </c>
      <c r="EP192" s="59">
        <f t="shared" si="154"/>
        <v>266.16261355327214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549.43232095729741</v>
      </c>
      <c r="T193" s="59">
        <f t="shared" si="142"/>
        <v>280.26155987300996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0.52694730804412138</v>
      </c>
      <c r="AA193" s="21">
        <f>EXP(-LN(2)/25)*AA192+(1-EXP(-LN(2)/25))/(LN(2)/25)*Calculateur!V193*Calculateur!X193*VLOOKUP('Données projet'!$B$9,Paramètres!$A$1:$I$89,3,0)*0.475*44/12</f>
        <v>0.11317909580265605</v>
      </c>
      <c r="AB193" s="21">
        <f>EXP(-LN(2)/2)*AB192+(1-EXP(-LN(2)/2))/(LN(2)/2)*V193*Y193*VLOOKUP('Données projet'!$B$9,Paramètres!$A$1:$I$89,3,0)*0.475*44/12</f>
        <v>3.7266083066139881E-24</v>
      </c>
      <c r="AC193" s="22">
        <f t="shared" si="163"/>
        <v>0.64012640384677744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348.62416478262719</v>
      </c>
      <c r="AO193" s="59">
        <f t="shared" si="144"/>
        <v>371.70674704563288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0.55708177874716092</v>
      </c>
      <c r="AV193" s="21">
        <f>EXP(-LN(2)/25)*AV192+(1-EXP(-LN(2)/25))/(LN(2)/25)*Calculateur!AQ193*Calculateur!AS193*VLOOKUP('Données projet'!$B$10,Paramètres!$A$1:$I$89,3,0)*0.475*44/12</f>
        <v>0.14456148835640845</v>
      </c>
      <c r="AW193" s="21">
        <f>EXP(-LN(2)/2)*AW192+(1-EXP(-LN(2)/2))/(LN(2)/2)*AQ193*AT193*VLOOKUP('Données projet'!$B$10,Paramètres!$A$1:$I$89,3,0)*0.475*44/12</f>
        <v>1.0302993520682516E-23</v>
      </c>
      <c r="AX193" s="21">
        <f t="shared" si="166"/>
        <v>0.70164326710356939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405.7176439604217</v>
      </c>
      <c r="BJ193" s="59">
        <f t="shared" si="146"/>
        <v>278.21741231699929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0.30738865392009179</v>
      </c>
      <c r="BQ193" s="21">
        <f>EXP(-LN(2)/25)*BQ192+(1-EXP(-LN(2)/25))/(LN(2)/25)*Calculateur!BL193*Calculateur!BN193*VLOOKUP('Données projet'!$B$11,Paramètres!$A$1:$I$89,3,0)*0.475*44/12</f>
        <v>0.11089321219499951</v>
      </c>
      <c r="BR193" s="21">
        <f>EXP(-LN(2)/2)*BR192+(1-EXP(-LN(2)/2))/(LN(2)/2)*BL193*BO193*VLOOKUP('Données projet'!$B$11,Paramètres!$A$1:$I$89,3,0)*0.475*44/12</f>
        <v>7.0598480492859065E-24</v>
      </c>
      <c r="BS193" s="22">
        <f t="shared" si="169"/>
        <v>0.41828186611509133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1.9895196601282805E-13</v>
      </c>
      <c r="BZ193" s="13">
        <f>BY193*VLOOKUP('Données projet'!$B$12,Paramètres!$A$1:$I$89,3,0)*VLOOKUP('Données projet'!$B$12,Paramètres!$A$1:$I$89,5,0)</f>
        <v>1.738044375088066E-13</v>
      </c>
      <c r="CA193" s="13">
        <f t="shared" si="170"/>
        <v>2.4483293633950478E-12</v>
      </c>
      <c r="CB193" s="20">
        <f t="shared" si="171"/>
        <v>4.566883036574213E-12</v>
      </c>
      <c r="CC193" s="59">
        <f t="shared" si="119"/>
        <v>293.33333333333786</v>
      </c>
      <c r="CD193" s="59">
        <f ca="1">AVERAGE(OFFSET($CC$3,0,0,'Données projet'!$E$12+1,1))-AVERAGE(OFFSET($H$3,0,0,'Données projet'!$E$12+1,1))</f>
        <v>321.23599968992932</v>
      </c>
      <c r="CE193" s="59">
        <f t="shared" si="148"/>
        <v>388.05195847800502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0.15369995503454206</v>
      </c>
      <c r="CL193" s="21">
        <f>EXP(-LN(2)/25)*CL192+(1-EXP(-LN(2)/25))/(LN(2)/25)*Calculateur!CG193*Calculateur!CI193*VLOOKUP('Données projet'!$B$12,Paramètres!$A$1:$I$89,3,0)*0.475*44/12</f>
        <v>0.24985049186780911</v>
      </c>
      <c r="CM193" s="21">
        <f>EXP(-LN(2)/2)*CM192+(1-EXP(-LN(2)/2))/(LN(2)/2)*CG193*CJ193*VLOOKUP('Données projet'!$B$12,Paramètres!$A$1:$I$89,3,0)*0.475*44/12</f>
        <v>9.9781829192063175E-24</v>
      </c>
      <c r="CN193" s="22">
        <f t="shared" si="172"/>
        <v>0.4035504469023512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-1.0995790944434703E-13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399.24912109442175</v>
      </c>
      <c r="CZ193" s="59">
        <f t="shared" si="150"/>
        <v>269.83150082245305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-1.223725121235475E-13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439.66981240211362</v>
      </c>
      <c r="DU193" s="59">
        <f t="shared" si="152"/>
        <v>295.47805371292458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-1.0818439477588981E-13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393.46715670823653</v>
      </c>
      <c r="EP193" s="59">
        <f t="shared" si="154"/>
        <v>266.16261355327214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549.43232095729741</v>
      </c>
      <c r="T194" s="59">
        <f t="shared" si="142"/>
        <v>280.26155987300996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0.51661419273949782</v>
      </c>
      <c r="AA194" s="21">
        <f>EXP(-LN(2)/25)*AA193+(1-EXP(-LN(2)/25))/(LN(2)/25)*Calculateur!V194*Calculateur!X194*VLOOKUP('Données projet'!$B$9,Paramètres!$A$1:$I$89,3,0)*0.475*44/12</f>
        <v>0.11008420747610244</v>
      </c>
      <c r="AB194" s="21">
        <f>EXP(-LN(2)/2)*AB193+(1-EXP(-LN(2)/2))/(LN(2)/2)*V194*Y194*VLOOKUP('Données projet'!$B$9,Paramètres!$A$1:$I$89,3,0)*0.475*44/12</f>
        <v>2.6351100044328677E-24</v>
      </c>
      <c r="AC194" s="22">
        <f t="shared" si="163"/>
        <v>0.6266984002156003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348.62416478262719</v>
      </c>
      <c r="AO194" s="59">
        <f t="shared" si="144"/>
        <v>371.70674704563288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0.54615774485226298</v>
      </c>
      <c r="AV194" s="21">
        <f>EXP(-LN(2)/25)*AV193+(1-EXP(-LN(2)/25))/(LN(2)/25)*Calculateur!AQ194*Calculateur!AS194*VLOOKUP('Données projet'!$B$10,Paramètres!$A$1:$I$89,3,0)*0.475*44/12</f>
        <v>0.14060844685514418</v>
      </c>
      <c r="AW194" s="21">
        <f>EXP(-LN(2)/2)*AW193+(1-EXP(-LN(2)/2))/(LN(2)/2)*AQ194*AT194*VLOOKUP('Données projet'!$B$10,Paramètres!$A$1:$I$89,3,0)*0.475*44/12</f>
        <v>7.2853165849956687E-24</v>
      </c>
      <c r="AX194" s="21">
        <f t="shared" si="166"/>
        <v>0.68676619170740716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405.7176439604217</v>
      </c>
      <c r="BJ194" s="59">
        <f t="shared" si="146"/>
        <v>278.21741231699929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0.30136094990528473</v>
      </c>
      <c r="BQ194" s="21">
        <f>EXP(-LN(2)/25)*BQ193+(1-EXP(-LN(2)/25))/(LN(2)/25)*Calculateur!BL194*Calculateur!BN194*VLOOKUP('Données projet'!$B$11,Paramètres!$A$1:$I$89,3,0)*0.475*44/12</f>
        <v>0.10786083147590667</v>
      </c>
      <c r="BR194" s="21">
        <f>EXP(-LN(2)/2)*BR193+(1-EXP(-LN(2)/2))/(LN(2)/2)*BL194*BO194*VLOOKUP('Données projet'!$B$11,Paramètres!$A$1:$I$89,3,0)*0.475*44/12</f>
        <v>4.9920664297966839E-24</v>
      </c>
      <c r="BS194" s="22">
        <f t="shared" si="169"/>
        <v>0.40922178138119136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1.9895196601282805E-13</v>
      </c>
      <c r="BZ194" s="13">
        <f>BY194*VLOOKUP('Données projet'!$B$12,Paramètres!$A$1:$I$89,3,0)*VLOOKUP('Données projet'!$B$12,Paramètres!$A$1:$I$89,5,0)</f>
        <v>1.738044375088066E-13</v>
      </c>
      <c r="CA194" s="13">
        <f t="shared" si="170"/>
        <v>2.4483293633950478E-12</v>
      </c>
      <c r="CB194" s="20">
        <f t="shared" si="171"/>
        <v>4.566883036574213E-12</v>
      </c>
      <c r="CC194" s="59">
        <f t="shared" si="119"/>
        <v>293.33333333333786</v>
      </c>
      <c r="CD194" s="59">
        <f ca="1">AVERAGE(OFFSET($CC$3,0,0,'Données projet'!$E$12+1,1))-AVERAGE(OFFSET($H$3,0,0,'Données projet'!$E$12+1,1))</f>
        <v>321.23599968992932</v>
      </c>
      <c r="CE194" s="59">
        <f t="shared" si="148"/>
        <v>388.05195847800502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0.15068599266403043</v>
      </c>
      <c r="CL194" s="21">
        <f>EXP(-LN(2)/25)*CL193+(1-EXP(-LN(2)/25))/(LN(2)/25)*Calculateur!CG194*Calculateur!CI194*VLOOKUP('Données projet'!$B$12,Paramètres!$A$1:$I$89,3,0)*0.475*44/12</f>
        <v>0.24301831702861754</v>
      </c>
      <c r="CM194" s="21">
        <f>EXP(-LN(2)/2)*CM193+(1-EXP(-LN(2)/2))/(LN(2)/2)*CG194*CJ194*VLOOKUP('Données projet'!$B$12,Paramètres!$A$1:$I$89,3,0)*0.475*44/12</f>
        <v>7.0556408060905674E-24</v>
      </c>
      <c r="CN194" s="22">
        <f t="shared" si="172"/>
        <v>0.39370430969264797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-1.0995790944434703E-13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399.24912109442175</v>
      </c>
      <c r="CZ194" s="59">
        <f t="shared" si="150"/>
        <v>269.83150082245305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-1.223725121235475E-13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439.66981240211362</v>
      </c>
      <c r="DU194" s="59">
        <f t="shared" si="152"/>
        <v>295.47805371292458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-1.0818439477588981E-13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393.46715670823653</v>
      </c>
      <c r="EP194" s="59">
        <f t="shared" si="154"/>
        <v>266.16261355327214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549.43232095729741</v>
      </c>
      <c r="T195" s="59">
        <f t="shared" si="142"/>
        <v>280.26155987300996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0.50648370352341998</v>
      </c>
      <c r="AA195" s="21">
        <f>EXP(-LN(2)/25)*AA194+(1-EXP(-LN(2)/25))/(LN(2)/25)*Calculateur!V195*Calculateur!X195*VLOOKUP('Données projet'!$B$9,Paramètres!$A$1:$I$89,3,0)*0.475*44/12</f>
        <v>0.10707394903359155</v>
      </c>
      <c r="AB195" s="21">
        <f>EXP(-LN(2)/2)*AB194+(1-EXP(-LN(2)/2))/(LN(2)/2)*V195*Y195*VLOOKUP('Données projet'!$B$9,Paramètres!$A$1:$I$89,3,0)*0.475*44/12</f>
        <v>1.8633041533069941E-24</v>
      </c>
      <c r="AC195" s="22">
        <f t="shared" si="163"/>
        <v>0.61355765255701156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348.62416478262719</v>
      </c>
      <c r="AO195" s="59">
        <f t="shared" si="144"/>
        <v>371.70674704563288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0.53544792459904123</v>
      </c>
      <c r="AV195" s="21">
        <f>EXP(-LN(2)/25)*AV194+(1-EXP(-LN(2)/25))/(LN(2)/25)*Calculateur!AQ195*Calculateur!AS195*VLOOKUP('Données projet'!$B$10,Paramètres!$A$1:$I$89,3,0)*0.475*44/12</f>
        <v>0.1367635014816134</v>
      </c>
      <c r="AW195" s="21">
        <f>EXP(-LN(2)/2)*AW194+(1-EXP(-LN(2)/2))/(LN(2)/2)*AQ195*AT195*VLOOKUP('Données projet'!$B$10,Paramètres!$A$1:$I$89,3,0)*0.475*44/12</f>
        <v>5.151496760341258E-24</v>
      </c>
      <c r="AX195" s="21">
        <f t="shared" si="166"/>
        <v>0.67221142608065465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405.7176439604217</v>
      </c>
      <c r="BJ195" s="59">
        <f t="shared" si="146"/>
        <v>278.21741231699929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0.29545144548967162</v>
      </c>
      <c r="BQ195" s="21">
        <f>EXP(-LN(2)/25)*BQ194+(1-EXP(-LN(2)/25))/(LN(2)/25)*Calculateur!BL195*Calculateur!BN195*VLOOKUP('Données projet'!$B$11,Paramètres!$A$1:$I$89,3,0)*0.475*44/12</f>
        <v>0.10491137136704339</v>
      </c>
      <c r="BR195" s="21">
        <f>EXP(-LN(2)/2)*BR194+(1-EXP(-LN(2)/2))/(LN(2)/2)*BL195*BO195*VLOOKUP('Données projet'!$B$11,Paramètres!$A$1:$I$89,3,0)*0.475*44/12</f>
        <v>3.5299240246429533E-24</v>
      </c>
      <c r="BS195" s="22">
        <f t="shared" si="169"/>
        <v>0.40036281685671499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1.9895196601282805E-13</v>
      </c>
      <c r="BZ195" s="13">
        <f>BY195*VLOOKUP('Données projet'!$B$12,Paramètres!$A$1:$I$89,3,0)*VLOOKUP('Données projet'!$B$12,Paramètres!$A$1:$I$89,5,0)</f>
        <v>1.738044375088066E-13</v>
      </c>
      <c r="CA195" s="13">
        <f t="shared" si="170"/>
        <v>2.4483293633950478E-12</v>
      </c>
      <c r="CB195" s="20">
        <f t="shared" si="171"/>
        <v>4.566883036574213E-12</v>
      </c>
      <c r="CC195" s="59">
        <f t="shared" si="119"/>
        <v>293.33333333333786</v>
      </c>
      <c r="CD195" s="59">
        <f ca="1">AVERAGE(OFFSET($CC$3,0,0,'Données projet'!$E$12+1,1))-AVERAGE(OFFSET($H$3,0,0,'Données projet'!$E$12+1,1))</f>
        <v>321.23599968992932</v>
      </c>
      <c r="CE195" s="59">
        <f t="shared" si="148"/>
        <v>388.05195847800502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0.14773113225726903</v>
      </c>
      <c r="CL195" s="21">
        <f>EXP(-LN(2)/25)*CL194+(1-EXP(-LN(2)/25))/(LN(2)/25)*Calculateur!CG195*Calculateur!CI195*VLOOKUP('Données projet'!$B$12,Paramètres!$A$1:$I$89,3,0)*0.475*44/12</f>
        <v>0.23637296836969213</v>
      </c>
      <c r="CM195" s="21">
        <f>EXP(-LN(2)/2)*CM194+(1-EXP(-LN(2)/2))/(LN(2)/2)*CG195*CJ195*VLOOKUP('Données projet'!$B$12,Paramètres!$A$1:$I$89,3,0)*0.475*44/12</f>
        <v>4.9890914596031587E-24</v>
      </c>
      <c r="CN195" s="22">
        <f t="shared" si="172"/>
        <v>0.38410410062696115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-1.0995790944434703E-13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399.24912109442175</v>
      </c>
      <c r="CZ195" s="59">
        <f t="shared" si="150"/>
        <v>269.83150082245305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-1.223725121235475E-13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439.66981240211362</v>
      </c>
      <c r="DU195" s="59">
        <f t="shared" si="152"/>
        <v>295.47805371292458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-1.0818439477588981E-13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393.46715670823653</v>
      </c>
      <c r="EP195" s="59">
        <f t="shared" si="154"/>
        <v>266.16261355327214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549.43232095729741</v>
      </c>
      <c r="T196" s="59">
        <f t="shared" si="142"/>
        <v>280.26155987300996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0.49655186702188109</v>
      </c>
      <c r="AA196" s="21">
        <f>EXP(-LN(2)/25)*AA195+(1-EXP(-LN(2)/25))/(LN(2)/25)*Calculateur!V196*Calculateur!X196*VLOOKUP('Données projet'!$B$9,Paramètres!$A$1:$I$89,3,0)*0.475*44/12</f>
        <v>0.10414600626649373</v>
      </c>
      <c r="AB196" s="21">
        <f>EXP(-LN(2)/2)*AB195+(1-EXP(-LN(2)/2))/(LN(2)/2)*V196*Y196*VLOOKUP('Données projet'!$B$9,Paramètres!$A$1:$I$89,3,0)*0.475*44/12</f>
        <v>1.3175550022164339E-24</v>
      </c>
      <c r="AC196" s="22">
        <f t="shared" si="163"/>
        <v>0.60069787328837476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348.62416478262719</v>
      </c>
      <c r="AO196" s="59">
        <f t="shared" si="144"/>
        <v>371.70674704563288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0.52494811738863989</v>
      </c>
      <c r="AV196" s="21">
        <f>EXP(-LN(2)/25)*AV195+(1-EXP(-LN(2)/25))/(LN(2)/25)*Calculateur!AQ196*Calculateur!AS196*VLOOKUP('Données projet'!$B$10,Paramètres!$A$1:$I$89,3,0)*0.475*44/12</f>
        <v>0.13302369634151873</v>
      </c>
      <c r="AW196" s="21">
        <f>EXP(-LN(2)/2)*AW195+(1-EXP(-LN(2)/2))/(LN(2)/2)*AQ196*AT196*VLOOKUP('Données projet'!$B$10,Paramètres!$A$1:$I$89,3,0)*0.475*44/12</f>
        <v>3.6426582924978343E-24</v>
      </c>
      <c r="AX196" s="21">
        <f t="shared" si="166"/>
        <v>0.65797181373015867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405.7176439604217</v>
      </c>
      <c r="BJ196" s="59">
        <f t="shared" si="146"/>
        <v>278.21741231699929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0.28965782285120689</v>
      </c>
      <c r="BQ196" s="21">
        <f>EXP(-LN(2)/25)*BQ195+(1-EXP(-LN(2)/25))/(LN(2)/25)*Calculateur!BL196*Calculateur!BN196*VLOOKUP('Données projet'!$B$11,Paramètres!$A$1:$I$89,3,0)*0.475*44/12</f>
        <v>0.10204256439996234</v>
      </c>
      <c r="BR196" s="21">
        <f>EXP(-LN(2)/2)*BR195+(1-EXP(-LN(2)/2))/(LN(2)/2)*BL196*BO196*VLOOKUP('Données projet'!$B$11,Paramètres!$A$1:$I$89,3,0)*0.475*44/12</f>
        <v>2.496033214898342E-24</v>
      </c>
      <c r="BS196" s="22">
        <f t="shared" si="169"/>
        <v>0.39170038725116924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1.9895196601282805E-13</v>
      </c>
      <c r="BZ196" s="13">
        <f>BY196*VLOOKUP('Données projet'!$B$12,Paramètres!$A$1:$I$89,3,0)*VLOOKUP('Données projet'!$B$12,Paramètres!$A$1:$I$89,5,0)</f>
        <v>1.738044375088066E-13</v>
      </c>
      <c r="CA196" s="13">
        <f t="shared" si="170"/>
        <v>2.4483293633950478E-12</v>
      </c>
      <c r="CB196" s="20">
        <f t="shared" si="171"/>
        <v>4.566883036574213E-12</v>
      </c>
      <c r="CC196" s="59">
        <f t="shared" ref="CC196:CC203" si="195">CB196+(BT196+BU196)*44/12</f>
        <v>293.33333333333786</v>
      </c>
      <c r="CD196" s="59">
        <f ca="1">AVERAGE(OFFSET($CC$3,0,0,'Données projet'!$E$12+1,1))-AVERAGE(OFFSET($H$3,0,0,'Données projet'!$E$12+1,1))</f>
        <v>321.23599968992932</v>
      </c>
      <c r="CE196" s="59">
        <f t="shared" si="148"/>
        <v>388.05195847800502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0.14483421486079731</v>
      </c>
      <c r="CL196" s="21">
        <f>EXP(-LN(2)/25)*CL195+(1-EXP(-LN(2)/25))/(LN(2)/25)*Calculateur!CG196*Calculateur!CI196*VLOOKUP('Données projet'!$B$12,Paramètres!$A$1:$I$89,3,0)*0.475*44/12</f>
        <v>0.22990933711930872</v>
      </c>
      <c r="CM196" s="21">
        <f>EXP(-LN(2)/2)*CM195+(1-EXP(-LN(2)/2))/(LN(2)/2)*CG196*CJ196*VLOOKUP('Données projet'!$B$12,Paramètres!$A$1:$I$89,3,0)*0.475*44/12</f>
        <v>3.5278204030452837E-24</v>
      </c>
      <c r="CN196" s="22">
        <f t="shared" si="172"/>
        <v>0.374743551980106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-1.0995790944434703E-13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399.24912109442175</v>
      </c>
      <c r="CZ196" s="59">
        <f t="shared" si="150"/>
        <v>269.83150082245305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-1.223725121235475E-13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439.66981240211362</v>
      </c>
      <c r="DU196" s="59">
        <f t="shared" si="152"/>
        <v>295.47805371292458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-1.0818439477588981E-13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393.46715670823653</v>
      </c>
      <c r="EP196" s="59">
        <f t="shared" si="154"/>
        <v>266.16261355327214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549.43232095729741</v>
      </c>
      <c r="T197" s="59">
        <f t="shared" ref="T197:T203" si="204">$T$3</f>
        <v>280.26155987300996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0.48681478777631526</v>
      </c>
      <c r="AA197" s="21">
        <f>EXP(-LN(2)/25)*AA196+(1-EXP(-LN(2)/25))/(LN(2)/25)*Calculateur!V197*Calculateur!X197*VLOOKUP('Données projet'!$B$9,Paramètres!$A$1:$I$89,3,0)*0.475*44/12</f>
        <v>0.10129812824833602</v>
      </c>
      <c r="AB197" s="21">
        <f>EXP(-LN(2)/2)*AB196+(1-EXP(-LN(2)/2))/(LN(2)/2)*V197*Y197*VLOOKUP('Données projet'!$B$9,Paramètres!$A$1:$I$89,3,0)*0.475*44/12</f>
        <v>9.3165207665349703E-25</v>
      </c>
      <c r="AC197" s="22">
        <f t="shared" si="163"/>
        <v>0.58811291602465132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348.62416478262719</v>
      </c>
      <c r="AO197" s="59">
        <f t="shared" ref="AO197:AO203" si="205">$AO$3</f>
        <v>371.70674704563288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0.51465420499338443</v>
      </c>
      <c r="AV197" s="21">
        <f>EXP(-LN(2)/25)*AV196+(1-EXP(-LN(2)/25))/(LN(2)/25)*Calculateur!AQ197*Calculateur!AS197*VLOOKUP('Données projet'!$B$10,Paramètres!$A$1:$I$89,3,0)*0.475*44/12</f>
        <v>0.12938615636964773</v>
      </c>
      <c r="AW197" s="21">
        <f>EXP(-LN(2)/2)*AW196+(1-EXP(-LN(2)/2))/(LN(2)/2)*AQ197*AT197*VLOOKUP('Données projet'!$B$10,Paramètres!$A$1:$I$89,3,0)*0.475*44/12</f>
        <v>2.575748380170629E-24</v>
      </c>
      <c r="AX197" s="21">
        <f t="shared" si="166"/>
        <v>0.64404036136303211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405.7176439604217</v>
      </c>
      <c r="BJ197" s="59">
        <f t="shared" ref="BJ197:BJ203" si="206">$BJ$3</f>
        <v>278.21741231699929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0.28397780961892155</v>
      </c>
      <c r="BQ197" s="21">
        <f>EXP(-LN(2)/25)*BQ196+(1-EXP(-LN(2)/25))/(LN(2)/25)*Calculateur!BL197*Calculateur!BN197*VLOOKUP('Données projet'!$B$11,Paramètres!$A$1:$I$89,3,0)*0.475*44/12</f>
        <v>9.925220511026013E-2</v>
      </c>
      <c r="BR197" s="21">
        <f>EXP(-LN(2)/2)*BR196+(1-EXP(-LN(2)/2))/(LN(2)/2)*BL197*BO197*VLOOKUP('Données projet'!$B$11,Paramètres!$A$1:$I$89,3,0)*0.475*44/12</f>
        <v>1.7649620123214766E-24</v>
      </c>
      <c r="BS197" s="22">
        <f t="shared" si="169"/>
        <v>0.38323001472918167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1.9895196601282805E-13</v>
      </c>
      <c r="BZ197" s="13">
        <f>BY197*VLOOKUP('Données projet'!$B$12,Paramètres!$A$1:$I$89,3,0)*VLOOKUP('Données projet'!$B$12,Paramètres!$A$1:$I$89,5,0)</f>
        <v>1.738044375088066E-13</v>
      </c>
      <c r="CA197" s="13">
        <f t="shared" si="170"/>
        <v>2.4483293633950478E-12</v>
      </c>
      <c r="CB197" s="20">
        <f t="shared" si="171"/>
        <v>4.566883036574213E-12</v>
      </c>
      <c r="CC197" s="59">
        <f t="shared" si="195"/>
        <v>293.33333333333786</v>
      </c>
      <c r="CD197" s="59">
        <f ca="1">AVERAGE(OFFSET($CC$3,0,0,'Données projet'!$E$12+1,1))-AVERAGE(OFFSET($H$3,0,0,'Données projet'!$E$12+1,1))</f>
        <v>321.23599968992932</v>
      </c>
      <c r="CE197" s="59">
        <f t="shared" ref="CE197:CE203" si="207">$CE$3</f>
        <v>388.05195847800502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0.14199410424752529</v>
      </c>
      <c r="CL197" s="21">
        <f>EXP(-LN(2)/25)*CL196+(1-EXP(-LN(2)/25))/(LN(2)/25)*Calculateur!CG197*Calculateur!CI197*VLOOKUP('Données projet'!$B$12,Paramètres!$A$1:$I$89,3,0)*0.475*44/12</f>
        <v>0.22362245420537466</v>
      </c>
      <c r="CM197" s="21">
        <f>EXP(-LN(2)/2)*CM196+(1-EXP(-LN(2)/2))/(LN(2)/2)*CG197*CJ197*VLOOKUP('Données projet'!$B$12,Paramètres!$A$1:$I$89,3,0)*0.475*44/12</f>
        <v>2.4945457298015794E-24</v>
      </c>
      <c r="CN197" s="22">
        <f t="shared" si="172"/>
        <v>0.36561655845289998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-1.0995790944434703E-13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399.24912109442175</v>
      </c>
      <c r="CZ197" s="59">
        <f t="shared" ref="CZ197:CZ203" si="208">$CZ$3</f>
        <v>269.83150082245305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-1.223725121235475E-13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439.66981240211362</v>
      </c>
      <c r="DU197" s="59">
        <f t="shared" ref="DU197:DU203" si="209">$DU$3</f>
        <v>295.47805371292458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-1.0818439477588981E-13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393.46715670823653</v>
      </c>
      <c r="EP197" s="59">
        <f t="shared" ref="EP197:EP203" si="210">$EP$3</f>
        <v>266.16261355327214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549.43232095729741</v>
      </c>
      <c r="T198" s="59">
        <f t="shared" si="204"/>
        <v>280.26155987300996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0.47726864671572311</v>
      </c>
      <c r="AA198" s="21">
        <f>EXP(-LN(2)/25)*AA197+(1-EXP(-LN(2)/25))/(LN(2)/25)*Calculateur!V198*Calculateur!X198*VLOOKUP('Données projet'!$B$9,Paramètres!$A$1:$I$89,3,0)*0.475*44/12</f>
        <v>9.8528125604348232E-2</v>
      </c>
      <c r="AB198" s="21">
        <f>EXP(-LN(2)/2)*AB197+(1-EXP(-LN(2)/2))/(LN(2)/2)*V198*Y198*VLOOKUP('Données projet'!$B$9,Paramètres!$A$1:$I$89,3,0)*0.475*44/12</f>
        <v>6.5877750110821693E-25</v>
      </c>
      <c r="AC198" s="22">
        <f t="shared" si="163"/>
        <v>0.57579677232007132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348.62416478262719</v>
      </c>
      <c r="AO198" s="59">
        <f t="shared" si="205"/>
        <v>371.70674704563288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0.50456214994153337</v>
      </c>
      <c r="AV198" s="21">
        <f>EXP(-LN(2)/25)*AV197+(1-EXP(-LN(2)/25))/(LN(2)/25)*Calculateur!AQ198*Calculateur!AS198*VLOOKUP('Données projet'!$B$10,Paramètres!$A$1:$I$89,3,0)*0.475*44/12</f>
        <v>0.12584808511959747</v>
      </c>
      <c r="AW198" s="21">
        <f>EXP(-LN(2)/2)*AW197+(1-EXP(-LN(2)/2))/(LN(2)/2)*AQ198*AT198*VLOOKUP('Données projet'!$B$10,Paramètres!$A$1:$I$89,3,0)*0.475*44/12</f>
        <v>1.8213291462489172E-24</v>
      </c>
      <c r="AX198" s="21">
        <f t="shared" si="166"/>
        <v>0.63041023506113081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405.7176439604217</v>
      </c>
      <c r="BJ198" s="59">
        <f t="shared" si="206"/>
        <v>278.21741231699929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0.27840917798165538</v>
      </c>
      <c r="BQ198" s="21">
        <f>EXP(-LN(2)/25)*BQ197+(1-EXP(-LN(2)/25))/(LN(2)/25)*Calculateur!BL198*Calculateur!BN198*VLOOKUP('Données projet'!$B$11,Paramètres!$A$1:$I$89,3,0)*0.475*44/12</f>
        <v>9.6538148342073443E-2</v>
      </c>
      <c r="BR198" s="21">
        <f>EXP(-LN(2)/2)*BR197+(1-EXP(-LN(2)/2))/(LN(2)/2)*BL198*BO198*VLOOKUP('Données projet'!$B$11,Paramètres!$A$1:$I$89,3,0)*0.475*44/12</f>
        <v>1.248016607449171E-24</v>
      </c>
      <c r="BS198" s="22">
        <f t="shared" si="169"/>
        <v>0.37494732632372885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1.9895196601282805E-13</v>
      </c>
      <c r="BZ198" s="13">
        <f>BY198*VLOOKUP('Données projet'!$B$12,Paramètres!$A$1:$I$89,3,0)*VLOOKUP('Données projet'!$B$12,Paramètres!$A$1:$I$89,5,0)</f>
        <v>1.738044375088066E-13</v>
      </c>
      <c r="CA198" s="13">
        <f t="shared" si="170"/>
        <v>2.4483293633950478E-12</v>
      </c>
      <c r="CB198" s="20">
        <f t="shared" si="171"/>
        <v>4.566883036574213E-12</v>
      </c>
      <c r="CC198" s="59">
        <f t="shared" si="195"/>
        <v>293.33333333333786</v>
      </c>
      <c r="CD198" s="59">
        <f ca="1">AVERAGE(OFFSET($CC$3,0,0,'Données projet'!$E$12+1,1))-AVERAGE(OFFSET($H$3,0,0,'Données projet'!$E$12+1,1))</f>
        <v>321.23599968992932</v>
      </c>
      <c r="CE198" s="59">
        <f t="shared" si="207"/>
        <v>388.05195847800502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0.13920968647108309</v>
      </c>
      <c r="CL198" s="21">
        <f>EXP(-LN(2)/25)*CL197+(1-EXP(-LN(2)/25))/(LN(2)/25)*Calculateur!CG198*Calculateur!CI198*VLOOKUP('Données projet'!$B$12,Paramètres!$A$1:$I$89,3,0)*0.475*44/12</f>
        <v>0.21750748643533491</v>
      </c>
      <c r="CM198" s="21">
        <f>EXP(-LN(2)/2)*CM197+(1-EXP(-LN(2)/2))/(LN(2)/2)*CG198*CJ198*VLOOKUP('Données projet'!$B$12,Paramètres!$A$1:$I$89,3,0)*0.475*44/12</f>
        <v>1.7639102015226419E-24</v>
      </c>
      <c r="CN198" s="22">
        <f t="shared" si="172"/>
        <v>0.35671717290641802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-1.0995790944434703E-13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399.24912109442175</v>
      </c>
      <c r="CZ198" s="59">
        <f t="shared" si="208"/>
        <v>269.83150082245305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-1.223725121235475E-13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439.66981240211362</v>
      </c>
      <c r="DU198" s="59">
        <f t="shared" si="209"/>
        <v>295.47805371292458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-1.0818439477588981E-13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393.46715670823653</v>
      </c>
      <c r="EP198" s="59">
        <f t="shared" si="210"/>
        <v>266.16261355327214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549.43232095729741</v>
      </c>
      <c r="T199" s="59">
        <f t="shared" si="204"/>
        <v>280.26155987300996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0.46790969965875806</v>
      </c>
      <c r="AA199" s="21">
        <f>EXP(-LN(2)/25)*AA198+(1-EXP(-LN(2)/25))/(LN(2)/25)*Calculateur!V199*Calculateur!X199*VLOOKUP('Données projet'!$B$9,Paramètres!$A$1:$I$89,3,0)*0.475*44/12</f>
        <v>9.5833868828328395E-2</v>
      </c>
      <c r="AB199" s="21">
        <f>EXP(-LN(2)/2)*AB198+(1-EXP(-LN(2)/2))/(LN(2)/2)*V199*Y199*VLOOKUP('Données projet'!$B$9,Paramètres!$A$1:$I$89,3,0)*0.475*44/12</f>
        <v>4.6582603832674851E-25</v>
      </c>
      <c r="AC199" s="22">
        <f t="shared" si="163"/>
        <v>0.5637435684870864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348.62416478262719</v>
      </c>
      <c r="AO199" s="59">
        <f t="shared" si="205"/>
        <v>371.70674704563288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0.49466799393370331</v>
      </c>
      <c r="AV199" s="21">
        <f>EXP(-LN(2)/25)*AV198+(1-EXP(-LN(2)/25))/(LN(2)/25)*Calculateur!AQ199*Calculateur!AS199*VLOOKUP('Données projet'!$B$10,Paramètres!$A$1:$I$89,3,0)*0.475*44/12</f>
        <v>0.12240676261393892</v>
      </c>
      <c r="AW199" s="21">
        <f>EXP(-LN(2)/2)*AW198+(1-EXP(-LN(2)/2))/(LN(2)/2)*AQ199*AT199*VLOOKUP('Données projet'!$B$10,Paramètres!$A$1:$I$89,3,0)*0.475*44/12</f>
        <v>1.2878741900853145E-24</v>
      </c>
      <c r="AX199" s="21">
        <f t="shared" si="166"/>
        <v>0.61707475654764221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405.7176439604217</v>
      </c>
      <c r="BJ199" s="59">
        <f t="shared" si="206"/>
        <v>278.21741231699929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0.27294974381426607</v>
      </c>
      <c r="BQ199" s="21">
        <f>EXP(-LN(2)/25)*BQ198+(1-EXP(-LN(2)/25))/(LN(2)/25)*Calculateur!BL199*Calculateur!BN199*VLOOKUP('Données projet'!$B$11,Paramètres!$A$1:$I$89,3,0)*0.475*44/12</f>
        <v>9.3898307598938871E-2</v>
      </c>
      <c r="BR199" s="21">
        <f>EXP(-LN(2)/2)*BR198+(1-EXP(-LN(2)/2))/(LN(2)/2)*BL199*BO199*VLOOKUP('Données projet'!$B$11,Paramètres!$A$1:$I$89,3,0)*0.475*44/12</f>
        <v>8.8248100616073832E-25</v>
      </c>
      <c r="BS199" s="22">
        <f t="shared" si="169"/>
        <v>0.36684805141320492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1.9895196601282805E-13</v>
      </c>
      <c r="BZ199" s="13">
        <f>BY199*VLOOKUP('Données projet'!$B$12,Paramètres!$A$1:$I$89,3,0)*VLOOKUP('Données projet'!$B$12,Paramètres!$A$1:$I$89,5,0)</f>
        <v>1.738044375088066E-13</v>
      </c>
      <c r="CA199" s="13">
        <f t="shared" si="170"/>
        <v>2.4483293633950478E-12</v>
      </c>
      <c r="CB199" s="20">
        <f t="shared" si="171"/>
        <v>4.566883036574213E-12</v>
      </c>
      <c r="CC199" s="59">
        <f t="shared" si="195"/>
        <v>293.33333333333786</v>
      </c>
      <c r="CD199" s="59">
        <f ca="1">AVERAGE(OFFSET($CC$3,0,0,'Données projet'!$E$12+1,1))-AVERAGE(OFFSET($H$3,0,0,'Données projet'!$E$12+1,1))</f>
        <v>321.23599968992932</v>
      </c>
      <c r="CE199" s="59">
        <f t="shared" si="207"/>
        <v>388.05195847800502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0.13647986942890977</v>
      </c>
      <c r="CL199" s="21">
        <f>EXP(-LN(2)/25)*CL198+(1-EXP(-LN(2)/25))/(LN(2)/25)*Calculateur!CG199*Calculateur!CI199*VLOOKUP('Données projet'!$B$12,Paramètres!$A$1:$I$89,3,0)*0.475*44/12</f>
        <v>0.21155973278053908</v>
      </c>
      <c r="CM199" s="21">
        <f>EXP(-LN(2)/2)*CM198+(1-EXP(-LN(2)/2))/(LN(2)/2)*CG199*CJ199*VLOOKUP('Données projet'!$B$12,Paramètres!$A$1:$I$89,3,0)*0.475*44/12</f>
        <v>1.2472728649007897E-24</v>
      </c>
      <c r="CN199" s="22">
        <f t="shared" si="172"/>
        <v>0.34803960220944885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-1.0995790944434703E-13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399.24912109442175</v>
      </c>
      <c r="CZ199" s="59">
        <f t="shared" si="208"/>
        <v>269.83150082245305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-1.223725121235475E-13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439.66981240211362</v>
      </c>
      <c r="DU199" s="59">
        <f t="shared" si="209"/>
        <v>295.47805371292458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-1.0818439477588981E-13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393.46715670823653</v>
      </c>
      <c r="EP199" s="59">
        <f t="shared" si="210"/>
        <v>266.16261355327214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549.43232095729741</v>
      </c>
      <c r="T200" s="59">
        <f t="shared" si="204"/>
        <v>280.26155987300996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0.458734275845186</v>
      </c>
      <c r="AA200" s="21">
        <f>EXP(-LN(2)/25)*AA199+(1-EXP(-LN(2)/25))/(LN(2)/25)*Calculateur!V200*Calculateur!X200*VLOOKUP('Données projet'!$B$9,Paramètres!$A$1:$I$89,3,0)*0.475*44/12</f>
        <v>9.3213286645533619E-2</v>
      </c>
      <c r="AB200" s="21">
        <f>EXP(-LN(2)/2)*AB199+(1-EXP(-LN(2)/2))/(LN(2)/2)*V200*Y200*VLOOKUP('Données projet'!$B$9,Paramètres!$A$1:$I$89,3,0)*0.475*44/12</f>
        <v>3.2938875055410847E-25</v>
      </c>
      <c r="AC200" s="22">
        <f t="shared" si="163"/>
        <v>0.55194756249071963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348.62416478262719</v>
      </c>
      <c r="AO200" s="59">
        <f t="shared" si="205"/>
        <v>371.70674704563288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0.48496785629034755</v>
      </c>
      <c r="AV200" s="21">
        <f>EXP(-LN(2)/25)*AV199+(1-EXP(-LN(2)/25))/(LN(2)/25)*Calculateur!AQ200*Calculateur!AS200*VLOOKUP('Données projet'!$B$10,Paramètres!$A$1:$I$89,3,0)*0.475*44/12</f>
        <v>0.11905954325316888</v>
      </c>
      <c r="AW200" s="21">
        <f>EXP(-LN(2)/2)*AW199+(1-EXP(-LN(2)/2))/(LN(2)/2)*AQ200*AT200*VLOOKUP('Données projet'!$B$10,Paramètres!$A$1:$I$89,3,0)*0.475*44/12</f>
        <v>9.1066457312445859E-25</v>
      </c>
      <c r="AX200" s="21">
        <f t="shared" si="166"/>
        <v>0.60402739954351647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405.7176439604217</v>
      </c>
      <c r="BJ200" s="59">
        <f t="shared" si="206"/>
        <v>278.21741231699929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0.26759736582097321</v>
      </c>
      <c r="BQ200" s="21">
        <f>EXP(-LN(2)/25)*BQ199+(1-EXP(-LN(2)/25))/(LN(2)/25)*Calculateur!BL200*Calculateur!BN200*VLOOKUP('Données projet'!$B$11,Paramètres!$A$1:$I$89,3,0)*0.475*44/12</f>
        <v>9.1330653439748499E-2</v>
      </c>
      <c r="BR200" s="21">
        <f>EXP(-LN(2)/2)*BR199+(1-EXP(-LN(2)/2))/(LN(2)/2)*BL200*BO200*VLOOKUP('Données projet'!$B$11,Paramètres!$A$1:$I$89,3,0)*0.475*44/12</f>
        <v>6.2400830372458549E-25</v>
      </c>
      <c r="BS200" s="22">
        <f t="shared" si="169"/>
        <v>0.35892801926072171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1.9895196601282805E-13</v>
      </c>
      <c r="BZ200" s="13">
        <f>BY200*VLOOKUP('Données projet'!$B$12,Paramètres!$A$1:$I$89,3,0)*VLOOKUP('Données projet'!$B$12,Paramètres!$A$1:$I$89,5,0)</f>
        <v>1.738044375088066E-13</v>
      </c>
      <c r="CA200" s="13">
        <f t="shared" si="170"/>
        <v>2.4483293633950478E-12</v>
      </c>
      <c r="CB200" s="20">
        <f t="shared" si="171"/>
        <v>4.566883036574213E-12</v>
      </c>
      <c r="CC200" s="59">
        <f t="shared" si="195"/>
        <v>293.33333333333786</v>
      </c>
      <c r="CD200" s="59">
        <f ca="1">AVERAGE(OFFSET($CC$3,0,0,'Données projet'!$E$12+1,1))-AVERAGE(OFFSET($H$3,0,0,'Données projet'!$E$12+1,1))</f>
        <v>321.23599968992932</v>
      </c>
      <c r="CE200" s="59">
        <f t="shared" si="207"/>
        <v>388.05195847800502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0.1338035824339095</v>
      </c>
      <c r="CL200" s="21">
        <f>EXP(-LN(2)/25)*CL199+(1-EXP(-LN(2)/25))/(LN(2)/25)*Calculateur!CG200*Calculateur!CI200*VLOOKUP('Données projet'!$B$12,Paramètres!$A$1:$I$89,3,0)*0.475*44/12</f>
        <v>0.20577462076221242</v>
      </c>
      <c r="CM200" s="21">
        <f>EXP(-LN(2)/2)*CM199+(1-EXP(-LN(2)/2))/(LN(2)/2)*CG200*CJ200*VLOOKUP('Données projet'!$B$12,Paramètres!$A$1:$I$89,3,0)*0.475*44/12</f>
        <v>8.8195510076132093E-25</v>
      </c>
      <c r="CN200" s="22">
        <f t="shared" si="172"/>
        <v>0.33957820319612192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-1.0995790944434703E-13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399.24912109442175</v>
      </c>
      <c r="CZ200" s="59">
        <f t="shared" si="208"/>
        <v>269.83150082245305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-1.223725121235475E-13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439.66981240211362</v>
      </c>
      <c r="DU200" s="59">
        <f t="shared" si="209"/>
        <v>295.47805371292458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-1.0818439477588981E-13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393.46715670823653</v>
      </c>
      <c r="EP200" s="59">
        <f t="shared" si="210"/>
        <v>266.16261355327214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549.43232095729741</v>
      </c>
      <c r="T201" s="59">
        <f t="shared" si="204"/>
        <v>280.26155987300996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0.44973877649614219</v>
      </c>
      <c r="AA201" s="21">
        <f>EXP(-LN(2)/25)*AA200+(1-EXP(-LN(2)/25))/(LN(2)/25)*Calculateur!V201*Calculateur!X201*VLOOKUP('Données projet'!$B$9,Paramètres!$A$1:$I$89,3,0)*0.475*44/12</f>
        <v>9.0664364420337804E-2</v>
      </c>
      <c r="AB201" s="21">
        <f>EXP(-LN(2)/2)*AB200+(1-EXP(-LN(2)/2))/(LN(2)/2)*V201*Y201*VLOOKUP('Données projet'!$B$9,Paramètres!$A$1:$I$89,3,0)*0.475*44/12</f>
        <v>2.3291301916337426E-25</v>
      </c>
      <c r="AC201" s="22">
        <f t="shared" si="163"/>
        <v>0.54040314091648001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348.62416478262719</v>
      </c>
      <c r="AO201" s="59">
        <f t="shared" si="205"/>
        <v>371.70674704563288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0.47545793242967821</v>
      </c>
      <c r="AV201" s="21">
        <f>EXP(-LN(2)/25)*AV200+(1-EXP(-LN(2)/25))/(LN(2)/25)*Calculateur!AQ201*Calculateur!AS201*VLOOKUP('Données projet'!$B$10,Paramètres!$A$1:$I$89,3,0)*0.475*44/12</f>
        <v>0.11580385378184171</v>
      </c>
      <c r="AW201" s="21">
        <f>EXP(-LN(2)/2)*AW200+(1-EXP(-LN(2)/2))/(LN(2)/2)*AQ201*AT201*VLOOKUP('Données projet'!$B$10,Paramètres!$A$1:$I$89,3,0)*0.475*44/12</f>
        <v>6.4393709504265725E-25</v>
      </c>
      <c r="AX201" s="21">
        <f t="shared" si="166"/>
        <v>0.59126178621151992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405.7176439604217</v>
      </c>
      <c r="BJ201" s="59">
        <f t="shared" si="206"/>
        <v>278.21741231699929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0.2623499446955006</v>
      </c>
      <c r="BQ201" s="21">
        <f>EXP(-LN(2)/25)*BQ200+(1-EXP(-LN(2)/25))/(LN(2)/25)*Calculateur!BL201*Calculateur!BN201*VLOOKUP('Données projet'!$B$11,Paramètres!$A$1:$I$89,3,0)*0.475*44/12</f>
        <v>8.8833211918568245E-2</v>
      </c>
      <c r="BR201" s="21">
        <f>EXP(-LN(2)/2)*BR200+(1-EXP(-LN(2)/2))/(LN(2)/2)*BL201*BO201*VLOOKUP('Données projet'!$B$11,Paramètres!$A$1:$I$89,3,0)*0.475*44/12</f>
        <v>4.4124050308036916E-25</v>
      </c>
      <c r="BS201" s="22">
        <f t="shared" si="169"/>
        <v>0.35118315661406885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1.9895196601282805E-13</v>
      </c>
      <c r="BZ201" s="13">
        <f>BY201*VLOOKUP('Données projet'!$B$12,Paramètres!$A$1:$I$89,3,0)*VLOOKUP('Données projet'!$B$12,Paramètres!$A$1:$I$89,5,0)</f>
        <v>1.738044375088066E-13</v>
      </c>
      <c r="CA201" s="13">
        <f t="shared" si="170"/>
        <v>2.4483293633950478E-12</v>
      </c>
      <c r="CB201" s="20">
        <f t="shared" si="171"/>
        <v>4.566883036574213E-12</v>
      </c>
      <c r="CC201" s="59">
        <f t="shared" si="195"/>
        <v>293.33333333333786</v>
      </c>
      <c r="CD201" s="59">
        <f ca="1">AVERAGE(OFFSET($CC$3,0,0,'Données projet'!$E$12+1,1))-AVERAGE(OFFSET($H$3,0,0,'Données projet'!$E$12+1,1))</f>
        <v>321.23599968992932</v>
      </c>
      <c r="CE201" s="59">
        <f t="shared" si="207"/>
        <v>388.05195847800502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0.13117977579450729</v>
      </c>
      <c r="CL201" s="21">
        <f>EXP(-LN(2)/25)*CL200+(1-EXP(-LN(2)/25))/(LN(2)/25)*Calculateur!CG201*Calculateur!CI201*VLOOKUP('Données projet'!$B$12,Paramètres!$A$1:$I$89,3,0)*0.475*44/12</f>
        <v>0.20014770293625272</v>
      </c>
      <c r="CM201" s="21">
        <f>EXP(-LN(2)/2)*CM200+(1-EXP(-LN(2)/2))/(LN(2)/2)*CG201*CJ201*VLOOKUP('Données projet'!$B$12,Paramètres!$A$1:$I$89,3,0)*0.475*44/12</f>
        <v>6.2363643245039484E-25</v>
      </c>
      <c r="CN201" s="22">
        <f t="shared" si="172"/>
        <v>0.33132747873076002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-1.0995790944434703E-13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399.24912109442175</v>
      </c>
      <c r="CZ201" s="59">
        <f t="shared" si="208"/>
        <v>269.83150082245305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-1.223725121235475E-13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439.66981240211362</v>
      </c>
      <c r="DU201" s="59">
        <f t="shared" si="209"/>
        <v>295.47805371292458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-1.0818439477588981E-13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393.46715670823653</v>
      </c>
      <c r="EP201" s="59">
        <f t="shared" si="210"/>
        <v>266.16261355327214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549.43232095729741</v>
      </c>
      <c r="T202" s="59">
        <f t="shared" si="204"/>
        <v>280.26155987300996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0.44091967340262028</v>
      </c>
      <c r="AA202" s="21">
        <f>EXP(-LN(2)/25)*AA201+(1-EXP(-LN(2)/25))/(LN(2)/25)*Calculateur!V202*Calculateur!X202*VLOOKUP('Données projet'!$B$9,Paramètres!$A$1:$I$89,3,0)*0.475*44/12</f>
        <v>8.818514260743196E-2</v>
      </c>
      <c r="AB202" s="21">
        <f>EXP(-LN(2)/2)*AB201+(1-EXP(-LN(2)/2))/(LN(2)/2)*V202*Y202*VLOOKUP('Données projet'!$B$9,Paramètres!$A$1:$I$89,3,0)*0.475*44/12</f>
        <v>1.6469437527705423E-25</v>
      </c>
      <c r="AC202" s="22">
        <f t="shared" si="163"/>
        <v>0.52910481601005221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348.62416478262719</v>
      </c>
      <c r="AO202" s="59">
        <f t="shared" si="205"/>
        <v>371.70674704563288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0.4661344923754358</v>
      </c>
      <c r="AV202" s="21">
        <f>EXP(-LN(2)/25)*AV201+(1-EXP(-LN(2)/25))/(LN(2)/25)*Calculateur!AQ202*Calculateur!AS202*VLOOKUP('Données projet'!$B$10,Paramètres!$A$1:$I$89,3,0)*0.475*44/12</f>
        <v>0.11263719131031726</v>
      </c>
      <c r="AW202" s="21">
        <f>EXP(-LN(2)/2)*AW201+(1-EXP(-LN(2)/2))/(LN(2)/2)*AQ202*AT202*VLOOKUP('Données projet'!$B$10,Paramètres!$A$1:$I$89,3,0)*0.475*44/12</f>
        <v>4.5533228656222929E-25</v>
      </c>
      <c r="AX202" s="21">
        <f t="shared" si="166"/>
        <v>0.57877168368575305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405.7176439604217</v>
      </c>
      <c r="BJ202" s="59">
        <f t="shared" si="206"/>
        <v>278.21741231699929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0.25720542229768767</v>
      </c>
      <c r="BQ202" s="21">
        <f>EXP(-LN(2)/25)*BQ201+(1-EXP(-LN(2)/25))/(LN(2)/25)*Calculateur!BL202*Calculateur!BN202*VLOOKUP('Données projet'!$B$11,Paramètres!$A$1:$I$89,3,0)*0.475*44/12</f>
        <v>8.640406306711941E-2</v>
      </c>
      <c r="BR202" s="21">
        <f>EXP(-LN(2)/2)*BR201+(1-EXP(-LN(2)/2))/(LN(2)/2)*BL202*BO202*VLOOKUP('Données projet'!$B$11,Paramètres!$A$1:$I$89,3,0)*0.475*44/12</f>
        <v>3.1200415186229275E-25</v>
      </c>
      <c r="BS202" s="22">
        <f t="shared" si="169"/>
        <v>0.34360948536480707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1.9895196601282805E-13</v>
      </c>
      <c r="BZ202" s="13">
        <f>BY202*VLOOKUP('Données projet'!$B$12,Paramètres!$A$1:$I$89,3,0)*VLOOKUP('Données projet'!$B$12,Paramètres!$A$1:$I$89,5,0)</f>
        <v>1.738044375088066E-13</v>
      </c>
      <c r="CA202" s="13">
        <f t="shared" si="170"/>
        <v>2.4483293633950478E-12</v>
      </c>
      <c r="CB202" s="20">
        <f t="shared" si="171"/>
        <v>4.566883036574213E-12</v>
      </c>
      <c r="CC202" s="59">
        <f t="shared" si="195"/>
        <v>293.33333333333786</v>
      </c>
      <c r="CD202" s="59">
        <f ca="1">AVERAGE(OFFSET($CC$3,0,0,'Données projet'!$E$12+1,1))-AVERAGE(OFFSET($H$3,0,0,'Données projet'!$E$12+1,1))</f>
        <v>321.23599968992932</v>
      </c>
      <c r="CE202" s="59">
        <f t="shared" si="207"/>
        <v>388.05195847800502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0.12860742040293974</v>
      </c>
      <c r="CL202" s="21">
        <f>EXP(-LN(2)/25)*CL201+(1-EXP(-LN(2)/25))/(LN(2)/25)*Calculateur!CG202*Calculateur!CI202*VLOOKUP('Données projet'!$B$12,Paramètres!$A$1:$I$89,3,0)*0.475*44/12</f>
        <v>0.19467465347415064</v>
      </c>
      <c r="CM202" s="21">
        <f>EXP(-LN(2)/2)*CM201+(1-EXP(-LN(2)/2))/(LN(2)/2)*CG202*CJ202*VLOOKUP('Données projet'!$B$12,Paramètres!$A$1:$I$89,3,0)*0.475*44/12</f>
        <v>4.4097755038066046E-25</v>
      </c>
      <c r="CN202" s="22">
        <f t="shared" si="172"/>
        <v>0.3232820738770904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-1.0995790944434703E-13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399.24912109442175</v>
      </c>
      <c r="CZ202" s="59">
        <f t="shared" si="208"/>
        <v>269.83150082245305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-1.223725121235475E-13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439.66981240211362</v>
      </c>
      <c r="DU202" s="59">
        <f t="shared" si="209"/>
        <v>295.47805371292458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-1.0818439477588981E-13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393.46715670823653</v>
      </c>
      <c r="EP202" s="59">
        <f t="shared" si="210"/>
        <v>266.16261355327214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549.43232095729741</v>
      </c>
      <c r="T203" s="59">
        <f t="shared" si="204"/>
        <v>280.26155987300996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0.43227350754164062</v>
      </c>
      <c r="AA203" s="21">
        <f>EXP(-LN(2)/25)*AA202+(1-EXP(-LN(2)/25))/(LN(2)/25)*Calculateur!V203*Calculateur!X203*VLOOKUP('Données projet'!$B$9,Paramètres!$A$1:$I$89,3,0)*0.475*44/12</f>
        <v>8.5773715245376636E-2</v>
      </c>
      <c r="AB203" s="21">
        <f>EXP(-LN(2)/2)*AB202+(1-EXP(-LN(2)/2))/(LN(2)/2)*V203*Y203*VLOOKUP('Données projet'!$B$9,Paramètres!$A$1:$I$89,3,0)*0.475*44/12</f>
        <v>1.1645650958168713E-25</v>
      </c>
      <c r="AC203" s="22">
        <f t="shared" si="163"/>
        <v>0.5180472227870172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348.62416478262719</v>
      </c>
      <c r="AO203" s="59">
        <f t="shared" si="205"/>
        <v>371.70674704563288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0.45699387929392016</v>
      </c>
      <c r="AV203" s="21">
        <f>EXP(-LN(2)/25)*AV202+(1-EXP(-LN(2)/25))/(LN(2)/25)*Calculateur!AQ203*Calculateur!AS203*VLOOKUP('Données projet'!$B$10,Paramètres!$A$1:$I$89,3,0)*0.475*44/12</f>
        <v>0.10955712139060418</v>
      </c>
      <c r="AW203" s="21">
        <f>EXP(-LN(2)/2)*AW202+(1-EXP(-LN(2)/2))/(LN(2)/2)*AQ203*AT203*VLOOKUP('Données projet'!$B$10,Paramètres!$A$1:$I$89,3,0)*0.475*44/12</f>
        <v>3.2196854752132862E-25</v>
      </c>
      <c r="AX203" s="21">
        <f t="shared" si="166"/>
        <v>0.56655100068452435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405.7176439604217</v>
      </c>
      <c r="BJ203" s="59">
        <f t="shared" si="206"/>
        <v>278.21741231699929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0.25216178084624702</v>
      </c>
      <c r="BQ203" s="21">
        <f>EXP(-LN(2)/25)*BQ202+(1-EXP(-LN(2)/25))/(LN(2)/25)*Calculateur!BL203*Calculateur!BN203*VLOOKUP('Données projet'!$B$11,Paramètres!$A$1:$I$89,3,0)*0.475*44/12</f>
        <v>8.4041339418756827E-2</v>
      </c>
      <c r="BR203" s="21">
        <f>EXP(-LN(2)/2)*BR202+(1-EXP(-LN(2)/2))/(LN(2)/2)*BL203*BO203*VLOOKUP('Données projet'!$B$11,Paramètres!$A$1:$I$89,3,0)*0.475*44/12</f>
        <v>2.2062025154018458E-25</v>
      </c>
      <c r="BS203" s="22">
        <f t="shared" si="169"/>
        <v>0.33620312026500387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1.9895196601282805E-13</v>
      </c>
      <c r="BZ203" s="13">
        <f>BY203*VLOOKUP('Données projet'!$B$12,Paramètres!$A$1:$I$89,3,0)*VLOOKUP('Données projet'!$B$12,Paramètres!$A$1:$I$89,5,0)</f>
        <v>1.738044375088066E-13</v>
      </c>
      <c r="CA203" s="13">
        <f t="shared" si="170"/>
        <v>2.4483293633950478E-12</v>
      </c>
      <c r="CB203" s="20">
        <f t="shared" si="171"/>
        <v>4.566883036574213E-12</v>
      </c>
      <c r="CC203" s="59">
        <f t="shared" si="195"/>
        <v>293.33333333333786</v>
      </c>
      <c r="CD203" s="59">
        <f ca="1">AVERAGE(OFFSET($CC$3,0,0,'Données projet'!$E$12+1,1))-AVERAGE(OFFSET($H$3,0,0,'Données projet'!$E$12+1,1))</f>
        <v>321.23599968992932</v>
      </c>
      <c r="CE203" s="59">
        <f t="shared" si="207"/>
        <v>388.05195847800502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0.12608550733161894</v>
      </c>
      <c r="CL203" s="21">
        <f>EXP(-LN(2)/25)*CL202+(1-EXP(-LN(2)/25))/(LN(2)/25)*Calculateur!CG203*Calculateur!CI203*VLOOKUP('Données projet'!$B$12,Paramètres!$A$1:$I$89,3,0)*0.475*44/12</f>
        <v>0.18935126483740489</v>
      </c>
      <c r="CM203" s="21">
        <f>EXP(-LN(2)/2)*CM202+(1-EXP(-LN(2)/2))/(LN(2)/2)*CG203*CJ203*VLOOKUP('Données projet'!$B$12,Paramètres!$A$1:$I$89,3,0)*0.475*44/12</f>
        <v>3.1181821622519742E-25</v>
      </c>
      <c r="CN203" s="22">
        <f t="shared" si="172"/>
        <v>0.31543677216902383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-1.0995790944434703E-13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399.24912109442175</v>
      </c>
      <c r="CZ203" s="59">
        <f t="shared" si="208"/>
        <v>269.83150082245305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-1.223725121235475E-13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439.66981240211362</v>
      </c>
      <c r="DU203" s="59">
        <f t="shared" si="209"/>
        <v>295.47805371292458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-1.0818439477588981E-13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393.46715670823653</v>
      </c>
      <c r="EP203" s="59">
        <f t="shared" si="210"/>
        <v>266.16261355327214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1.3480061545972777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1.3239616704988877</v>
      </c>
      <c r="BA205" s="82">
        <f>EXP(LN('Données projet'!B88)/'Données projet'!A88)</f>
        <v>1.2392705892426346</v>
      </c>
      <c r="BV205" s="82">
        <f>EXP(LN('Données projet'!B114)/'Données projet'!A114)</f>
        <v>1.3467943429205997</v>
      </c>
      <c r="CQ205" s="82">
        <f>EXP(LN('Données projet'!B140)/'Données projet'!A140)</f>
        <v>1.1450200501108143</v>
      </c>
      <c r="DL205" s="82">
        <f>EXP(LN('Données projet'!B166)/'Données projet'!A166)</f>
        <v>1.1450200501108143</v>
      </c>
      <c r="EG205" s="82">
        <f>EXP(LN('Données projet'!B192)/'Données projet'!A192)</f>
        <v>1.1450200501108143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1.6616000000000002</v>
      </c>
      <c r="C6" s="147">
        <f ca="1">IF(OR('Données projet'!B9="",'Données projet'!C9="",'Données projet'!C9=0%),0,Calculateur!S3)</f>
        <v>549.43232095729741</v>
      </c>
      <c r="D6" s="147">
        <f>IF(OR('Données projet'!B9="",'Données projet'!C9="",'Données projet'!C9=0%),0,Calculateur!T3)</f>
        <v>280.26155987300996</v>
      </c>
      <c r="E6" s="147">
        <f ca="1">MIN(C6,D6)</f>
        <v>280.26155987300996</v>
      </c>
      <c r="F6" s="147">
        <f ca="1">E6*B6</f>
        <v>465.68260788499339</v>
      </c>
      <c r="G6" s="147">
        <f ca="1">F6*(100%-'Données projet'!$C$24)*(100%-'Données projet'!$C$25)*(100%-'Données projet'!$C$26)*(100%-'Données projet'!$C$27)</f>
        <v>356.24719503201993</v>
      </c>
      <c r="H6" s="148">
        <f>IF(OR('Données projet'!B9="",'Données projet'!C9="",'Données projet'!C9=0%),0,AVERAGE(Calculateur!$AC$3:$AC$33)*B6)</f>
        <v>12.768848724760099</v>
      </c>
      <c r="I6" s="149">
        <f>H6*(100%-'Données projet'!$C$24)*(100%-'Données projet'!$C$25)*(100%-'Données projet'!$C$26)*(100%-'Données projet'!$C$27)</f>
        <v>9.7681692744414761</v>
      </c>
      <c r="J6" s="150">
        <f>IF(OR('Données projet'!B9="",'Données projet'!C9="",'Données projet'!C9=0%),0,SUM(Calculateur!$V$3:$V$33)*VLOOKUP('Données projet'!$B$9,Paramètres!$A$1:$I$89,9,0)*B6)</f>
        <v>100.975432</v>
      </c>
      <c r="K6" s="151">
        <f>J6*(100%-'Données projet'!$C$24)*(100%-'Données projet'!$C$25)*(100%-'Données projet'!$C$26)*(100%-'Données projet'!$C$27)</f>
        <v>77.246205479999986</v>
      </c>
      <c r="L6" s="152">
        <f ca="1">G6+I6+K6</f>
        <v>443.26156978646134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1.6080000000000001</v>
      </c>
      <c r="C7" s="147">
        <f ca="1">IF(OR('Données projet'!B10="",'Données projet'!C10="",'Données projet'!C10=0%),0,Calculateur!AN3)</f>
        <v>348.62416478262719</v>
      </c>
      <c r="D7" s="147">
        <f>IF(OR('Données projet'!B10="",'Données projet'!C10="",'Données projet'!C10=0%),0,Calculateur!AO3)</f>
        <v>371.70674704563288</v>
      </c>
      <c r="E7" s="147">
        <f t="shared" ref="E7:E15" ca="1" si="0">MIN(C7,D7)</f>
        <v>348.62416478262719</v>
      </c>
      <c r="F7" s="147">
        <f t="shared" ref="F7:F15" ca="1" si="1">E7*B7</f>
        <v>560.58765697046454</v>
      </c>
      <c r="G7" s="147">
        <f ca="1">F7*(100%-'Données projet'!$C$24)*(100%-'Données projet'!$C$25)*(100%-'Données projet'!$C$26)*(100%-'Données projet'!$C$27)</f>
        <v>428.84955758240534</v>
      </c>
      <c r="H7" s="155">
        <f>IF(OR('Données projet'!B10="",'Données projet'!C10="",'Données projet'!C10=0%),0,AVERAGE(Calculateur!$AX$3:$AX$33)*B7)</f>
        <v>9.7351947971316193</v>
      </c>
      <c r="I7" s="149">
        <f>H7*(100%-'Données projet'!$C$24)*(100%-'Données projet'!$C$25)*(100%-'Données projet'!$C$26)*(100%-'Données projet'!$C$27)</f>
        <v>7.4474240198056894</v>
      </c>
      <c r="J7" s="150">
        <f>IF(OR('Données projet'!B10="",'Données projet'!C10="",'Données projet'!C10=0%),0,SUM(Calculateur!$AQ$3:$AQ$33)*VLOOKUP('Données projet'!$B$10,Paramètres!$A$1:$I$89,9,0)*B7)</f>
        <v>82.972800000000007</v>
      </c>
      <c r="K7" s="151">
        <f>J7*(100%-'Données projet'!$C$24)*(100%-'Données projet'!$C$25)*(100%-'Données projet'!$C$26)*(100%-'Données projet'!$C$27)</f>
        <v>63.474192000000002</v>
      </c>
      <c r="L7" s="152">
        <f t="shared" ref="L7:L15" ca="1" si="2">G7+I7+K7</f>
        <v>499.77117360221104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0.96479999999999999</v>
      </c>
      <c r="C8" s="147">
        <f ca="1">IF(OR('Données projet'!B11="",'Données projet'!C11="",'Données projet'!C11=0%),0,Calculateur!BI3)</f>
        <v>405.7176439604217</v>
      </c>
      <c r="D8" s="147">
        <f>IF(OR('Données projet'!B11="",'Données projet'!C11="",'Données projet'!C11=0%),0,Calculateur!BJ3)</f>
        <v>278.21741231699929</v>
      </c>
      <c r="E8" s="147">
        <f t="shared" ca="1" si="0"/>
        <v>278.21741231699929</v>
      </c>
      <c r="F8" s="147">
        <f t="shared" ca="1" si="1"/>
        <v>268.42415940344091</v>
      </c>
      <c r="G8" s="147">
        <f ca="1">F8*(100%-'Données projet'!$C$24)*(100%-'Données projet'!$C$25)*(100%-'Données projet'!$C$26)*(100%-'Données projet'!$C$27)</f>
        <v>205.34448194363227</v>
      </c>
      <c r="H8" s="155">
        <f>IF(OR('Données projet'!B11="",'Données projet'!C11="",'Données projet'!C11=0%),0,AVERAGE(Calculateur!$BS$3:$BS$33)*B8)</f>
        <v>3.2645469591010237</v>
      </c>
      <c r="I8" s="149">
        <f>H8*(100%-'Données projet'!$C$24)*(100%-'Données projet'!$C$25)*(100%-'Données projet'!$C$26)*(100%-'Données projet'!$C$27)</f>
        <v>2.4973784237122829</v>
      </c>
      <c r="J8" s="150">
        <f>IF(OR('Données projet'!B11="",'Données projet'!C11="",'Données projet'!C11=0%),0,SUM(Calculateur!$BL$3:$BL$33)*VLOOKUP('Données projet'!$B$11,Paramètres!$A$1:$I$89,9,0)*B8)</f>
        <v>14.9544</v>
      </c>
      <c r="K8" s="151">
        <f>J8*(100%-'Données projet'!$C$24)*(100%-'Données projet'!$C$25)*(100%-'Données projet'!$C$26)*(100%-'Données projet'!$C$27)</f>
        <v>11.440116</v>
      </c>
      <c r="L8" s="152">
        <f t="shared" ca="1" si="2"/>
        <v>219.28197636734456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rouge d'Amérique</v>
      </c>
      <c r="B9" s="154">
        <f>'Données projet'!D12</f>
        <v>0.96479999999999999</v>
      </c>
      <c r="C9" s="147">
        <f ca="1">IF(OR('Données projet'!B12="",'Données projet'!C12="",'Données projet'!C12=0%),0,Calculateur!CD3)</f>
        <v>321.23599968992932</v>
      </c>
      <c r="D9" s="147">
        <f>IF(OR('Données projet'!B12="",'Données projet'!C12="",'Données projet'!C12=0%),0,Calculateur!CE3)</f>
        <v>388.05195847800502</v>
      </c>
      <c r="E9" s="147">
        <f t="shared" ca="1" si="0"/>
        <v>321.23599968992932</v>
      </c>
      <c r="F9" s="147">
        <f t="shared" ca="1" si="1"/>
        <v>309.92849250084379</v>
      </c>
      <c r="G9" s="147">
        <f ca="1">F9*(100%-'Données projet'!$C$24)*(100%-'Données projet'!$C$25)*(100%-'Données projet'!$C$26)*(100%-'Données projet'!$C$27)</f>
        <v>237.09529676314551</v>
      </c>
      <c r="H9" s="155">
        <f>IF(OR('Données projet'!B12="",'Données projet'!C12="",'Données projet'!C12=0%),0,AVERAGE(Calculateur!$CN$3:$CN$33)*B9)</f>
        <v>10.157109375070592</v>
      </c>
      <c r="I9" s="149">
        <f>H9*(100%-'Données projet'!$C$24)*(100%-'Données projet'!$C$25)*(100%-'Données projet'!$C$26)*(100%-'Données projet'!$C$27)</f>
        <v>7.7701886719290023</v>
      </c>
      <c r="J9" s="150">
        <f>IF(OR('Données projet'!B12="",'Données projet'!C12="",'Données projet'!C12=0%),0,SUM(Calculateur!$CG$3:$CG$33)*VLOOKUP('Données projet'!$B$12,Paramètres!$A$1:$I$89,9,0)*B9)</f>
        <v>36.662399999999998</v>
      </c>
      <c r="K9" s="151">
        <f>J9*(100%-'Données projet'!$C$24)*(100%-'Données projet'!$C$25)*(100%-'Données projet'!$C$26)*(100%-'Données projet'!$C$27)</f>
        <v>28.046735999999996</v>
      </c>
      <c r="L9" s="152">
        <f t="shared" ca="1" si="2"/>
        <v>272.91222143507451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Alisier torminal</v>
      </c>
      <c r="B10" s="154">
        <f>'Données projet'!D13</f>
        <v>5.3600000000000002E-2</v>
      </c>
      <c r="C10" s="147">
        <f ca="1">IF(OR('Données projet'!B13="",'Données projet'!C13="",'Données projet'!C13=0%),0,Calculateur!CY3)</f>
        <v>399.24912109442175</v>
      </c>
      <c r="D10" s="147">
        <f>IF(OR('Données projet'!B13="",'Données projet'!C13="",'Données projet'!C13=0%),0,Calculateur!CZ3)</f>
        <v>269.83150082245305</v>
      </c>
      <c r="E10" s="147">
        <f t="shared" ca="1" si="0"/>
        <v>269.83150082245305</v>
      </c>
      <c r="F10" s="147">
        <f t="shared" ca="1" si="1"/>
        <v>14.462968444083485</v>
      </c>
      <c r="G10" s="147">
        <f ca="1">F10*(100%-'Données projet'!$C$24)*(100%-'Données projet'!$C$25)*(100%-'Données projet'!$C$26)*(100%-'Données projet'!$C$27)</f>
        <v>11.064170859723866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11.064170859723866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Cormier</v>
      </c>
      <c r="B11" s="154">
        <f>'Données projet'!D14</f>
        <v>5.3600000000000002E-2</v>
      </c>
      <c r="C11" s="147">
        <f ca="1">IF(OR('Données projet'!B14="",'Données projet'!C14="",'Données projet'!C14=0%),0,Calculateur!DT3)</f>
        <v>439.66981240211362</v>
      </c>
      <c r="D11" s="147">
        <f>IF(OR('Données projet'!B14="",'Données projet'!C14="",'Données projet'!C14=0%),0,Calculateur!DU3)</f>
        <v>295.47805371292458</v>
      </c>
      <c r="E11" s="147">
        <f t="shared" ca="1" si="0"/>
        <v>295.47805371292458</v>
      </c>
      <c r="F11" s="147">
        <f t="shared" ca="1" si="1"/>
        <v>15.837623679012758</v>
      </c>
      <c r="G11" s="147">
        <f ca="1">F11*(100%-'Données projet'!$C$24)*(100%-'Données projet'!$C$25)*(100%-'Données projet'!$C$26)*(100%-'Données projet'!$C$27)</f>
        <v>12.115782114444759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12.115782114444759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Charme</v>
      </c>
      <c r="B12" s="154">
        <f>'Données projet'!D15</f>
        <v>2.6800000000000001E-2</v>
      </c>
      <c r="C12" s="147">
        <f ca="1">IF(OR('Données projet'!B15="",'Données projet'!C15="",'Données projet'!C15=0%),0,Calculateur!EO3)</f>
        <v>393.46715670823653</v>
      </c>
      <c r="D12" s="147">
        <f>IF(OR('Données projet'!B15="",'Données projet'!C15="",'Données projet'!C15=0%),0,Calculateur!EP3)</f>
        <v>266.16261355327214</v>
      </c>
      <c r="E12" s="147">
        <f t="shared" ca="1" si="0"/>
        <v>266.16261355327214</v>
      </c>
      <c r="F12" s="147">
        <f t="shared" ca="1" si="1"/>
        <v>7.1331580432276933</v>
      </c>
      <c r="G12" s="147">
        <f ca="1">F12*(100%-'Données projet'!$C$24)*(100%-'Données projet'!$C$25)*(100%-'Données projet'!$C$26)*(100%-'Données projet'!$C$27)</f>
        <v>5.4568659030691853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5.4568659030691853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1642.0566669260666</v>
      </c>
      <c r="G16" s="166">
        <f t="shared" ca="1" si="3"/>
        <v>1256.1733501984409</v>
      </c>
      <c r="H16" s="167">
        <f t="shared" si="3"/>
        <v>35.925699856063332</v>
      </c>
      <c r="I16" s="167">
        <f t="shared" si="3"/>
        <v>27.48316038988845</v>
      </c>
      <c r="J16" s="168">
        <f t="shared" si="3"/>
        <v>235.565032</v>
      </c>
      <c r="K16" s="168">
        <f t="shared" si="3"/>
        <v>180.20724947999997</v>
      </c>
      <c r="L16" s="169">
        <f t="shared" ca="1" si="3"/>
        <v>1463.8637600683294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Charme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0" zoomScaleNormal="80" workbookViewId="0">
      <selection activeCell="V37" sqref="V3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439.23445797122895</v>
      </c>
      <c r="U10" s="178">
        <f>'Données projet'!D9</f>
        <v>1.6616000000000002</v>
      </c>
      <c r="V10" s="177">
        <f>U10*T10</f>
        <v>729.83197536499415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1226.5101817657235</v>
      </c>
      <c r="U11" s="178">
        <f>'Données projet'!D10</f>
        <v>1.6080000000000001</v>
      </c>
      <c r="V11" s="177">
        <f t="shared" ref="V11" si="0">U11*T11</f>
        <v>1972.2283722792836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-1815.506280111272</v>
      </c>
      <c r="U12" s="178">
        <f>'Données projet'!D11</f>
        <v>0.96479999999999999</v>
      </c>
      <c r="V12" s="177">
        <f t="shared" ref="V12:V19" si="1">U12*T12</f>
        <v>-1751.6004590513551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-461.49567037144072</v>
      </c>
      <c r="U13" s="178">
        <f>'Données projet'!D12</f>
        <v>0.96479999999999999</v>
      </c>
      <c r="V13" s="177">
        <f t="shared" si="1"/>
        <v>-445.25102277436599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-4419.4813745065303</v>
      </c>
      <c r="U14" s="178">
        <f>'Données projet'!D13</f>
        <v>5.3600000000000002E-2</v>
      </c>
      <c r="V14" s="177">
        <f t="shared" si="1"/>
        <v>-236.88420167355002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-4441.4813745065303</v>
      </c>
      <c r="U15" s="178">
        <f>'Données projet'!D14</f>
        <v>5.3600000000000002E-2</v>
      </c>
      <c r="V15" s="177">
        <f t="shared" si="1"/>
        <v>-238.06340167355003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Charme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-3110.4813745065321</v>
      </c>
      <c r="U16" s="178">
        <f>'Données projet'!D15</f>
        <v>2.6800000000000001E-2</v>
      </c>
      <c r="V16" s="177">
        <f t="shared" si="1"/>
        <v>-83.360900836775059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1100*(0.78+0.52)</f>
        <v>1430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550+(720+1140+1786+1804+37660+4560+320+4534)/5.37</f>
        <v>10331.005586592179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>
        <v>1.95</v>
      </c>
      <c r="D23" s="182">
        <f>B23*C23</f>
        <v>0</v>
      </c>
      <c r="E23" s="193"/>
      <c r="F23" s="230"/>
      <c r="H23" s="190">
        <v>3</v>
      </c>
      <c r="I23" s="191">
        <v>520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-62533.827467156654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15</v>
      </c>
      <c r="C24" s="193">
        <v>1.95</v>
      </c>
      <c r="D24" s="182">
        <f t="shared" ref="D24:D42" si="2">B24*C24</f>
        <v>29.25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22</v>
      </c>
      <c r="C25" s="193">
        <v>4.4800000000000004</v>
      </c>
      <c r="D25" s="182">
        <f t="shared" si="2"/>
        <v>98.56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-62533.827467156654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31</v>
      </c>
      <c r="C26" s="193">
        <v>4.4800000000000004</v>
      </c>
      <c r="D26" s="182">
        <f t="shared" si="2"/>
        <v>138.88000000000002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35</v>
      </c>
      <c r="C27" s="193">
        <v>4.8</v>
      </c>
      <c r="D27" s="182">
        <f t="shared" si="2"/>
        <v>168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46</v>
      </c>
      <c r="C28" s="193">
        <v>4.8</v>
      </c>
      <c r="D28" s="182">
        <f t="shared" si="2"/>
        <v>220.79999999999998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41</v>
      </c>
      <c r="C29" s="193">
        <v>27</v>
      </c>
      <c r="D29" s="182">
        <f t="shared" si="2"/>
        <v>1107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29</v>
      </c>
      <c r="C30" s="193">
        <v>45</v>
      </c>
      <c r="D30" s="182">
        <f t="shared" si="2"/>
        <v>1305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16</v>
      </c>
      <c r="C31" s="193">
        <v>45</v>
      </c>
      <c r="D31" s="182">
        <f t="shared" si="2"/>
        <v>720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316</v>
      </c>
      <c r="C32" s="193">
        <v>60</v>
      </c>
      <c r="D32" s="182">
        <f t="shared" si="2"/>
        <v>18960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1100*(0.63+0.78)</f>
        <v>1551.0000000000002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17</v>
      </c>
      <c r="B54" s="181">
        <f>'Données projet'!D62</f>
        <v>15</v>
      </c>
      <c r="C54" s="191">
        <v>1.95</v>
      </c>
      <c r="D54" s="179">
        <f>B54*C54</f>
        <v>29.25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15</v>
      </c>
      <c r="C55" s="191">
        <v>1.95</v>
      </c>
      <c r="D55" s="179">
        <f t="shared" ref="D55:D73" si="4">B55*C55</f>
        <v>29.25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36</v>
      </c>
      <c r="C56" s="191">
        <v>4.4800000000000004</v>
      </c>
      <c r="D56" s="179">
        <f t="shared" si="4"/>
        <v>161.28000000000003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54</v>
      </c>
      <c r="C57" s="191">
        <v>4.4800000000000004</v>
      </c>
      <c r="D57" s="179">
        <f t="shared" si="4"/>
        <v>241.92000000000002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52</v>
      </c>
      <c r="C58" s="191">
        <v>4.8</v>
      </c>
      <c r="D58" s="179">
        <f t="shared" si="4"/>
        <v>249.6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48</v>
      </c>
      <c r="C59" s="191">
        <v>4.8</v>
      </c>
      <c r="D59" s="179">
        <f t="shared" si="4"/>
        <v>230.39999999999998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57</v>
      </c>
      <c r="C60" s="191">
        <v>27</v>
      </c>
      <c r="D60" s="179">
        <f t="shared" si="4"/>
        <v>1539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47</v>
      </c>
      <c r="C61" s="191">
        <v>27</v>
      </c>
      <c r="D61" s="179">
        <f t="shared" si="4"/>
        <v>1269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48</v>
      </c>
      <c r="C62" s="191">
        <v>45</v>
      </c>
      <c r="D62" s="179">
        <f t="shared" si="4"/>
        <v>2160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60</v>
      </c>
      <c r="B63" s="181">
        <f>'Données projet'!D71</f>
        <v>32</v>
      </c>
      <c r="C63" s="191">
        <v>45</v>
      </c>
      <c r="D63" s="179">
        <f t="shared" si="4"/>
        <v>1440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65</v>
      </c>
      <c r="B64" s="181">
        <f>'Données projet'!D72</f>
        <v>555</v>
      </c>
      <c r="C64" s="191">
        <v>60</v>
      </c>
      <c r="D64" s="179">
        <f t="shared" si="4"/>
        <v>33300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1100*(1.82+0.78)</f>
        <v>2860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>
        <v>1.3</v>
      </c>
      <c r="D85" s="179">
        <f>B85*C85</f>
        <v>7.8000000000000007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28</v>
      </c>
      <c r="C86" s="191">
        <v>1.3</v>
      </c>
      <c r="D86" s="179">
        <f t="shared" ref="D86:D104" si="6">B86*C86</f>
        <v>36.4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28</v>
      </c>
      <c r="C87" s="191">
        <v>2.2799999999999998</v>
      </c>
      <c r="D87" s="179">
        <f t="shared" si="6"/>
        <v>63.839999999999996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28</v>
      </c>
      <c r="C88" s="191">
        <v>2.2799999999999998</v>
      </c>
      <c r="D88" s="179">
        <f t="shared" si="6"/>
        <v>63.839999999999996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28</v>
      </c>
      <c r="C89" s="191">
        <v>2.2799999999999998</v>
      </c>
      <c r="D89" s="179">
        <f t="shared" si="6"/>
        <v>63.839999999999996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28</v>
      </c>
      <c r="C90" s="191">
        <v>2.2799999999999998</v>
      </c>
      <c r="D90" s="179">
        <f t="shared" si="6"/>
        <v>63.839999999999996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28</v>
      </c>
      <c r="C91" s="191">
        <v>2.83</v>
      </c>
      <c r="D91" s="179">
        <f t="shared" si="6"/>
        <v>79.240000000000009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28</v>
      </c>
      <c r="C92" s="191">
        <v>2.83</v>
      </c>
      <c r="D92" s="179">
        <f t="shared" si="6"/>
        <v>79.240000000000009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28</v>
      </c>
      <c r="C93" s="191">
        <v>2.83</v>
      </c>
      <c r="D93" s="179">
        <f t="shared" si="6"/>
        <v>79.240000000000009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28</v>
      </c>
      <c r="C94" s="191">
        <v>40.5</v>
      </c>
      <c r="D94" s="179">
        <f t="shared" si="6"/>
        <v>1134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28</v>
      </c>
      <c r="C95" s="191">
        <v>40.5</v>
      </c>
      <c r="D95" s="179">
        <f t="shared" si="6"/>
        <v>1134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28</v>
      </c>
      <c r="C96" s="191">
        <v>40.5</v>
      </c>
      <c r="D96" s="179">
        <f t="shared" si="6"/>
        <v>1134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28</v>
      </c>
      <c r="C97" s="191">
        <v>41</v>
      </c>
      <c r="D97" s="179">
        <f t="shared" si="6"/>
        <v>1148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28</v>
      </c>
      <c r="C98" s="191">
        <v>41</v>
      </c>
      <c r="D98" s="179">
        <f t="shared" si="6"/>
        <v>1148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28</v>
      </c>
      <c r="C99" s="191">
        <v>41</v>
      </c>
      <c r="D99" s="179">
        <f t="shared" si="6"/>
        <v>1148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95</v>
      </c>
      <c r="B100" s="181">
        <f>'Données projet'!D103</f>
        <v>28</v>
      </c>
      <c r="C100" s="191">
        <v>41</v>
      </c>
      <c r="D100" s="179">
        <f t="shared" si="6"/>
        <v>1148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100</v>
      </c>
      <c r="B101" s="181">
        <f>'Données projet'!D104</f>
        <v>333</v>
      </c>
      <c r="C101" s="191">
        <v>171</v>
      </c>
      <c r="D101" s="179">
        <f t="shared" si="6"/>
        <v>56943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1100*(1.18+0.78)</f>
        <v>2156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21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43</v>
      </c>
      <c r="C117" s="191">
        <v>10</v>
      </c>
      <c r="D117" s="179">
        <f t="shared" ref="D117:D135" si="8">B117*C117</f>
        <v>430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44</v>
      </c>
      <c r="C118" s="191">
        <v>10</v>
      </c>
      <c r="D118" s="179">
        <f t="shared" si="8"/>
        <v>440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44</v>
      </c>
      <c r="C119" s="191">
        <v>10</v>
      </c>
      <c r="D119" s="179">
        <f t="shared" si="8"/>
        <v>440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42</v>
      </c>
      <c r="C120" s="191">
        <v>10</v>
      </c>
      <c r="D120" s="179">
        <f t="shared" si="8"/>
        <v>420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39</v>
      </c>
      <c r="C121" s="191">
        <v>30</v>
      </c>
      <c r="D121" s="179">
        <f t="shared" si="8"/>
        <v>1170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36</v>
      </c>
      <c r="C122" s="191">
        <v>30</v>
      </c>
      <c r="D122" s="179">
        <f t="shared" si="8"/>
        <v>1080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33</v>
      </c>
      <c r="C123" s="191">
        <v>30</v>
      </c>
      <c r="D123" s="179">
        <f t="shared" si="8"/>
        <v>990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29</v>
      </c>
      <c r="C124" s="191">
        <v>30</v>
      </c>
      <c r="D124" s="179">
        <f t="shared" si="8"/>
        <v>870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26</v>
      </c>
      <c r="C125" s="191">
        <v>35</v>
      </c>
      <c r="D125" s="179">
        <f t="shared" si="8"/>
        <v>910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23</v>
      </c>
      <c r="C126" s="191">
        <v>35</v>
      </c>
      <c r="D126" s="179">
        <f t="shared" si="8"/>
        <v>805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249</v>
      </c>
      <c r="C127" s="191">
        <v>45</v>
      </c>
      <c r="D127" s="179">
        <f t="shared" si="8"/>
        <v>11205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1100*(3.69+0.78)</f>
        <v>4917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36</v>
      </c>
      <c r="B147" s="175">
        <f>'Données projet'!D140</f>
        <v>36</v>
      </c>
      <c r="C147" s="191">
        <v>2.2799999999999998</v>
      </c>
      <c r="D147" s="182">
        <f>B147*C147</f>
        <v>82.08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42</v>
      </c>
      <c r="B148" s="175">
        <f>'Données projet'!D141</f>
        <v>41</v>
      </c>
      <c r="C148" s="191">
        <v>2.2799999999999998</v>
      </c>
      <c r="D148" s="182">
        <f t="shared" ref="D148:D166" si="10">B148*C148</f>
        <v>93.47999999999999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48</v>
      </c>
      <c r="B149" s="175">
        <f>'Données projet'!D142</f>
        <v>41</v>
      </c>
      <c r="C149" s="191">
        <v>2.83</v>
      </c>
      <c r="D149" s="182">
        <f t="shared" si="10"/>
        <v>116.03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54</v>
      </c>
      <c r="B150" s="175">
        <f>'Données projet'!D143</f>
        <v>31</v>
      </c>
      <c r="C150" s="191">
        <v>2.83</v>
      </c>
      <c r="D150" s="182">
        <f t="shared" si="10"/>
        <v>87.73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62</v>
      </c>
      <c r="B151" s="175">
        <f>'Données projet'!D144</f>
        <v>39</v>
      </c>
      <c r="C151" s="191">
        <v>2.83</v>
      </c>
      <c r="D151" s="182">
        <f t="shared" si="10"/>
        <v>110.37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53</v>
      </c>
      <c r="C152" s="191">
        <v>40.5</v>
      </c>
      <c r="D152" s="182">
        <f t="shared" si="10"/>
        <v>2146.5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78</v>
      </c>
      <c r="B153" s="175">
        <f>'Données projet'!D146</f>
        <v>42</v>
      </c>
      <c r="C153" s="191">
        <v>40.5</v>
      </c>
      <c r="D153" s="182">
        <f t="shared" si="10"/>
        <v>1701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87</v>
      </c>
      <c r="B154" s="175">
        <f>'Données projet'!D147</f>
        <v>39</v>
      </c>
      <c r="C154" s="191">
        <v>40.5</v>
      </c>
      <c r="D154" s="182">
        <f t="shared" si="10"/>
        <v>1579.5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97</v>
      </c>
      <c r="B155" s="175">
        <f>'Données projet'!D148</f>
        <v>42</v>
      </c>
      <c r="C155" s="191">
        <v>41</v>
      </c>
      <c r="D155" s="182">
        <f t="shared" si="10"/>
        <v>1722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107</v>
      </c>
      <c r="B156" s="175">
        <f>'Données projet'!D149</f>
        <v>46</v>
      </c>
      <c r="C156" s="191">
        <v>41</v>
      </c>
      <c r="D156" s="182">
        <f t="shared" si="10"/>
        <v>1886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117</v>
      </c>
      <c r="B157" s="175">
        <f>'Données projet'!D150</f>
        <v>45</v>
      </c>
      <c r="C157" s="191">
        <v>41</v>
      </c>
      <c r="D157" s="182">
        <f t="shared" si="10"/>
        <v>1845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129</v>
      </c>
      <c r="B158" s="175">
        <f>'Données projet'!D151</f>
        <v>337</v>
      </c>
      <c r="C158" s="191">
        <v>171</v>
      </c>
      <c r="D158" s="182">
        <f t="shared" si="10"/>
        <v>57627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1100*(3.71+0.78)</f>
        <v>4939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36</v>
      </c>
      <c r="B178" s="181">
        <f>'Données projet'!D166</f>
        <v>36</v>
      </c>
      <c r="C178" s="193">
        <v>2.2799999999999998</v>
      </c>
      <c r="D178" s="179">
        <f>B178*C178</f>
        <v>82.08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42</v>
      </c>
      <c r="B179" s="181">
        <f>'Données projet'!D167</f>
        <v>41</v>
      </c>
      <c r="C179" s="193">
        <v>2.2799999999999998</v>
      </c>
      <c r="D179" s="179">
        <f t="shared" ref="D179:D197" si="11">B179*C179</f>
        <v>93.47999999999999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48</v>
      </c>
      <c r="B180" s="181">
        <f>'Données projet'!D168</f>
        <v>41</v>
      </c>
      <c r="C180" s="193">
        <v>2.83</v>
      </c>
      <c r="D180" s="179">
        <f t="shared" si="11"/>
        <v>116.03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54</v>
      </c>
      <c r="B181" s="181">
        <f>'Données projet'!D169</f>
        <v>31</v>
      </c>
      <c r="C181" s="193">
        <v>2.83</v>
      </c>
      <c r="D181" s="179">
        <f t="shared" si="11"/>
        <v>87.73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62</v>
      </c>
      <c r="B182" s="181">
        <f>'Données projet'!D170</f>
        <v>39</v>
      </c>
      <c r="C182" s="193">
        <v>2.83</v>
      </c>
      <c r="D182" s="179">
        <f t="shared" si="11"/>
        <v>110.37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70</v>
      </c>
      <c r="B183" s="181">
        <f>'Données projet'!D171</f>
        <v>53</v>
      </c>
      <c r="C183" s="193">
        <v>40.5</v>
      </c>
      <c r="D183" s="179">
        <f t="shared" si="11"/>
        <v>2146.5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78</v>
      </c>
      <c r="B184" s="181">
        <f>'Données projet'!D172</f>
        <v>42</v>
      </c>
      <c r="C184" s="193">
        <v>40.5</v>
      </c>
      <c r="D184" s="179">
        <f t="shared" si="11"/>
        <v>1701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87</v>
      </c>
      <c r="B185" s="181">
        <f>'Données projet'!D173</f>
        <v>39</v>
      </c>
      <c r="C185" s="193">
        <v>40.5</v>
      </c>
      <c r="D185" s="179">
        <f t="shared" si="11"/>
        <v>1579.5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97</v>
      </c>
      <c r="B186" s="181">
        <f>'Données projet'!D174</f>
        <v>42</v>
      </c>
      <c r="C186" s="193">
        <v>41</v>
      </c>
      <c r="D186" s="179">
        <f t="shared" si="11"/>
        <v>1722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107</v>
      </c>
      <c r="B187" s="181">
        <f>'Données projet'!D175</f>
        <v>46</v>
      </c>
      <c r="C187" s="193">
        <v>41</v>
      </c>
      <c r="D187" s="179">
        <f t="shared" si="11"/>
        <v>1886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117</v>
      </c>
      <c r="B188" s="181">
        <f>'Données projet'!D176</f>
        <v>45</v>
      </c>
      <c r="C188" s="193">
        <v>41</v>
      </c>
      <c r="D188" s="179">
        <f t="shared" si="11"/>
        <v>1845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129</v>
      </c>
      <c r="B189" s="181">
        <f>'Données projet'!D177</f>
        <v>337</v>
      </c>
      <c r="C189" s="193">
        <v>171</v>
      </c>
      <c r="D189" s="179">
        <f t="shared" si="11"/>
        <v>57627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Charme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1100*(2.5+0.78)</f>
        <v>3608.0000000000005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36</v>
      </c>
      <c r="B209" s="181">
        <f>'Données projet'!D192</f>
        <v>36</v>
      </c>
      <c r="C209" s="193">
        <v>2.2799999999999998</v>
      </c>
      <c r="D209" s="179">
        <f>B209*C209</f>
        <v>82.08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42</v>
      </c>
      <c r="B210" s="181">
        <f>'Données projet'!D193</f>
        <v>41</v>
      </c>
      <c r="C210" s="193">
        <v>2.2799999999999998</v>
      </c>
      <c r="D210" s="179">
        <f t="shared" ref="D210:D228" si="12">B210*C210</f>
        <v>93.47999999999999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48</v>
      </c>
      <c r="B211" s="181">
        <f>'Données projet'!D194</f>
        <v>41</v>
      </c>
      <c r="C211" s="193">
        <v>2.83</v>
      </c>
      <c r="D211" s="179">
        <f t="shared" si="12"/>
        <v>116.03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54</v>
      </c>
      <c r="B212" s="181">
        <f>'Données projet'!D195</f>
        <v>31</v>
      </c>
      <c r="C212" s="193">
        <v>2.83</v>
      </c>
      <c r="D212" s="179">
        <f t="shared" si="12"/>
        <v>87.73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62</v>
      </c>
      <c r="B213" s="181">
        <f>'Données projet'!D196</f>
        <v>39</v>
      </c>
      <c r="C213" s="193">
        <v>2.83</v>
      </c>
      <c r="D213" s="179">
        <f t="shared" si="12"/>
        <v>110.37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70</v>
      </c>
      <c r="B214" s="181">
        <f>'Données projet'!D197</f>
        <v>53</v>
      </c>
      <c r="C214" s="193">
        <v>40.5</v>
      </c>
      <c r="D214" s="179">
        <f t="shared" si="12"/>
        <v>2146.5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78</v>
      </c>
      <c r="B215" s="181">
        <f>'Données projet'!D198</f>
        <v>42</v>
      </c>
      <c r="C215" s="193">
        <v>40.5</v>
      </c>
      <c r="D215" s="179">
        <f t="shared" si="12"/>
        <v>1701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87</v>
      </c>
      <c r="B216" s="181">
        <f>'Données projet'!D199</f>
        <v>39</v>
      </c>
      <c r="C216" s="193">
        <v>40.5</v>
      </c>
      <c r="D216" s="179">
        <f t="shared" si="12"/>
        <v>1579.5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97</v>
      </c>
      <c r="B217" s="181">
        <f>'Données projet'!D200</f>
        <v>42</v>
      </c>
      <c r="C217" s="193">
        <v>41</v>
      </c>
      <c r="D217" s="179">
        <f t="shared" si="12"/>
        <v>1722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107</v>
      </c>
      <c r="B218" s="181">
        <f>'Données projet'!D201</f>
        <v>46</v>
      </c>
      <c r="C218" s="193">
        <v>41</v>
      </c>
      <c r="D218" s="179">
        <f t="shared" si="12"/>
        <v>1886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117</v>
      </c>
      <c r="B219" s="181">
        <f>'Données projet'!D202</f>
        <v>45</v>
      </c>
      <c r="C219" s="193">
        <v>41</v>
      </c>
      <c r="D219" s="179">
        <f t="shared" si="12"/>
        <v>1845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129</v>
      </c>
      <c r="B220" s="181">
        <f>'Données projet'!D203</f>
        <v>337</v>
      </c>
      <c r="C220" s="193">
        <v>171</v>
      </c>
      <c r="D220" s="179">
        <f t="shared" si="12"/>
        <v>57627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2024-04-09T08:18:48Z</dcterms:modified>
</cp:coreProperties>
</file>