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ippolyte.Reignier\Documents\1_Projets\_Déposés\03_Saligny sur Roudon\"/>
    </mc:Choice>
  </mc:AlternateContent>
  <bookViews>
    <workbookView xWindow="0" yWindow="0" windowWidth="11748" windowHeight="5316" tabRatio="730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 l="1"/>
  <c r="D73" i="1"/>
  <c r="D71" i="1"/>
  <c r="D69" i="1"/>
  <c r="D67" i="1"/>
  <c r="D65" i="1"/>
  <c r="D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Q4" i="2"/>
  <c r="FR4" i="2"/>
  <c r="BR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A7" i="2"/>
  <c r="EV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EB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X18" i="2"/>
  <c r="EA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HG20" i="2"/>
  <c r="EV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W22" i="2"/>
  <c r="EC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HG28" i="2"/>
  <c r="EC28" i="2"/>
  <c r="EV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B33" i="2"/>
  <c r="EW33" i="2"/>
  <c r="EV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CM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A38" i="2"/>
  <c r="HH38" i="2"/>
  <c r="EX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A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EV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C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G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HH105" i="2"/>
  <c r="EV105" i="2"/>
  <c r="EB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B113" i="2"/>
  <c r="HI113" i="2"/>
  <c r="EX113" i="2"/>
  <c r="EW113" i="2"/>
  <c r="FS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HH122" i="2"/>
  <c r="EW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EA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B128" i="2"/>
  <c r="EX128" i="2"/>
  <c r="FS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EW130" i="2"/>
  <c r="FS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FS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HG140" i="2"/>
  <c r="EB140" i="2"/>
  <c r="EC140" i="2"/>
  <c r="EX140" i="2"/>
  <c r="FS140" i="2"/>
  <c r="FR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EA141" i="2"/>
  <c r="EB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HH144" i="2"/>
  <c r="EA144" i="2"/>
  <c r="EX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EA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EY154" i="2" s="1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H155" i="2"/>
  <c r="HG155" i="2"/>
  <c r="ED154" i="2"/>
  <c r="EX155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HG156" i="2"/>
  <c r="DH156" i="2"/>
  <c r="HH156" i="2"/>
  <c r="AB156" i="2"/>
  <c r="EX156" i="2"/>
  <c r="FS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C157" i="2"/>
  <c r="EB157" i="2"/>
  <c r="CN156" i="2"/>
  <c r="EX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HH159" i="2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Y159" i="2"/>
  <c r="HI160" i="2"/>
  <c r="HG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D161" i="2"/>
  <c r="EC162" i="2"/>
  <c r="HH162" i="2"/>
  <c r="EB162" i="2"/>
  <c r="EW162" i="2"/>
  <c r="EY161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D162" i="2"/>
  <c r="HH163" i="2"/>
  <c r="EY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H164" i="2" l="1"/>
  <c r="ED163" i="2"/>
  <c r="HH164" i="2"/>
  <c r="HG164" i="2"/>
  <c r="EY163" i="2"/>
  <c r="EX164" i="2"/>
  <c r="EV164" i="2"/>
  <c r="EA164" i="2"/>
  <c r="FR164" i="2"/>
  <c r="FS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G165" i="2"/>
  <c r="EX165" i="2"/>
  <c r="HH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HH167" i="2"/>
  <c r="HI167" i="2"/>
  <c r="EC167" i="2"/>
  <c r="EX167" i="2"/>
  <c r="FR167" i="2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H168" i="2"/>
  <c r="EB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H169" i="2"/>
  <c r="EY168" i="2"/>
  <c r="EB169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V172" i="2"/>
  <c r="EA172" i="2"/>
  <c r="HI172" i="2"/>
  <c r="EY171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W173" i="2"/>
  <c r="EB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W175" i="2"/>
  <c r="EB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EC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Q178" i="2"/>
  <c r="FS178" i="2"/>
  <c r="EA178" i="2"/>
  <c r="EB178" i="2"/>
  <c r="ED177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A179" i="2"/>
  <c r="HG179" i="2"/>
  <c r="HI179" i="2"/>
  <c r="ED178" i="2"/>
  <c r="EB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HG180" i="2"/>
  <c r="EY179" i="2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EY182" i="2" s="1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Y184" i="2"/>
  <c r="EV185" i="2"/>
  <c r="EA185" i="2"/>
  <c r="EB185" i="2"/>
  <c r="ED184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HG186" i="2"/>
  <c r="HH186" i="2"/>
  <c r="EA186" i="2"/>
  <c r="EW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H187" i="2"/>
  <c r="HG187" i="2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Y188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HG190" i="2"/>
  <c r="EY189" i="2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ED190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Y191" i="2"/>
  <c r="HG192" i="2"/>
  <c r="EV192" i="2"/>
  <c r="HH192" i="2"/>
  <c r="EW192" i="2"/>
  <c r="EC192" i="2"/>
  <c r="ED192" i="2" s="1"/>
  <c r="EA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Y192" i="2"/>
  <c r="EB193" i="2"/>
  <c r="EA193" i="2"/>
  <c r="EX193" i="2"/>
  <c r="FQ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HI194" i="2"/>
  <c r="HG194" i="2"/>
  <c r="CN193" i="2"/>
  <c r="FQ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B195" i="2"/>
  <c r="AA195" i="2"/>
  <c r="EA195" i="2"/>
  <c r="HI195" i="2"/>
  <c r="EX195" i="2"/>
  <c r="FQ195" i="2"/>
  <c r="EY194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W196" i="2"/>
  <c r="EY195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EA197" i="2"/>
  <c r="EW197" i="2"/>
  <c r="EY196" i="2"/>
  <c r="FS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HH199" i="2"/>
  <c r="EW199" i="2"/>
  <c r="HG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HH201" i="2"/>
  <c r="HG201" i="2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HI202" i="2"/>
  <c r="EY201" i="2"/>
  <c r="HG202" i="2"/>
  <c r="HH202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21" i="2" a="1"/>
  <c r="FD21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AH90" i="2" a="1"/>
  <c r="AH90" i="2" s="1"/>
  <c r="CS38" i="2" a="1"/>
  <c r="CS38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24" i="2" l="1" a="1"/>
  <c r="CS24" i="2" s="1"/>
  <c r="CS120" i="2" a="1"/>
  <c r="CS120" i="2" s="1"/>
  <c r="AH19" i="2" a="1"/>
  <c r="AH19" i="2" s="1"/>
  <c r="AH92" i="2" a="1"/>
  <c r="AH92" i="2" s="1"/>
  <c r="CS105" i="2" a="1"/>
  <c r="CS105" i="2" s="1"/>
  <c r="CS77" i="2" a="1"/>
  <c r="CS77" i="2" s="1"/>
  <c r="CS161" i="2" a="1"/>
  <c r="CS161" i="2" s="1"/>
  <c r="BX107" i="2" a="1"/>
  <c r="BX107" i="2" s="1"/>
  <c r="CS114" i="2" a="1"/>
  <c r="CS114" i="2" s="1"/>
  <c r="AH163" i="2" a="1"/>
  <c r="AH163" i="2" s="1"/>
  <c r="CS56" i="2" a="1"/>
  <c r="CS56" i="2" s="1"/>
  <c r="AH62" i="2" a="1"/>
  <c r="AH62" i="2" s="1"/>
  <c r="AH151" i="2" a="1"/>
  <c r="AH151" i="2" s="1"/>
  <c r="CS72" i="2" a="1"/>
  <c r="CS72" i="2" s="1"/>
  <c r="AH199" i="2" a="1"/>
  <c r="AH199" i="2" s="1"/>
  <c r="CS137" i="2" a="1"/>
  <c r="CS137" i="2" s="1"/>
  <c r="CS129" i="2" a="1"/>
  <c r="CS129" i="2" s="1"/>
  <c r="FD144" i="2" a="1"/>
  <c r="FD144" i="2" s="1"/>
  <c r="CS134" i="2" a="1"/>
  <c r="CS134" i="2" s="1"/>
  <c r="CS185" i="2" a="1"/>
  <c r="CS185" i="2" s="1"/>
  <c r="AH166" i="2" a="1"/>
  <c r="AH166" i="2" s="1"/>
  <c r="CS52" i="2" a="1"/>
  <c r="CS52" i="2" s="1"/>
  <c r="FY47" i="2" a="1"/>
  <c r="FY47" i="2" s="1"/>
  <c r="FY58" i="2" a="1"/>
  <c r="FY58" i="2" s="1"/>
  <c r="FY164" i="2" a="1"/>
  <c r="FY164" i="2" s="1"/>
  <c r="FY152" i="2" a="1"/>
  <c r="FY152" i="2" s="1"/>
  <c r="FY80" i="2" a="1"/>
  <c r="FY80" i="2" s="1"/>
  <c r="FY196" i="2" a="1"/>
  <c r="FY196" i="2" s="1"/>
  <c r="FY172" i="2" a="1"/>
  <c r="FY172" i="2" s="1"/>
  <c r="FY102" i="2" a="1"/>
  <c r="FY102" i="2" s="1"/>
  <c r="FY62" i="2" a="1"/>
  <c r="FY62" i="2" s="1"/>
  <c r="FY28" i="2" a="1"/>
  <c r="FY28" i="2" s="1"/>
  <c r="FY99" i="2" a="1"/>
  <c r="FY99" i="2" s="1"/>
  <c r="FY159" i="2" a="1"/>
  <c r="FY159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133" i="2" a="1"/>
  <c r="FY133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121" i="2" a="1"/>
  <c r="FY121" i="2" s="1"/>
  <c r="FY182" i="2" a="1"/>
  <c r="FY182" i="2" s="1"/>
  <c r="FY24" i="2" a="1"/>
  <c r="FY24" i="2" s="1"/>
  <c r="FY55" i="2" a="1"/>
  <c r="FY55" i="2" s="1"/>
  <c r="FY92" i="2" a="1"/>
  <c r="FY92" i="2" s="1"/>
  <c r="FY191" i="2" a="1"/>
  <c r="FY191" i="2" s="1"/>
  <c r="FY167" i="2" a="1"/>
  <c r="FY167" i="2" s="1"/>
  <c r="FY115" i="2" a="1"/>
  <c r="FY115" i="2" s="1"/>
  <c r="FY124" i="2" a="1"/>
  <c r="FY124" i="2" s="1"/>
  <c r="FY126" i="2" a="1"/>
  <c r="FY126" i="2" s="1"/>
  <c r="FY111" i="2" a="1"/>
  <c r="FY111" i="2" s="1"/>
  <c r="FY110" i="2" a="1"/>
  <c r="FY110" i="2" s="1"/>
  <c r="FY142" i="2" a="1"/>
  <c r="FY142" i="2" s="1"/>
  <c r="FY86" i="2" a="1"/>
  <c r="FY86" i="2" s="1"/>
  <c r="FY169" i="2" a="1"/>
  <c r="FY169" i="2" s="1"/>
  <c r="FY188" i="2" a="1"/>
  <c r="FY188" i="2" s="1"/>
  <c r="FY73" i="2" a="1"/>
  <c r="FY73" i="2" s="1"/>
  <c r="FY153" i="2" a="1"/>
  <c r="FY153" i="2" s="1"/>
  <c r="FY30" i="2" a="1"/>
  <c r="FY30" i="2" s="1"/>
  <c r="FY104" i="2" a="1"/>
  <c r="FY104" i="2" s="1"/>
  <c r="FY190" i="2" a="1"/>
  <c r="FY190" i="2" s="1"/>
  <c r="FY78" i="2" a="1"/>
  <c r="FY78" i="2" s="1"/>
  <c r="FY186" i="2" a="1"/>
  <c r="FY186" i="2" s="1"/>
  <c r="FY69" i="2" a="1"/>
  <c r="FY69" i="2" s="1"/>
  <c r="FY50" i="2" a="1"/>
  <c r="FY50" i="2" s="1"/>
  <c r="FY66" i="2" a="1"/>
  <c r="FY66" i="2" s="1"/>
  <c r="FY120" i="2" a="1"/>
  <c r="FY120" i="2" s="1"/>
  <c r="FY71" i="2" a="1"/>
  <c r="FY71" i="2" s="1"/>
  <c r="FY18" i="2" a="1"/>
  <c r="FY18" i="2" s="1"/>
  <c r="FY146" i="2" a="1"/>
  <c r="FY146" i="2" s="1"/>
  <c r="FY140" i="2" a="1"/>
  <c r="FY140" i="2" s="1"/>
  <c r="FY29" i="2" a="1"/>
  <c r="FY29" i="2" s="1"/>
  <c r="FY35" i="2" a="1"/>
  <c r="FY35" i="2" s="1"/>
  <c r="FY165" i="2" a="1"/>
  <c r="FY165" i="2" s="1"/>
  <c r="FY22" i="2" a="1"/>
  <c r="FY22" i="2" s="1"/>
  <c r="FY79" i="2" a="1"/>
  <c r="FY79" i="2" s="1"/>
  <c r="FY32" i="2" a="1"/>
  <c r="FY32" i="2" s="1"/>
  <c r="FY90" i="2" a="1"/>
  <c r="FY90" i="2" s="1"/>
  <c r="FY54" i="2" a="1"/>
  <c r="FY54" i="2" s="1"/>
  <c r="FY109" i="2" a="1"/>
  <c r="FY109" i="2" s="1"/>
  <c r="HG203" i="2"/>
  <c r="FY57" i="2" a="1"/>
  <c r="FY57" i="2" s="1"/>
  <c r="FR203" i="2"/>
  <c r="HH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T203" i="2"/>
  <c r="DI203" i="2"/>
  <c r="EY203" i="2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11" i="2" l="1"/>
  <c r="GE85" i="2"/>
  <c r="GE88" i="2"/>
  <c r="GE35" i="2"/>
  <c r="GE135" i="2"/>
  <c r="GE20" i="2"/>
  <c r="GE150" i="2"/>
  <c r="GE21" i="2"/>
  <c r="GE7" i="2"/>
  <c r="GE181" i="2"/>
  <c r="GE183" i="2"/>
  <c r="GE122" i="2"/>
  <c r="GE152" i="2"/>
  <c r="GE56" i="2"/>
  <c r="GE34" i="2"/>
  <c r="GE123" i="2"/>
  <c r="GE112" i="2"/>
  <c r="GE87" i="2"/>
  <c r="GE157" i="2"/>
  <c r="GE191" i="2"/>
  <c r="GE192" i="2"/>
  <c r="GE58" i="2"/>
  <c r="GE90" i="2"/>
  <c r="GE153" i="2"/>
  <c r="GE159" i="2"/>
  <c r="GE42" i="2"/>
  <c r="GE24" i="2"/>
  <c r="GE59" i="2"/>
  <c r="GE78" i="2"/>
  <c r="GE9" i="2"/>
  <c r="GE71" i="2"/>
  <c r="GE169" i="2"/>
  <c r="GE14" i="2"/>
  <c r="GE53" i="2"/>
  <c r="GE155" i="2"/>
  <c r="GE36" i="2"/>
  <c r="GE142" i="2"/>
  <c r="GE102" i="2"/>
  <c r="GE182" i="2"/>
  <c r="GE65" i="2"/>
  <c r="GE50" i="2"/>
  <c r="GE64" i="2"/>
  <c r="GE173" i="2"/>
  <c r="GE81" i="2"/>
  <c r="GE107" i="2"/>
  <c r="GE113" i="2"/>
  <c r="GE141" i="2"/>
  <c r="GE143" i="2"/>
  <c r="GE109" i="2"/>
  <c r="GE174" i="2"/>
  <c r="GE80" i="2"/>
  <c r="GE100" i="2"/>
  <c r="GE138" i="2"/>
  <c r="GE110" i="2"/>
  <c r="GE94" i="2"/>
  <c r="GE77" i="2"/>
  <c r="GE33" i="2"/>
  <c r="GE195" i="2"/>
  <c r="GE25" i="2"/>
  <c r="GE62" i="2"/>
  <c r="GE43" i="2"/>
  <c r="GE26" i="2"/>
  <c r="GE154" i="2"/>
  <c r="GE149" i="2"/>
  <c r="GE111" i="2"/>
  <c r="GE175" i="2"/>
  <c r="GE15" i="2"/>
  <c r="GE120" i="2"/>
  <c r="GE124" i="2"/>
  <c r="GE22" i="2"/>
  <c r="GE106" i="2"/>
  <c r="GE196" i="2"/>
  <c r="GE68" i="2"/>
  <c r="GE148" i="2"/>
  <c r="GE52" i="2"/>
  <c r="GE146" i="2"/>
  <c r="GE98" i="2"/>
  <c r="GE55" i="2"/>
  <c r="GE167" i="2"/>
  <c r="GE119" i="2"/>
  <c r="GE202" i="2"/>
  <c r="GE79" i="2"/>
  <c r="GE28" i="2"/>
  <c r="GE201" i="2"/>
  <c r="GE48" i="2"/>
  <c r="GE117" i="2"/>
  <c r="GE66" i="2"/>
  <c r="GE30" i="2"/>
  <c r="GE18" i="2"/>
  <c r="GE70" i="2"/>
  <c r="GE61" i="2"/>
  <c r="GE76" i="2"/>
  <c r="GE132" i="2"/>
  <c r="GE131" i="2"/>
  <c r="GE172" i="2"/>
  <c r="GE31" i="2"/>
  <c r="GE51" i="2"/>
  <c r="GE72" i="2"/>
  <c r="GE32" i="2"/>
  <c r="GE93" i="2"/>
  <c r="GE125" i="2"/>
  <c r="GE17" i="2"/>
  <c r="GE49" i="2"/>
  <c r="GE178" i="2"/>
  <c r="GE27" i="2"/>
  <c r="GE92" i="2"/>
  <c r="GE12" i="2"/>
  <c r="GE60" i="2"/>
  <c r="GE101" i="2"/>
  <c r="GE91" i="2"/>
  <c r="GE144" i="2"/>
  <c r="GE161" i="2"/>
  <c r="GE23" i="2"/>
  <c r="GE97" i="2"/>
  <c r="GE186" i="2"/>
  <c r="GE164" i="2"/>
  <c r="GE108" i="2"/>
  <c r="GE200" i="2"/>
  <c r="GE129" i="2"/>
  <c r="GE5" i="2"/>
  <c r="GE41" i="2"/>
  <c r="GE103" i="2"/>
  <c r="GE95" i="2"/>
  <c r="GE177" i="2"/>
  <c r="GE104" i="2"/>
  <c r="GE133" i="2"/>
  <c r="GE105" i="2"/>
  <c r="GE83" i="2"/>
  <c r="GE121" i="2"/>
  <c r="GE145" i="2"/>
  <c r="GE180" i="2"/>
  <c r="GE99" i="2"/>
  <c r="GE10" i="2"/>
  <c r="GE158" i="2"/>
  <c r="GE47" i="2"/>
  <c r="GE198" i="2"/>
  <c r="GE86" i="2"/>
  <c r="GE189" i="2"/>
  <c r="GE40" i="2"/>
  <c r="GE185" i="2"/>
  <c r="GE63" i="2"/>
  <c r="GE84" i="2"/>
  <c r="GE116" i="2"/>
  <c r="GE171" i="2"/>
  <c r="GE139" i="2"/>
  <c r="GE45" i="2"/>
  <c r="GE67" i="2"/>
  <c r="GE126" i="2"/>
  <c r="GE29" i="2"/>
  <c r="GE134" i="2"/>
  <c r="GE137" i="2"/>
  <c r="GE162" i="2"/>
  <c r="GE19" i="2"/>
  <c r="GE73" i="2"/>
  <c r="GE114" i="2"/>
  <c r="GE74" i="2"/>
  <c r="GE184" i="2"/>
  <c r="GE147" i="2"/>
  <c r="GE165" i="2"/>
  <c r="GE166" i="2"/>
  <c r="GE37" i="2"/>
  <c r="GE156" i="2"/>
  <c r="GE8" i="2"/>
  <c r="GE163" i="2"/>
  <c r="GE89" i="2"/>
  <c r="GE187" i="2"/>
  <c r="GE160" i="2"/>
  <c r="GE128" i="2"/>
  <c r="GE127" i="2"/>
  <c r="GE54" i="2"/>
  <c r="GE6" i="2"/>
  <c r="GE176" i="2"/>
  <c r="GE4" i="2"/>
  <c r="GE190" i="2"/>
  <c r="GE39" i="2"/>
  <c r="GE193" i="2"/>
  <c r="GE96" i="2"/>
  <c r="GE199" i="2"/>
  <c r="GE118" i="2"/>
  <c r="GE197" i="2"/>
  <c r="GE136" i="2"/>
  <c r="GE130" i="2"/>
  <c r="GE151" i="2"/>
  <c r="GE38" i="2"/>
  <c r="GE16" i="2"/>
  <c r="GE170" i="2"/>
  <c r="GE69" i="2"/>
  <c r="GE179" i="2"/>
  <c r="GE75" i="2"/>
  <c r="GE44" i="2"/>
  <c r="GE194" i="2"/>
  <c r="GE203" i="2"/>
  <c r="GE168" i="2"/>
  <c r="GE140" i="2"/>
  <c r="GE13" i="2"/>
  <c r="GE57" i="2"/>
  <c r="GE188" i="2"/>
  <c r="GE46" i="2"/>
  <c r="GE115" i="2"/>
  <c r="GE82" i="2"/>
  <c r="GE3" i="2"/>
  <c r="C14" i="4" s="1"/>
  <c r="E14" i="4" s="1"/>
  <c r="F14" i="4" s="1"/>
  <c r="G14" i="4" s="1"/>
  <c r="L14" i="4" s="1"/>
  <c r="CD60" i="2"/>
  <c r="CD70" i="2"/>
  <c r="CD122" i="2"/>
  <c r="CD176" i="2"/>
  <c r="CD146" i="2"/>
  <c r="CD42" i="2"/>
  <c r="CD190" i="2"/>
  <c r="CD174" i="2"/>
  <c r="CD95" i="2"/>
  <c r="CD172" i="2"/>
  <c r="CD32" i="2"/>
  <c r="CD173" i="2"/>
  <c r="CD47" i="2"/>
  <c r="CD111" i="2"/>
  <c r="CD86" i="2"/>
  <c r="CD105" i="2"/>
  <c r="CD197" i="2"/>
  <c r="CD183" i="2"/>
  <c r="CD6" i="2"/>
  <c r="CD46" i="2"/>
  <c r="CD69" i="2"/>
  <c r="CD28" i="2"/>
  <c r="CD62" i="2"/>
  <c r="CD35" i="2"/>
  <c r="CD29" i="2"/>
  <c r="CD77" i="2"/>
  <c r="CD10" i="2"/>
  <c r="CD72" i="2"/>
  <c r="CD18" i="2"/>
  <c r="CD90" i="2"/>
  <c r="CD103" i="2"/>
  <c r="CD50" i="2"/>
  <c r="CD106" i="2"/>
  <c r="CD9" i="2"/>
  <c r="CD141" i="2"/>
  <c r="CD148" i="2"/>
  <c r="CD125" i="2"/>
  <c r="CD19" i="2"/>
  <c r="CD89" i="2"/>
  <c r="CD3" i="2"/>
  <c r="C9" i="4" s="1"/>
  <c r="E9" i="4" s="1"/>
  <c r="F9" i="4" s="1"/>
  <c r="G9" i="4" s="1"/>
  <c r="L9" i="4" s="1"/>
  <c r="CD107" i="2"/>
  <c r="CD91" i="2"/>
  <c r="CD45" i="2"/>
  <c r="CD120" i="2"/>
  <c r="CD85" i="2"/>
  <c r="CD51" i="2"/>
  <c r="CD127" i="2"/>
  <c r="CD175" i="2"/>
  <c r="CD8" i="2"/>
  <c r="CD145" i="2"/>
  <c r="CD55" i="2"/>
  <c r="CD166" i="2"/>
  <c r="CD118" i="2"/>
  <c r="CD159" i="2"/>
  <c r="CD203" i="2"/>
  <c r="CD73" i="2"/>
  <c r="CD41" i="2"/>
  <c r="CD22" i="2"/>
  <c r="CD57" i="2"/>
  <c r="CD151" i="2"/>
  <c r="CD26" i="2"/>
  <c r="CD36" i="2"/>
  <c r="CD143" i="2"/>
  <c r="CD192" i="2"/>
  <c r="CD78" i="2"/>
  <c r="CD126" i="2"/>
  <c r="CD150" i="2"/>
  <c r="CD153" i="2"/>
  <c r="CD119" i="2"/>
  <c r="CD200" i="2"/>
  <c r="CD124" i="2"/>
  <c r="CD44" i="2"/>
  <c r="CD132" i="2"/>
  <c r="CD24" i="2"/>
  <c r="CD180" i="2"/>
  <c r="CD30" i="2"/>
  <c r="CD48" i="2"/>
  <c r="CD113" i="2"/>
  <c r="CD54" i="2"/>
  <c r="CD186" i="2"/>
  <c r="CD74" i="2"/>
  <c r="CD152" i="2"/>
  <c r="CD34" i="2"/>
  <c r="CD64" i="2"/>
  <c r="CD83" i="2"/>
  <c r="CD31" i="2"/>
  <c r="CD194" i="2"/>
  <c r="CD182" i="2"/>
  <c r="CD161" i="2"/>
  <c r="CD4" i="2"/>
  <c r="CD43" i="2"/>
  <c r="CD67" i="2"/>
  <c r="CD115" i="2"/>
  <c r="CD137" i="2"/>
  <c r="CD185" i="2"/>
  <c r="CD80" i="2"/>
  <c r="CD93" i="2"/>
  <c r="CD112" i="2"/>
  <c r="CD138" i="2"/>
  <c r="CD100" i="2"/>
  <c r="CD68" i="2"/>
  <c r="CD168" i="2"/>
  <c r="CD110" i="2"/>
  <c r="CD104" i="2"/>
  <c r="CD196" i="2"/>
  <c r="CD163" i="2"/>
  <c r="CD156" i="2"/>
  <c r="CD82" i="2"/>
  <c r="CD179" i="2"/>
  <c r="CD198" i="2"/>
  <c r="CD27" i="2"/>
  <c r="CD76" i="2"/>
  <c r="CD37" i="2"/>
  <c r="CD147" i="2"/>
  <c r="CD61" i="2"/>
  <c r="CD189" i="2"/>
  <c r="CD139" i="2"/>
  <c r="CD56" i="2"/>
  <c r="CD117" i="2"/>
  <c r="CD92" i="2"/>
  <c r="CD7" i="2"/>
  <c r="CD160" i="2"/>
  <c r="CD202" i="2"/>
  <c r="CD87" i="2"/>
  <c r="CD13" i="2"/>
  <c r="CD199" i="2"/>
  <c r="CD164" i="2"/>
  <c r="CD52" i="2"/>
  <c r="CD65" i="2"/>
  <c r="CD129" i="2"/>
  <c r="CD38" i="2"/>
  <c r="CD114" i="2"/>
  <c r="CD181" i="2"/>
  <c r="CD193" i="2"/>
  <c r="CD40" i="2"/>
  <c r="CD123" i="2"/>
  <c r="CD142" i="2"/>
  <c r="CD14" i="2"/>
  <c r="CD154" i="2"/>
  <c r="CD131" i="2"/>
  <c r="CD101" i="2"/>
  <c r="CD88" i="2"/>
  <c r="CD177" i="2"/>
  <c r="CD75" i="2"/>
  <c r="CD17" i="2"/>
  <c r="CD195" i="2"/>
  <c r="CD128" i="2"/>
  <c r="CD84" i="2"/>
  <c r="CD12" i="2"/>
  <c r="CD134" i="2"/>
  <c r="CD158" i="2"/>
  <c r="CD94" i="2"/>
  <c r="CD178" i="2"/>
  <c r="CD58" i="2"/>
  <c r="CD188" i="2"/>
  <c r="CD5" i="2"/>
  <c r="CD11" i="2"/>
  <c r="CD16" i="2"/>
  <c r="CD149" i="2"/>
  <c r="CD23" i="2"/>
  <c r="CD169" i="2"/>
  <c r="CD133" i="2"/>
  <c r="CD63" i="2"/>
  <c r="CD53" i="2"/>
  <c r="CD167" i="2"/>
  <c r="CD71" i="2"/>
  <c r="CD99" i="2"/>
  <c r="CD109" i="2"/>
  <c r="CD187" i="2"/>
  <c r="CD135" i="2"/>
  <c r="CD201" i="2"/>
  <c r="CD33" i="2"/>
  <c r="CD39" i="2"/>
  <c r="CD66" i="2"/>
  <c r="CD165" i="2"/>
  <c r="CD96" i="2"/>
  <c r="CD136" i="2"/>
  <c r="CD184" i="2"/>
  <c r="CD79" i="2"/>
  <c r="CD21" i="2"/>
  <c r="CD155" i="2"/>
  <c r="CD81" i="2"/>
  <c r="CD121" i="2"/>
  <c r="CD108" i="2"/>
  <c r="CD140" i="2"/>
  <c r="CD162" i="2"/>
  <c r="CD25" i="2"/>
  <c r="CD49" i="2"/>
  <c r="CD15" i="2"/>
  <c r="CD170" i="2"/>
  <c r="CD20" i="2"/>
  <c r="CD171" i="2"/>
  <c r="CD191" i="2"/>
  <c r="CD130" i="2"/>
  <c r="CD59" i="2"/>
  <c r="CD102" i="2"/>
  <c r="CD116" i="2"/>
  <c r="CD157" i="2"/>
  <c r="CD98" i="2"/>
  <c r="CD144" i="2"/>
  <c r="CD9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EO142" i="2" l="1"/>
  <c r="EO35" i="2"/>
  <c r="EO145" i="2"/>
  <c r="EO187" i="2"/>
  <c r="EO31" i="2"/>
  <c r="EO44" i="2"/>
  <c r="EO143" i="2"/>
  <c r="EO113" i="2"/>
  <c r="EO108" i="2"/>
  <c r="EO126" i="2"/>
  <c r="EO100" i="2"/>
  <c r="EO197" i="2"/>
  <c r="EO7" i="2"/>
  <c r="EO77" i="2"/>
  <c r="EO91" i="2"/>
  <c r="EO4" i="2"/>
  <c r="EO123" i="2"/>
  <c r="EO146" i="2"/>
  <c r="EO64" i="2"/>
  <c r="EO11" i="2"/>
  <c r="EO129" i="2"/>
  <c r="EO95" i="2"/>
  <c r="EO83" i="2"/>
  <c r="EO141" i="2"/>
  <c r="EO184" i="2"/>
  <c r="EO144" i="2"/>
  <c r="EO112" i="2"/>
  <c r="EO46" i="2"/>
  <c r="EO193" i="2"/>
  <c r="EO127" i="2"/>
  <c r="EO93" i="2"/>
  <c r="EO22" i="2"/>
  <c r="EO168" i="2"/>
  <c r="EO162" i="2"/>
  <c r="EO56" i="2"/>
  <c r="EO58" i="2"/>
  <c r="EO40" i="2"/>
  <c r="EO135" i="2"/>
  <c r="EO29" i="2"/>
  <c r="EO99" i="2"/>
  <c r="EO65" i="2"/>
  <c r="EO182" i="2"/>
  <c r="EO178" i="2"/>
  <c r="EO73" i="2"/>
  <c r="EO60" i="2"/>
  <c r="EO114" i="2"/>
  <c r="EO36" i="2"/>
  <c r="EO63" i="2"/>
  <c r="EO109" i="2"/>
  <c r="EO38" i="2"/>
  <c r="EO26" i="2"/>
  <c r="EO33" i="2"/>
  <c r="EO161" i="2"/>
  <c r="EO128" i="2"/>
  <c r="EO94" i="2"/>
  <c r="EO101" i="2"/>
  <c r="EO66" i="2"/>
  <c r="EO71" i="2"/>
  <c r="EO131" i="2"/>
  <c r="EO17" i="2"/>
  <c r="EO3" i="2"/>
  <c r="C12" i="4" s="1"/>
  <c r="E12" i="4" s="1"/>
  <c r="F12" i="4" s="1"/>
  <c r="G12" i="4" s="1"/>
  <c r="L12" i="4" s="1"/>
  <c r="EO74" i="2"/>
  <c r="EO50" i="2"/>
  <c r="EO59" i="2"/>
  <c r="EO139" i="2"/>
  <c r="EO185" i="2"/>
  <c r="EO173" i="2"/>
  <c r="EO39" i="2"/>
  <c r="EO150" i="2"/>
  <c r="EO72" i="2"/>
  <c r="EO8" i="2"/>
  <c r="EO111" i="2"/>
  <c r="EO172" i="2"/>
  <c r="EO190" i="2"/>
  <c r="EO180" i="2"/>
  <c r="EO16" i="2"/>
  <c r="EO154" i="2"/>
  <c r="EO153" i="2"/>
  <c r="EO203" i="2"/>
  <c r="EO81" i="2"/>
  <c r="EO119" i="2"/>
  <c r="EO136" i="2"/>
  <c r="EO80" i="2"/>
  <c r="EO110" i="2"/>
  <c r="EO160" i="2"/>
  <c r="EO192" i="2"/>
  <c r="EO186" i="2"/>
  <c r="EO107" i="2"/>
  <c r="EO70" i="2"/>
  <c r="EO57" i="2"/>
  <c r="EO10" i="2"/>
  <c r="EO6" i="2"/>
  <c r="EO167" i="2"/>
  <c r="EO133" i="2"/>
  <c r="EO51" i="2"/>
  <c r="EO18" i="2"/>
  <c r="EO42" i="2"/>
  <c r="EO177" i="2"/>
  <c r="EO62" i="2"/>
  <c r="EO189" i="2"/>
  <c r="EO92" i="2"/>
  <c r="EO28" i="2"/>
  <c r="EO27" i="2"/>
  <c r="EO102" i="2"/>
  <c r="EO90" i="2"/>
  <c r="EO24" i="2"/>
  <c r="EO151" i="2"/>
  <c r="EO191" i="2"/>
  <c r="EO76" i="2"/>
  <c r="EO78" i="2"/>
  <c r="EO152" i="2"/>
  <c r="EO179" i="2"/>
  <c r="EO15" i="2"/>
  <c r="EO117" i="2"/>
  <c r="EO188" i="2"/>
  <c r="EO32" i="2"/>
  <c r="EO132" i="2"/>
  <c r="EO183" i="2"/>
  <c r="EO174" i="2"/>
  <c r="EO82" i="2"/>
  <c r="EO115" i="2"/>
  <c r="EO171" i="2"/>
  <c r="EO45" i="2"/>
  <c r="EO86" i="2"/>
  <c r="EO195" i="2"/>
  <c r="EO21" i="2"/>
  <c r="EO164" i="2"/>
  <c r="EO125" i="2"/>
  <c r="EO170" i="2"/>
  <c r="EO52" i="2"/>
  <c r="EO47" i="2"/>
  <c r="EO157" i="2"/>
  <c r="EO23" i="2"/>
  <c r="EO14" i="2"/>
  <c r="EO199" i="2"/>
  <c r="EO196" i="2"/>
  <c r="EO134" i="2"/>
  <c r="EO48" i="2"/>
  <c r="EO166" i="2"/>
  <c r="EO12" i="2"/>
  <c r="EO106" i="2"/>
  <c r="EO103" i="2"/>
  <c r="EO105" i="2"/>
  <c r="EO69" i="2"/>
  <c r="EO34" i="2"/>
  <c r="EO13" i="2"/>
  <c r="EO158" i="2"/>
  <c r="EO163" i="2"/>
  <c r="EO148" i="2"/>
  <c r="EO149" i="2"/>
  <c r="EO176" i="2"/>
  <c r="EO122" i="2"/>
  <c r="EO147" i="2"/>
  <c r="EO97" i="2"/>
  <c r="EO96" i="2"/>
  <c r="EO68" i="2"/>
  <c r="EO19" i="2"/>
  <c r="EO75" i="2"/>
  <c r="EO181" i="2"/>
  <c r="EO88" i="2"/>
  <c r="EO116" i="2"/>
  <c r="EO67" i="2"/>
  <c r="EO159" i="2"/>
  <c r="EO156" i="2"/>
  <c r="EO198" i="2"/>
  <c r="EO61" i="2"/>
  <c r="EO155" i="2"/>
  <c r="EO79" i="2"/>
  <c r="EO53" i="2"/>
  <c r="EO201" i="2"/>
  <c r="EO20" i="2"/>
  <c r="EO89" i="2"/>
  <c r="EO43" i="2"/>
  <c r="EO165" i="2"/>
  <c r="EO41" i="2"/>
  <c r="EO104" i="2"/>
  <c r="EO98" i="2"/>
  <c r="EO55" i="2"/>
  <c r="EO54" i="2"/>
  <c r="EO85" i="2"/>
  <c r="EO169" i="2"/>
  <c r="EO87" i="2"/>
  <c r="EO130" i="2"/>
  <c r="EO5" i="2"/>
  <c r="EO25" i="2"/>
  <c r="EO200" i="2"/>
  <c r="EO121" i="2"/>
  <c r="EO9" i="2"/>
  <c r="EO202" i="2"/>
  <c r="EO138" i="2"/>
  <c r="EO124" i="2"/>
  <c r="EO84" i="2"/>
  <c r="EO175" i="2"/>
  <c r="EO120" i="2"/>
  <c r="EO37" i="2"/>
  <c r="EO194" i="2"/>
  <c r="EO118" i="2"/>
  <c r="EO49" i="2"/>
  <c r="EO137" i="2"/>
  <c r="EO30" i="2"/>
  <c r="EO140" i="2"/>
  <c r="DT37" i="2"/>
  <c r="DT186" i="2"/>
  <c r="DT111" i="2"/>
  <c r="DT35" i="2"/>
  <c r="DT116" i="2"/>
  <c r="DT178" i="2"/>
  <c r="DT105" i="2"/>
  <c r="DT13" i="2"/>
  <c r="DT8" i="2"/>
  <c r="DT48" i="2"/>
  <c r="DT161" i="2"/>
  <c r="DT27" i="2"/>
  <c r="DT121" i="2"/>
  <c r="DT86" i="2"/>
  <c r="DT158" i="2"/>
  <c r="DT19" i="2"/>
  <c r="DT7" i="2"/>
  <c r="DT123" i="2"/>
  <c r="DT59" i="2"/>
  <c r="DT40" i="2"/>
  <c r="DT25" i="2"/>
  <c r="DT14" i="2"/>
  <c r="DT167" i="2"/>
  <c r="DT114" i="2"/>
  <c r="DT16" i="2"/>
  <c r="DT119" i="2"/>
  <c r="DT34" i="2"/>
  <c r="DT47" i="2"/>
  <c r="DT101" i="2"/>
  <c r="DT175" i="2"/>
  <c r="DT75" i="2"/>
  <c r="DT199" i="2"/>
  <c r="DT32" i="2"/>
  <c r="DT92" i="2"/>
  <c r="DT140" i="2"/>
  <c r="DT165" i="2"/>
  <c r="DT44" i="2"/>
  <c r="DT33" i="2"/>
  <c r="DT127" i="2"/>
  <c r="DT77" i="2"/>
  <c r="DT202" i="2"/>
  <c r="DT98" i="2"/>
  <c r="DT4" i="2"/>
  <c r="DT10" i="2"/>
  <c r="DT130" i="2"/>
  <c r="DT147" i="2"/>
  <c r="DT21" i="2"/>
  <c r="DT72" i="2"/>
  <c r="DT176" i="2"/>
  <c r="DT97" i="2"/>
  <c r="DT42" i="2"/>
  <c r="DT84" i="2"/>
  <c r="DT68" i="2"/>
  <c r="DT64" i="2"/>
  <c r="DT172" i="2"/>
  <c r="DT180" i="2"/>
  <c r="DT53" i="2"/>
  <c r="DT182" i="2"/>
  <c r="DT29" i="2"/>
  <c r="DT145" i="2"/>
  <c r="DT201" i="2"/>
  <c r="DT63" i="2"/>
  <c r="DT109" i="2"/>
  <c r="DT110" i="2"/>
  <c r="DT65" i="2"/>
  <c r="DT50" i="2"/>
  <c r="DT194" i="2"/>
  <c r="DT155" i="2"/>
  <c r="DT95" i="2"/>
  <c r="DT135" i="2"/>
  <c r="DT38" i="2"/>
  <c r="DT138" i="2"/>
  <c r="DT153" i="2"/>
  <c r="DT154" i="2"/>
  <c r="DT196" i="2"/>
  <c r="DT150" i="2"/>
  <c r="DT128" i="2"/>
  <c r="DT113" i="2"/>
  <c r="DT102" i="2"/>
  <c r="DT30" i="2"/>
  <c r="DT190" i="2"/>
  <c r="DT122" i="2"/>
  <c r="DT168" i="2"/>
  <c r="DT149" i="2"/>
  <c r="DT187" i="2"/>
  <c r="DT56" i="2"/>
  <c r="DT166" i="2"/>
  <c r="DT184" i="2"/>
  <c r="DT203" i="2"/>
  <c r="DT5" i="2"/>
  <c r="DT173" i="2"/>
  <c r="DT174" i="2"/>
  <c r="DT144" i="2"/>
  <c r="DT87" i="2"/>
  <c r="DT96" i="2"/>
  <c r="DT152" i="2"/>
  <c r="DT134" i="2"/>
  <c r="DT159" i="2"/>
  <c r="DT197" i="2"/>
  <c r="DT58" i="2"/>
  <c r="DT17" i="2"/>
  <c r="DT24" i="2"/>
  <c r="DT70" i="2"/>
  <c r="DT85" i="2"/>
  <c r="DT66" i="2"/>
  <c r="DT126" i="2"/>
  <c r="DT9" i="2"/>
  <c r="DT57" i="2"/>
  <c r="DT103" i="2"/>
  <c r="DT83" i="2"/>
  <c r="DT148" i="2"/>
  <c r="DT183" i="2"/>
  <c r="DT107" i="2"/>
  <c r="DT82" i="2"/>
  <c r="DT60" i="2"/>
  <c r="DT112" i="2"/>
  <c r="DT49" i="2"/>
  <c r="DT46" i="2"/>
  <c r="DT43" i="2"/>
  <c r="DT171" i="2"/>
  <c r="DT188" i="2"/>
  <c r="DT118" i="2"/>
  <c r="DT81" i="2"/>
  <c r="DT120" i="2"/>
  <c r="DT11" i="2"/>
  <c r="DT3" i="2"/>
  <c r="C11" i="4" s="1"/>
  <c r="E11" i="4" s="1"/>
  <c r="F11" i="4" s="1"/>
  <c r="G11" i="4" s="1"/>
  <c r="L11" i="4" s="1"/>
  <c r="DT141" i="2"/>
  <c r="DT115" i="2"/>
  <c r="DT74" i="2"/>
  <c r="DT133" i="2"/>
  <c r="DT125" i="2"/>
  <c r="DT93" i="2"/>
  <c r="DT129" i="2"/>
  <c r="DT185" i="2"/>
  <c r="DT200" i="2"/>
  <c r="DT136" i="2"/>
  <c r="DT67" i="2"/>
  <c r="DT91" i="2"/>
  <c r="DT160" i="2"/>
  <c r="DT23" i="2"/>
  <c r="DT12" i="2"/>
  <c r="DT45" i="2"/>
  <c r="DT52" i="2"/>
  <c r="DT31" i="2"/>
  <c r="DT157" i="2"/>
  <c r="DT69" i="2"/>
  <c r="DT99" i="2"/>
  <c r="DT22" i="2"/>
  <c r="DT62" i="2"/>
  <c r="DT39" i="2"/>
  <c r="DT76" i="2"/>
  <c r="DT89" i="2"/>
  <c r="DT80" i="2"/>
  <c r="DT142" i="2"/>
  <c r="DT54" i="2"/>
  <c r="DT51" i="2"/>
  <c r="DT151" i="2"/>
  <c r="DT26" i="2"/>
  <c r="DT106" i="2"/>
  <c r="DT108" i="2"/>
  <c r="DT195" i="2"/>
  <c r="DT79" i="2"/>
  <c r="DT137" i="2"/>
  <c r="DT139" i="2"/>
  <c r="DT193" i="2"/>
  <c r="DT179" i="2"/>
  <c r="DT181" i="2"/>
  <c r="DT169" i="2"/>
  <c r="DT18" i="2"/>
  <c r="DT131" i="2"/>
  <c r="DT55" i="2"/>
  <c r="DT94" i="2"/>
  <c r="DT146" i="2"/>
  <c r="DT164" i="2"/>
  <c r="DT198" i="2"/>
  <c r="DT61" i="2"/>
  <c r="DT163" i="2"/>
  <c r="DT189" i="2"/>
  <c r="DT192" i="2"/>
  <c r="DT88" i="2"/>
  <c r="DT191" i="2"/>
  <c r="DT124" i="2"/>
  <c r="DT6" i="2"/>
  <c r="DT162" i="2"/>
  <c r="DT36" i="2"/>
  <c r="DT73" i="2"/>
  <c r="DT132" i="2"/>
  <c r="DT20" i="2"/>
  <c r="DT41" i="2"/>
  <c r="DT71" i="2"/>
  <c r="DT90" i="2"/>
  <c r="DT78" i="2"/>
  <c r="DT28" i="2"/>
  <c r="DT177" i="2"/>
  <c r="DT117" i="2"/>
  <c r="DT104" i="2"/>
  <c r="DT15" i="2"/>
  <c r="DT170" i="2"/>
  <c r="DT100" i="2"/>
  <c r="DT156" i="2"/>
  <c r="DT143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81" i="2" l="1"/>
  <c r="BI47" i="2"/>
  <c r="BI5" i="2"/>
  <c r="BI136" i="2"/>
  <c r="BI142" i="2"/>
  <c r="BI185" i="2"/>
  <c r="BI77" i="2"/>
  <c r="BI113" i="2"/>
  <c r="BI131" i="2"/>
  <c r="BI71" i="2"/>
  <c r="BI159" i="2"/>
  <c r="BI61" i="2"/>
  <c r="BI32" i="2"/>
  <c r="BI164" i="2"/>
  <c r="BI28" i="2"/>
  <c r="BI166" i="2"/>
  <c r="BI10" i="2"/>
  <c r="BI20" i="2"/>
  <c r="BI23" i="2"/>
  <c r="BI8" i="2"/>
  <c r="BI167" i="2"/>
  <c r="BI92" i="2"/>
  <c r="BI30" i="2"/>
  <c r="BI51" i="2"/>
  <c r="BI93" i="2"/>
  <c r="BI182" i="2"/>
  <c r="BI151" i="2"/>
  <c r="BI196" i="2"/>
  <c r="BI114" i="2"/>
  <c r="BI7" i="2"/>
  <c r="BI163" i="2"/>
  <c r="BI171" i="2"/>
  <c r="BI202" i="2"/>
  <c r="BI58" i="2"/>
  <c r="BI96" i="2"/>
  <c r="BI169" i="2"/>
  <c r="BI54" i="2"/>
  <c r="BI97" i="2"/>
  <c r="BI138" i="2"/>
  <c r="BI41" i="2"/>
  <c r="BI150" i="2"/>
  <c r="BI198" i="2"/>
  <c r="BI110" i="2"/>
  <c r="BI105" i="2"/>
  <c r="BI201" i="2"/>
  <c r="BI203" i="2"/>
  <c r="BI143" i="2"/>
  <c r="BI64" i="2"/>
  <c r="BI16" i="2"/>
  <c r="BI44" i="2"/>
  <c r="BI24" i="2"/>
  <c r="BI37" i="2"/>
  <c r="BI70" i="2"/>
  <c r="BI141" i="2"/>
  <c r="BI188" i="2"/>
  <c r="BI165" i="2"/>
  <c r="BI190" i="2"/>
  <c r="BI200" i="2"/>
  <c r="BI178" i="2"/>
  <c r="BI184" i="2"/>
  <c r="BI86" i="2"/>
  <c r="BI33" i="2"/>
  <c r="BI9" i="2"/>
  <c r="BI116" i="2"/>
  <c r="BI72" i="2"/>
  <c r="BI95" i="2"/>
  <c r="BI121" i="2"/>
  <c r="BI43" i="2"/>
  <c r="BI18" i="2"/>
  <c r="BI180" i="2"/>
  <c r="BI128" i="2"/>
  <c r="BI122" i="2"/>
  <c r="BI125" i="2"/>
  <c r="BI35" i="2"/>
  <c r="BI99" i="2"/>
  <c r="BI130" i="2"/>
  <c r="BI175" i="2"/>
  <c r="BI152" i="2"/>
  <c r="BI199" i="2"/>
  <c r="BI156" i="2"/>
  <c r="BI21" i="2"/>
  <c r="BI60" i="2"/>
  <c r="BI107" i="2"/>
  <c r="BI124" i="2"/>
  <c r="BI45" i="2"/>
  <c r="BI52" i="2"/>
  <c r="BI132" i="2"/>
  <c r="BI79" i="2"/>
  <c r="BI74" i="2"/>
  <c r="BI65" i="2"/>
  <c r="BI155" i="2"/>
  <c r="BI139" i="2"/>
  <c r="BI123" i="2"/>
  <c r="BI145" i="2"/>
  <c r="BI73" i="2"/>
  <c r="BI25" i="2"/>
  <c r="BI120" i="2"/>
  <c r="BI158" i="2"/>
  <c r="BI40" i="2"/>
  <c r="BI6" i="2"/>
  <c r="BI46" i="2"/>
  <c r="BI84" i="2"/>
  <c r="BI192" i="2"/>
  <c r="BI137" i="2"/>
  <c r="BI34" i="2"/>
  <c r="BI90" i="2"/>
  <c r="BI67" i="2"/>
  <c r="BI160" i="2"/>
  <c r="BI85" i="2"/>
  <c r="BI56" i="2"/>
  <c r="BI103" i="2"/>
  <c r="BI78" i="2"/>
  <c r="BI22" i="2"/>
  <c r="BI50" i="2"/>
  <c r="BI49" i="2"/>
  <c r="BI161" i="2"/>
  <c r="BI29" i="2"/>
  <c r="BI88" i="2"/>
  <c r="BI108" i="2"/>
  <c r="BI19" i="2"/>
  <c r="BI147" i="2"/>
  <c r="BI98" i="2"/>
  <c r="BI63" i="2"/>
  <c r="BI134" i="2"/>
  <c r="BI174" i="2"/>
  <c r="BI129" i="2"/>
  <c r="BI75" i="2"/>
  <c r="BI76" i="2"/>
  <c r="BI109" i="2"/>
  <c r="BI101" i="2"/>
  <c r="BI179" i="2"/>
  <c r="BI89" i="2"/>
  <c r="BI48" i="2"/>
  <c r="BI36" i="2"/>
  <c r="BI148" i="2"/>
  <c r="BI17" i="2"/>
  <c r="BI62" i="2"/>
  <c r="BI12" i="2"/>
  <c r="BI135" i="2"/>
  <c r="BI191" i="2"/>
  <c r="BI11" i="2"/>
  <c r="BI100" i="2"/>
  <c r="BI146" i="2"/>
  <c r="BI149" i="2"/>
  <c r="BI193" i="2"/>
  <c r="BI186" i="2"/>
  <c r="BI168" i="2"/>
  <c r="BI140" i="2"/>
  <c r="BI38" i="2"/>
  <c r="BI39" i="2"/>
  <c r="BI195" i="2"/>
  <c r="BI15" i="2"/>
  <c r="BI27" i="2"/>
  <c r="BI197" i="2"/>
  <c r="BI31" i="2"/>
  <c r="BI106" i="2"/>
  <c r="BI126" i="2"/>
  <c r="BI69" i="2"/>
  <c r="BI81" i="2"/>
  <c r="BI144" i="2"/>
  <c r="BI91" i="2"/>
  <c r="BI94" i="2"/>
  <c r="BI57" i="2"/>
  <c r="BI183" i="2"/>
  <c r="BI87" i="2"/>
  <c r="BI172" i="2"/>
  <c r="BI53" i="2"/>
  <c r="BI83" i="2"/>
  <c r="BI157" i="2"/>
  <c r="BI112" i="2"/>
  <c r="BI102" i="2"/>
  <c r="BI68" i="2"/>
  <c r="BI59" i="2"/>
  <c r="BI117" i="2"/>
  <c r="BI189" i="2"/>
  <c r="BI26" i="2"/>
  <c r="BI4" i="2"/>
  <c r="BI162" i="2"/>
  <c r="BI154" i="2"/>
  <c r="BI177" i="2"/>
  <c r="BI170" i="2"/>
  <c r="BI42" i="2"/>
  <c r="BI80" i="2"/>
  <c r="BI3" i="2"/>
  <c r="C8" i="4" s="1"/>
  <c r="E8" i="4" s="1"/>
  <c r="F8" i="4" s="1"/>
  <c r="G8" i="4" s="1"/>
  <c r="L8" i="4" s="1"/>
  <c r="BI133" i="2"/>
  <c r="BI194" i="2"/>
  <c r="BI176" i="2"/>
  <c r="BI82" i="2"/>
  <c r="BI13" i="2"/>
  <c r="BI119" i="2"/>
  <c r="BI173" i="2"/>
  <c r="BI187" i="2"/>
  <c r="BI115" i="2"/>
  <c r="BI66" i="2"/>
  <c r="BI118" i="2"/>
  <c r="BI55" i="2"/>
  <c r="BI104" i="2"/>
  <c r="BI127" i="2"/>
  <c r="BI14" i="2"/>
  <c r="BI111" i="2"/>
  <c r="BI153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<sst xmlns="http://schemas.openxmlformats.org/spreadsheetml/2006/main" count="1156" uniqueCount="324">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</sst>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9770368"/>
        <c:axId val="879757312"/>
      </c:scatterChart>
      <c:valAx>
        <c:axId val="879770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79757312"/>
        <c:crosses val="autoZero"/>
        <c:crossBetween val="midCat"/>
      </c:valAx>
      <c:valAx>
        <c:axId val="87975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79770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922624"/>
        <c:axId val="1068929152"/>
      </c:scatterChart>
      <c:valAx>
        <c:axId val="10689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29152"/>
        <c:crosses val="autoZero"/>
        <c:crossBetween val="midCat"/>
      </c:valAx>
      <c:valAx>
        <c:axId val="10689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90.203304019109893</c:v>
                </c:pt>
                <c:pt idx="17">
                  <c:v>106.72258095191415</c:v>
                </c:pt>
                <c:pt idx="18">
                  <c:v>123.17873298853853</c:v>
                </c:pt>
                <c:pt idx="19">
                  <c:v>139.58139928782879</c:v>
                </c:pt>
                <c:pt idx="20">
                  <c:v>155.93775882820458</c:v>
                </c:pt>
                <c:pt idx="21">
                  <c:v>103.65434792362198</c:v>
                </c:pt>
                <c:pt idx="22">
                  <c:v>133.48383262853426</c:v>
                </c:pt>
                <c:pt idx="23">
                  <c:v>163.1517196325303</c:v>
                </c:pt>
                <c:pt idx="24">
                  <c:v>192.69166645650375</c:v>
                </c:pt>
                <c:pt idx="25">
                  <c:v>222.12608711761615</c:v>
                </c:pt>
                <c:pt idx="26">
                  <c:v>234.17508597432473</c:v>
                </c:pt>
                <c:pt idx="27">
                  <c:v>246.2099384384907</c:v>
                </c:pt>
                <c:pt idx="28">
                  <c:v>258.23143377259925</c:v>
                </c:pt>
                <c:pt idx="29">
                  <c:v>270.24028170556284</c:v>
                </c:pt>
                <c:pt idx="30">
                  <c:v>282.23712370144091</c:v>
                </c:pt>
                <c:pt idx="31">
                  <c:v>207.42095417122448</c:v>
                </c:pt>
                <c:pt idx="32">
                  <c:v>237.93745819584922</c:v>
                </c:pt>
                <c:pt idx="33">
                  <c:v>268.36470618638242</c:v>
                </c:pt>
                <c:pt idx="34">
                  <c:v>298.71423892515418</c:v>
                </c:pt>
                <c:pt idx="35">
                  <c:v>328.99505767197445</c:v>
                </c:pt>
                <c:pt idx="36">
                  <c:v>336.46208765640478</c:v>
                </c:pt>
                <c:pt idx="37">
                  <c:v>343.92546889640715</c:v>
                </c:pt>
                <c:pt idx="38">
                  <c:v>351.38529181133845</c:v>
                </c:pt>
                <c:pt idx="39">
                  <c:v>358.84164266475454</c:v>
                </c:pt>
                <c:pt idx="40">
                  <c:v>366.29460383970854</c:v>
                </c:pt>
                <c:pt idx="41">
                  <c:v>287.48211750444801</c:v>
                </c:pt>
                <c:pt idx="42">
                  <c:v>313.30199011471797</c:v>
                </c:pt>
                <c:pt idx="43">
                  <c:v>339.07468141574083</c:v>
                </c:pt>
                <c:pt idx="44">
                  <c:v>364.80427894845388</c:v>
                </c:pt>
                <c:pt idx="45">
                  <c:v>390.49424676672493</c:v>
                </c:pt>
                <c:pt idx="46">
                  <c:v>395.33019874057254</c:v>
                </c:pt>
                <c:pt idx="47">
                  <c:v>400.16486874659671</c:v>
                </c:pt>
                <c:pt idx="48">
                  <c:v>404.99827447558863</c:v>
                </c:pt>
                <c:pt idx="49">
                  <c:v>409.8304331611775</c:v>
                </c:pt>
                <c:pt idx="50">
                  <c:v>414.66136159701688</c:v>
                </c:pt>
                <c:pt idx="51">
                  <c:v>362.19588987431393</c:v>
                </c:pt>
                <c:pt idx="52">
                  <c:v>382.30735640887298</c:v>
                </c:pt>
                <c:pt idx="53">
                  <c:v>402.39582743654279</c:v>
                </c:pt>
                <c:pt idx="54">
                  <c:v>422.46261177230525</c:v>
                </c:pt>
                <c:pt idx="55">
                  <c:v>442.50888381337444</c:v>
                </c:pt>
                <c:pt idx="56">
                  <c:v>446.96093391901178</c:v>
                </c:pt>
                <c:pt idx="57">
                  <c:v>451.41203469669335</c:v>
                </c:pt>
                <c:pt idx="58">
                  <c:v>455.86219683685039</c:v>
                </c:pt>
                <c:pt idx="59">
                  <c:v>460.31143080397055</c:v>
                </c:pt>
                <c:pt idx="60">
                  <c:v>464.75974684356021</c:v>
                </c:pt>
                <c:pt idx="61">
                  <c:v>431.37453295867766</c:v>
                </c:pt>
                <c:pt idx="62">
                  <c:v>444.3640207556935</c:v>
                </c:pt>
                <c:pt idx="63">
                  <c:v>457.34537744583645</c:v>
                </c:pt>
                <c:pt idx="64">
                  <c:v>470.31886632272835</c:v>
                </c:pt>
                <c:pt idx="65">
                  <c:v>483.28473497109513</c:v>
                </c:pt>
                <c:pt idx="66">
                  <c:v>486.24731674679333</c:v>
                </c:pt>
                <c:pt idx="67">
                  <c:v>489.2095153284111</c:v>
                </c:pt>
                <c:pt idx="68">
                  <c:v>492.17133336598118</c:v>
                </c:pt>
                <c:pt idx="69">
                  <c:v>495.13277347500815</c:v>
                </c:pt>
                <c:pt idx="70">
                  <c:v>498.09383823712591</c:v>
                </c:pt>
                <c:pt idx="71">
                  <c:v>469.57773166242691</c:v>
                </c:pt>
                <c:pt idx="72">
                  <c:v>479.95136909193252</c:v>
                </c:pt>
                <c:pt idx="73">
                  <c:v>490.32024154627794</c:v>
                </c:pt>
                <c:pt idx="74">
                  <c:v>500.68446400640681</c:v>
                </c:pt>
                <c:pt idx="75">
                  <c:v>511.04414630438538</c:v>
                </c:pt>
                <c:pt idx="76">
                  <c:v>499.94431424131022</c:v>
                </c:pt>
                <c:pt idx="77">
                  <c:v>505.49487464351995</c:v>
                </c:pt>
                <c:pt idx="78">
                  <c:v>511.04414630438538</c:v>
                </c:pt>
                <c:pt idx="79">
                  <c:v>516.59214520035459</c:v>
                </c:pt>
                <c:pt idx="80">
                  <c:v>522.13888693652427</c:v>
                </c:pt>
                <c:pt idx="81">
                  <c:v>5.144133920125077E-12</c:v>
                </c:pt>
                <c:pt idx="82">
                  <c:v>5.144133920125077E-12</c:v>
                </c:pt>
                <c:pt idx="83">
                  <c:v>5.144133920125077E-12</c:v>
                </c:pt>
                <c:pt idx="84">
                  <c:v>5.144133920125077E-12</c:v>
                </c:pt>
                <c:pt idx="85">
                  <c:v>5.144133920125077E-12</c:v>
                </c:pt>
                <c:pt idx="86">
                  <c:v>5.144133920125077E-12</c:v>
                </c:pt>
                <c:pt idx="87">
                  <c:v>5.144133920125077E-12</c:v>
                </c:pt>
                <c:pt idx="88">
                  <c:v>5.144133920125077E-12</c:v>
                </c:pt>
                <c:pt idx="89">
                  <c:v>5.144133920125077E-12</c:v>
                </c:pt>
                <c:pt idx="90">
                  <c:v>5.144133920125077E-12</c:v>
                </c:pt>
                <c:pt idx="91">
                  <c:v>5.144133920125077E-12</c:v>
                </c:pt>
                <c:pt idx="92">
                  <c:v>5.144133920125077E-12</c:v>
                </c:pt>
                <c:pt idx="93">
                  <c:v>5.144133920125077E-12</c:v>
                </c:pt>
                <c:pt idx="94">
                  <c:v>5.144133920125077E-12</c:v>
                </c:pt>
                <c:pt idx="95">
                  <c:v>5.144133920125077E-12</c:v>
                </c:pt>
                <c:pt idx="96">
                  <c:v>5.144133920125077E-12</c:v>
                </c:pt>
                <c:pt idx="97">
                  <c:v>5.144133920125077E-12</c:v>
                </c:pt>
                <c:pt idx="98">
                  <c:v>5.144133920125077E-12</c:v>
                </c:pt>
                <c:pt idx="99">
                  <c:v>5.144133920125077E-12</c:v>
                </c:pt>
                <c:pt idx="100">
                  <c:v>5.144133920125077E-12</c:v>
                </c:pt>
                <c:pt idx="101">
                  <c:v>5.144133920125077E-12</c:v>
                </c:pt>
                <c:pt idx="102">
                  <c:v>5.144133920125077E-12</c:v>
                </c:pt>
                <c:pt idx="103">
                  <c:v>5.144133920125077E-12</c:v>
                </c:pt>
                <c:pt idx="104">
                  <c:v>5.144133920125077E-12</c:v>
                </c:pt>
                <c:pt idx="105">
                  <c:v>5.144133920125077E-12</c:v>
                </c:pt>
                <c:pt idx="106">
                  <c:v>5.144133920125077E-12</c:v>
                </c:pt>
                <c:pt idx="107">
                  <c:v>5.144133920125077E-12</c:v>
                </c:pt>
                <c:pt idx="108">
                  <c:v>5.144133920125077E-12</c:v>
                </c:pt>
                <c:pt idx="109">
                  <c:v>5.144133920125077E-12</c:v>
                </c:pt>
                <c:pt idx="110">
                  <c:v>5.144133920125077E-12</c:v>
                </c:pt>
                <c:pt idx="111">
                  <c:v>5.144133920125077E-12</c:v>
                </c:pt>
                <c:pt idx="112">
                  <c:v>5.144133920125077E-12</c:v>
                </c:pt>
                <c:pt idx="113">
                  <c:v>5.144133920125077E-12</c:v>
                </c:pt>
                <c:pt idx="114">
                  <c:v>5.144133920125077E-12</c:v>
                </c:pt>
                <c:pt idx="115">
                  <c:v>5.144133920125077E-12</c:v>
                </c:pt>
                <c:pt idx="116">
                  <c:v>5.144133920125077E-12</c:v>
                </c:pt>
                <c:pt idx="117">
                  <c:v>5.144133920125077E-12</c:v>
                </c:pt>
                <c:pt idx="118">
                  <c:v>5.144133920125077E-12</c:v>
                </c:pt>
                <c:pt idx="119">
                  <c:v>5.144133920125077E-12</c:v>
                </c:pt>
                <c:pt idx="120">
                  <c:v>5.144133920125077E-12</c:v>
                </c:pt>
                <c:pt idx="121">
                  <c:v>5.144133920125077E-12</c:v>
                </c:pt>
                <c:pt idx="122">
                  <c:v>5.144133920125077E-12</c:v>
                </c:pt>
                <c:pt idx="123">
                  <c:v>5.144133920125077E-12</c:v>
                </c:pt>
                <c:pt idx="124">
                  <c:v>5.144133920125077E-12</c:v>
                </c:pt>
                <c:pt idx="125">
                  <c:v>5.144133920125077E-12</c:v>
                </c:pt>
                <c:pt idx="126">
                  <c:v>5.144133920125077E-12</c:v>
                </c:pt>
                <c:pt idx="127">
                  <c:v>5.144133920125077E-12</c:v>
                </c:pt>
                <c:pt idx="128">
                  <c:v>5.144133920125077E-12</c:v>
                </c:pt>
                <c:pt idx="129">
                  <c:v>5.144133920125077E-12</c:v>
                </c:pt>
                <c:pt idx="130">
                  <c:v>5.144133920125077E-12</c:v>
                </c:pt>
                <c:pt idx="131">
                  <c:v>5.144133920125077E-12</c:v>
                </c:pt>
                <c:pt idx="132">
                  <c:v>5.144133920125077E-12</c:v>
                </c:pt>
                <c:pt idx="133">
                  <c:v>5.144133920125077E-12</c:v>
                </c:pt>
                <c:pt idx="134">
                  <c:v>5.144133920125077E-12</c:v>
                </c:pt>
                <c:pt idx="135">
                  <c:v>5.144133920125077E-12</c:v>
                </c:pt>
                <c:pt idx="136">
                  <c:v>5.144133920125077E-12</c:v>
                </c:pt>
                <c:pt idx="137">
                  <c:v>5.144133920125077E-12</c:v>
                </c:pt>
                <c:pt idx="138">
                  <c:v>5.144133920125077E-12</c:v>
                </c:pt>
                <c:pt idx="139">
                  <c:v>5.144133920125077E-12</c:v>
                </c:pt>
                <c:pt idx="140">
                  <c:v>5.144133920125077E-12</c:v>
                </c:pt>
                <c:pt idx="141">
                  <c:v>5.144133920125077E-12</c:v>
                </c:pt>
                <c:pt idx="142">
                  <c:v>5.144133920125077E-12</c:v>
                </c:pt>
                <c:pt idx="143">
                  <c:v>5.144133920125077E-12</c:v>
                </c:pt>
                <c:pt idx="144">
                  <c:v>5.144133920125077E-12</c:v>
                </c:pt>
                <c:pt idx="145">
                  <c:v>5.144133920125077E-12</c:v>
                </c:pt>
                <c:pt idx="146">
                  <c:v>5.144133920125077E-12</c:v>
                </c:pt>
                <c:pt idx="147">
                  <c:v>5.144133920125077E-12</c:v>
                </c:pt>
                <c:pt idx="148">
                  <c:v>5.144133920125077E-12</c:v>
                </c:pt>
                <c:pt idx="149">
                  <c:v>5.144133920125077E-12</c:v>
                </c:pt>
                <c:pt idx="150">
                  <c:v>5.144133920125077E-12</c:v>
                </c:pt>
                <c:pt idx="151">
                  <c:v>5.144133920125077E-12</c:v>
                </c:pt>
                <c:pt idx="152">
                  <c:v>5.144133920125077E-12</c:v>
                </c:pt>
                <c:pt idx="153">
                  <c:v>5.144133920125077E-12</c:v>
                </c:pt>
                <c:pt idx="154">
                  <c:v>5.144133920125077E-12</c:v>
                </c:pt>
                <c:pt idx="155">
                  <c:v>5.144133920125077E-12</c:v>
                </c:pt>
                <c:pt idx="156">
                  <c:v>5.144133920125077E-12</c:v>
                </c:pt>
                <c:pt idx="157">
                  <c:v>5.144133920125077E-12</c:v>
                </c:pt>
                <c:pt idx="158">
                  <c:v>5.144133920125077E-12</c:v>
                </c:pt>
                <c:pt idx="159">
                  <c:v>5.144133920125077E-12</c:v>
                </c:pt>
                <c:pt idx="160">
                  <c:v>5.144133920125077E-12</c:v>
                </c:pt>
                <c:pt idx="161">
                  <c:v>5.144133920125077E-12</c:v>
                </c:pt>
                <c:pt idx="162">
                  <c:v>5.144133920125077E-12</c:v>
                </c:pt>
                <c:pt idx="163">
                  <c:v>5.144133920125077E-12</c:v>
                </c:pt>
                <c:pt idx="164">
                  <c:v>5.144133920125077E-12</c:v>
                </c:pt>
                <c:pt idx="165">
                  <c:v>5.144133920125077E-12</c:v>
                </c:pt>
                <c:pt idx="166">
                  <c:v>5.144133920125077E-12</c:v>
                </c:pt>
                <c:pt idx="167">
                  <c:v>5.144133920125077E-12</c:v>
                </c:pt>
                <c:pt idx="168">
                  <c:v>5.144133920125077E-12</c:v>
                </c:pt>
                <c:pt idx="169">
                  <c:v>5.144133920125077E-12</c:v>
                </c:pt>
                <c:pt idx="170">
                  <c:v>5.144133920125077E-12</c:v>
                </c:pt>
                <c:pt idx="171">
                  <c:v>5.144133920125077E-12</c:v>
                </c:pt>
                <c:pt idx="172">
                  <c:v>5.144133920125077E-12</c:v>
                </c:pt>
                <c:pt idx="173">
                  <c:v>5.144133920125077E-12</c:v>
                </c:pt>
                <c:pt idx="174">
                  <c:v>5.144133920125077E-12</c:v>
                </c:pt>
                <c:pt idx="175">
                  <c:v>5.144133920125077E-12</c:v>
                </c:pt>
                <c:pt idx="176">
                  <c:v>5.144133920125077E-12</c:v>
                </c:pt>
                <c:pt idx="177">
                  <c:v>5.144133920125077E-12</c:v>
                </c:pt>
                <c:pt idx="178">
                  <c:v>5.144133920125077E-12</c:v>
                </c:pt>
                <c:pt idx="179">
                  <c:v>5.144133920125077E-12</c:v>
                </c:pt>
                <c:pt idx="180">
                  <c:v>5.144133920125077E-12</c:v>
                </c:pt>
                <c:pt idx="181">
                  <c:v>5.144133920125077E-12</c:v>
                </c:pt>
                <c:pt idx="182">
                  <c:v>5.144133920125077E-12</c:v>
                </c:pt>
                <c:pt idx="183">
                  <c:v>5.144133920125077E-12</c:v>
                </c:pt>
                <c:pt idx="184">
                  <c:v>5.144133920125077E-12</c:v>
                </c:pt>
                <c:pt idx="185">
                  <c:v>5.144133920125077E-12</c:v>
                </c:pt>
                <c:pt idx="186">
                  <c:v>5.144133920125077E-12</c:v>
                </c:pt>
                <c:pt idx="187">
                  <c:v>5.144133920125077E-12</c:v>
                </c:pt>
                <c:pt idx="188">
                  <c:v>5.144133920125077E-12</c:v>
                </c:pt>
                <c:pt idx="189">
                  <c:v>5.144133920125077E-12</c:v>
                </c:pt>
                <c:pt idx="190">
                  <c:v>5.144133920125077E-12</c:v>
                </c:pt>
                <c:pt idx="191">
                  <c:v>5.144133920125077E-12</c:v>
                </c:pt>
                <c:pt idx="192">
                  <c:v>5.144133920125077E-12</c:v>
                </c:pt>
                <c:pt idx="193">
                  <c:v>5.144133920125077E-12</c:v>
                </c:pt>
                <c:pt idx="194">
                  <c:v>5.144133920125077E-12</c:v>
                </c:pt>
                <c:pt idx="195">
                  <c:v>5.144133920125077E-12</c:v>
                </c:pt>
                <c:pt idx="196">
                  <c:v>5.144133920125077E-12</c:v>
                </c:pt>
                <c:pt idx="197">
                  <c:v>5.144133920125077E-12</c:v>
                </c:pt>
                <c:pt idx="198">
                  <c:v>5.144133920125077E-12</c:v>
                </c:pt>
                <c:pt idx="199">
                  <c:v>5.144133920125077E-12</c:v>
                </c:pt>
                <c:pt idx="200">
                  <c:v>5.144133920125077E-12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9758400"/>
        <c:axId val="879759488"/>
      </c:scatterChart>
      <c:valAx>
        <c:axId val="879758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79759488"/>
        <c:crosses val="autoZero"/>
        <c:crossBetween val="midCat"/>
      </c:valAx>
      <c:valAx>
        <c:axId val="87975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79758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923168"/>
        <c:axId val="1068921536"/>
      </c:scatterChart>
      <c:valAx>
        <c:axId val="106892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21536"/>
        <c:crosses val="autoZero"/>
        <c:crossBetween val="midCat"/>
      </c:valAx>
      <c:valAx>
        <c:axId val="106892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2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933504"/>
        <c:axId val="1068935136"/>
      </c:scatterChart>
      <c:valAx>
        <c:axId val="106893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35136"/>
        <c:crosses val="autoZero"/>
        <c:crossBetween val="midCat"/>
      </c:valAx>
      <c:valAx>
        <c:axId val="106893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3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2.6743595629214885</c:v>
                </c:pt>
                <c:pt idx="2">
                  <c:v>3.2021106680742939</c:v>
                </c:pt>
                <c:pt idx="3">
                  <c:v>3.8343945313183934</c:v>
                </c:pt>
                <c:pt idx="4">
                  <c:v>4.5919886654406801</c:v>
                </c:pt>
                <c:pt idx="5">
                  <c:v>5.4998139402791582</c:v>
                </c:pt>
                <c:pt idx="6">
                  <c:v>6.5877633385272532</c:v>
                </c:pt>
                <c:pt idx="7">
                  <c:v>7.8916969432957558</c:v>
                </c:pt>
                <c:pt idx="8">
                  <c:v>9.4546365857161501</c:v>
                </c:pt>
                <c:pt idx="9">
                  <c:v>11.328200318844425</c:v>
                </c:pt>
                <c:pt idx="10">
                  <c:v>13.574324983127106</c:v>
                </c:pt>
                <c:pt idx="11">
                  <c:v>16.267334864167939</c:v>
                </c:pt>
                <c:pt idx="12">
                  <c:v>19.496426146773764</c:v>
                </c:pt>
                <c:pt idx="13">
                  <c:v>23.36865093873033</c:v>
                </c:pt>
                <c:pt idx="14">
                  <c:v>28.012501552757996</c:v>
                </c:pt>
                <c:pt idx="15">
                  <c:v>33.58221607215939</c:v>
                </c:pt>
                <c:pt idx="16">
                  <c:v>40.262950678336637</c:v>
                </c:pt>
                <c:pt idx="17">
                  <c:v>48.276993620942967</c:v>
                </c:pt>
                <c:pt idx="18">
                  <c:v>57.891231067661259</c:v>
                </c:pt>
                <c:pt idx="19">
                  <c:v>69.42611758802677</c:v>
                </c:pt>
                <c:pt idx="20">
                  <c:v>83.266455157186229</c:v>
                </c:pt>
                <c:pt idx="21">
                  <c:v>94.051260565187931</c:v>
                </c:pt>
                <c:pt idx="22">
                  <c:v>104.80519472066622</c:v>
                </c:pt>
                <c:pt idx="23">
                  <c:v>115.53187747110844</c:v>
                </c:pt>
                <c:pt idx="24">
                  <c:v>126.23419946512733</c:v>
                </c:pt>
                <c:pt idx="25">
                  <c:v>136.91451988778243</c:v>
                </c:pt>
                <c:pt idx="26">
                  <c:v>150.23693675874819</c:v>
                </c:pt>
                <c:pt idx="27">
                  <c:v>163.53118951571196</c:v>
                </c:pt>
                <c:pt idx="28">
                  <c:v>176.79989200231068</c:v>
                </c:pt>
                <c:pt idx="29">
                  <c:v>190.04523308883151</c:v>
                </c:pt>
                <c:pt idx="30">
                  <c:v>203.26907123098991</c:v>
                </c:pt>
                <c:pt idx="31">
                  <c:v>163.53118951571196</c:v>
                </c:pt>
                <c:pt idx="32">
                  <c:v>178.69346731764233</c:v>
                </c:pt>
                <c:pt idx="33">
                  <c:v>193.82559249840719</c:v>
                </c:pt>
                <c:pt idx="34">
                  <c:v>208.93025151398976</c:v>
                </c:pt>
                <c:pt idx="35">
                  <c:v>224.00971024958221</c:v>
                </c:pt>
                <c:pt idx="36">
                  <c:v>239.81813434052185</c:v>
                </c:pt>
                <c:pt idx="37">
                  <c:v>255.60283589073177</c:v>
                </c:pt>
                <c:pt idx="38">
                  <c:v>271.36548622996156</c:v>
                </c:pt>
                <c:pt idx="39">
                  <c:v>287.10754659858628</c:v>
                </c:pt>
                <c:pt idx="40">
                  <c:v>302.83030487228285</c:v>
                </c:pt>
                <c:pt idx="41">
                  <c:v>239.81813434052196</c:v>
                </c:pt>
                <c:pt idx="42">
                  <c:v>255.60283589073182</c:v>
                </c:pt>
                <c:pt idx="43">
                  <c:v>271.36548622996156</c:v>
                </c:pt>
                <c:pt idx="44">
                  <c:v>287.1075465985864</c:v>
                </c:pt>
                <c:pt idx="45">
                  <c:v>302.83030487228291</c:v>
                </c:pt>
                <c:pt idx="46">
                  <c:v>318.16118821698831</c:v>
                </c:pt>
                <c:pt idx="47">
                  <c:v>333.47571872180373</c:v>
                </c:pt>
                <c:pt idx="48">
                  <c:v>348.77475306916637</c:v>
                </c:pt>
                <c:pt idx="49">
                  <c:v>364.05906664989817</c:v>
                </c:pt>
                <c:pt idx="50">
                  <c:v>379.32936443758257</c:v>
                </c:pt>
                <c:pt idx="51">
                  <c:v>315.91868734548365</c:v>
                </c:pt>
                <c:pt idx="52">
                  <c:v>330.86216234726913</c:v>
                </c:pt>
                <c:pt idx="53">
                  <c:v>345.79075477962857</c:v>
                </c:pt>
                <c:pt idx="54">
                  <c:v>360.70519760433905</c:v>
                </c:pt>
                <c:pt idx="55">
                  <c:v>375.60615822359972</c:v>
                </c:pt>
                <c:pt idx="56">
                  <c:v>389.75013922020383</c:v>
                </c:pt>
                <c:pt idx="57">
                  <c:v>403.88298445816559</c:v>
                </c:pt>
                <c:pt idx="58">
                  <c:v>418.00513845794825</c:v>
                </c:pt>
                <c:pt idx="59">
                  <c:v>432.11701325632816</c:v>
                </c:pt>
                <c:pt idx="60">
                  <c:v>446.21899178570374</c:v>
                </c:pt>
                <c:pt idx="61">
                  <c:v>381.56290588111852</c:v>
                </c:pt>
                <c:pt idx="62">
                  <c:v>394.95824817710292</c:v>
                </c:pt>
                <c:pt idx="63">
                  <c:v>408.34374690780288</c:v>
                </c:pt>
                <c:pt idx="64">
                  <c:v>421.71977019610921</c:v>
                </c:pt>
                <c:pt idx="65">
                  <c:v>435.0866609084182</c:v>
                </c:pt>
                <c:pt idx="66">
                  <c:v>447.70284968262325</c:v>
                </c:pt>
                <c:pt idx="67">
                  <c:v>460.31143080397027</c:v>
                </c:pt>
                <c:pt idx="68">
                  <c:v>472.9126420088009</c:v>
                </c:pt>
                <c:pt idx="69">
                  <c:v>485.50670733159899</c:v>
                </c:pt>
                <c:pt idx="70">
                  <c:v>498.09383823712534</c:v>
                </c:pt>
                <c:pt idx="71">
                  <c:v>431.74577653680234</c:v>
                </c:pt>
                <c:pt idx="72">
                  <c:v>443.25095855050762</c:v>
                </c:pt>
                <c:pt idx="73">
                  <c:v>454.74974372300716</c:v>
                </c:pt>
                <c:pt idx="74">
                  <c:v>466.24231661298631</c:v>
                </c:pt>
                <c:pt idx="75">
                  <c:v>477.72885193803194</c:v>
                </c:pt>
                <c:pt idx="76">
                  <c:v>488.83926137072285</c:v>
                </c:pt>
                <c:pt idx="77">
                  <c:v>499.94431424130966</c:v>
                </c:pt>
                <c:pt idx="78">
                  <c:v>511.04414630438487</c:v>
                </c:pt>
                <c:pt idx="79">
                  <c:v>522.13888693652382</c:v>
                </c:pt>
                <c:pt idx="80">
                  <c:v>533.22865956797193</c:v>
                </c:pt>
                <c:pt idx="81">
                  <c:v>465.87168360761922</c:v>
                </c:pt>
                <c:pt idx="82">
                  <c:v>476.24705171707609</c:v>
                </c:pt>
                <c:pt idx="83">
                  <c:v>486.61761247073963</c:v>
                </c:pt>
                <c:pt idx="84">
                  <c:v>496.98348277481529</c:v>
                </c:pt>
                <c:pt idx="85">
                  <c:v>507.34477426054747</c:v>
                </c:pt>
                <c:pt idx="86">
                  <c:v>517.70159362740117</c:v>
                </c:pt>
                <c:pt idx="87">
                  <c:v>528.05404295735514</c:v>
                </c:pt>
                <c:pt idx="88">
                  <c:v>538.40222000326435</c:v>
                </c:pt>
                <c:pt idx="89">
                  <c:v>548.74621845390402</c:v>
                </c:pt>
                <c:pt idx="90">
                  <c:v>559.08612817799019</c:v>
                </c:pt>
                <c:pt idx="91">
                  <c:v>490.50535738960593</c:v>
                </c:pt>
                <c:pt idx="92">
                  <c:v>499.57423066075074</c:v>
                </c:pt>
                <c:pt idx="93">
                  <c:v>508.63961911376572</c:v>
                </c:pt>
                <c:pt idx="94">
                  <c:v>517.70159362740117</c:v>
                </c:pt>
                <c:pt idx="95">
                  <c:v>526.76022239623364</c:v>
                </c:pt>
                <c:pt idx="96">
                  <c:v>535.81557107772039</c:v>
                </c:pt>
                <c:pt idx="97">
                  <c:v>544.86770292879544</c:v>
                </c:pt>
                <c:pt idx="98">
                  <c:v>553.91667893291765</c:v>
                </c:pt>
                <c:pt idx="99">
                  <c:v>562.96255791838246</c:v>
                </c:pt>
                <c:pt idx="100">
                  <c:v>572.00539666863767</c:v>
                </c:pt>
                <c:pt idx="101">
                  <c:v>502.53473717055186</c:v>
                </c:pt>
                <c:pt idx="102">
                  <c:v>510.67423463217023</c:v>
                </c:pt>
                <c:pt idx="103">
                  <c:v>518.81099189229883</c:v>
                </c:pt>
                <c:pt idx="104">
                  <c:v>526.94505799874185</c:v>
                </c:pt>
                <c:pt idx="105">
                  <c:v>535.07648036119087</c:v>
                </c:pt>
                <c:pt idx="106">
                  <c:v>543.2053048305379</c:v>
                </c:pt>
                <c:pt idx="107">
                  <c:v>551.33157577319116</c:v>
                </c:pt>
                <c:pt idx="108">
                  <c:v>559.4553361407842</c:v>
                </c:pt>
                <c:pt idx="109">
                  <c:v>567.5766275356234</c:v>
                </c:pt>
                <c:pt idx="110">
                  <c:v>575.69549027219466</c:v>
                </c:pt>
                <c:pt idx="111">
                  <c:v>510.48927667337665</c:v>
                </c:pt>
                <c:pt idx="112">
                  <c:v>517.33178306469063</c:v>
                </c:pt>
                <c:pt idx="113">
                  <c:v>524.17238027598012</c:v>
                </c:pt>
                <c:pt idx="114">
                  <c:v>531.01109674664451</c:v>
                </c:pt>
                <c:pt idx="115">
                  <c:v>537.84796012353206</c:v>
                </c:pt>
                <c:pt idx="116">
                  <c:v>544.68299729304101</c:v>
                </c:pt>
                <c:pt idx="117">
                  <c:v>551.51623441152572</c:v>
                </c:pt>
                <c:pt idx="118">
                  <c:v>558.34769693411556</c:v>
                </c:pt>
                <c:pt idx="119">
                  <c:v>565.17740964205302</c:v>
                </c:pt>
                <c:pt idx="120">
                  <c:v>572.00539666863699</c:v>
                </c:pt>
                <c:pt idx="121">
                  <c:v>513.26349771249352</c:v>
                </c:pt>
                <c:pt idx="122">
                  <c:v>519.18078018798019</c:v>
                </c:pt>
                <c:pt idx="123">
                  <c:v>525.0966404355554</c:v>
                </c:pt>
                <c:pt idx="124">
                  <c:v>531.01109674664428</c:v>
                </c:pt>
                <c:pt idx="125">
                  <c:v>536.92416697177384</c:v>
                </c:pt>
                <c:pt idx="126">
                  <c:v>542.83586853604641</c:v>
                </c:pt>
                <c:pt idx="127">
                  <c:v>548.746218453903</c:v>
                </c:pt>
                <c:pt idx="128">
                  <c:v>554.65523334321745</c:v>
                </c:pt>
                <c:pt idx="129">
                  <c:v>560.56292943875974</c:v>
                </c:pt>
                <c:pt idx="130">
                  <c:v>566.46932260505957</c:v>
                </c:pt>
                <c:pt idx="131">
                  <c:v>514.18816760374136</c:v>
                </c:pt>
                <c:pt idx="132">
                  <c:v>519.18078018798008</c:v>
                </c:pt>
                <c:pt idx="133">
                  <c:v>524.17238027597966</c:v>
                </c:pt>
                <c:pt idx="134">
                  <c:v>529.16297887573035</c:v>
                </c:pt>
                <c:pt idx="135">
                  <c:v>534.15258677052429</c:v>
                </c:pt>
                <c:pt idx="136">
                  <c:v>539.14121452564689</c:v>
                </c:pt>
                <c:pt idx="137">
                  <c:v>544.12887249480286</c:v>
                </c:pt>
                <c:pt idx="138">
                  <c:v>549.1155708262994</c:v>
                </c:pt>
                <c:pt idx="139">
                  <c:v>554.10131946898889</c:v>
                </c:pt>
                <c:pt idx="140">
                  <c:v>559.0861281779886</c:v>
                </c:pt>
                <c:pt idx="141">
                  <c:v>513.63336988643675</c:v>
                </c:pt>
                <c:pt idx="142">
                  <c:v>518.0713986165423</c:v>
                </c:pt>
                <c:pt idx="143">
                  <c:v>522.50862539536718</c:v>
                </c:pt>
                <c:pt idx="144">
                  <c:v>526.94505799874071</c:v>
                </c:pt>
                <c:pt idx="145">
                  <c:v>531.38070406079225</c:v>
                </c:pt>
                <c:pt idx="146">
                  <c:v>535.8155710777188</c:v>
                </c:pt>
                <c:pt idx="147">
                  <c:v>540.24966641142646</c:v>
                </c:pt>
                <c:pt idx="148">
                  <c:v>544.6829972930401</c:v>
                </c:pt>
                <c:pt idx="149">
                  <c:v>549.11557082629895</c:v>
                </c:pt>
                <c:pt idx="150">
                  <c:v>553.54739399083155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928608"/>
        <c:axId val="1068928064"/>
      </c:scatterChart>
      <c:valAx>
        <c:axId val="1068928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28064"/>
        <c:crosses val="autoZero"/>
        <c:crossBetween val="midCat"/>
      </c:valAx>
      <c:valAx>
        <c:axId val="106892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28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931872"/>
        <c:axId val="1068926976"/>
      </c:scatterChart>
      <c:valAx>
        <c:axId val="1068931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26976"/>
        <c:crosses val="autoZero"/>
        <c:crossBetween val="midCat"/>
      </c:valAx>
      <c:valAx>
        <c:axId val="106892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31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925344"/>
        <c:axId val="1068927520"/>
      </c:scatterChart>
      <c:valAx>
        <c:axId val="10689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27520"/>
        <c:crosses val="autoZero"/>
        <c:crossBetween val="midCat"/>
      </c:valAx>
      <c:valAx>
        <c:axId val="106892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923712"/>
        <c:axId val="1068934048"/>
      </c:scatterChart>
      <c:valAx>
        <c:axId val="10689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34048"/>
        <c:crosses val="autoZero"/>
        <c:crossBetween val="midCat"/>
      </c:valAx>
      <c:valAx>
        <c:axId val="106893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926432"/>
        <c:axId val="1068920992"/>
      </c:scatterChart>
      <c:valAx>
        <c:axId val="10689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20992"/>
        <c:crosses val="autoZero"/>
        <c:crossBetween val="midCat"/>
      </c:valAx>
      <c:valAx>
        <c:axId val="106892099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89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abSelected="1" zoomScale="80" zoomScaleNormal="80" workbookViewId="0">
      <selection activeCell="C53" sqref="C5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130" zoomScaleNormal="130" workbookViewId="0">
      <selection activeCell="E17" sqref="E17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8.09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/>
      <c r="C9" s="35"/>
      <c r="D9" s="36">
        <f t="shared" ref="D9:D18" si="0">C9*$C$5</f>
        <v>0</v>
      </c>
      <c r="E9" s="37"/>
      <c r="F9" s="38" t="str">
        <f t="array" ref="F9">IF(E9="","",IF(INDEX(A:A,MAX(IF(ISNUMBER($A$36:$A$55),ROW($A$36:$A$55),"")))&lt;&gt;E9,"Corrigez : révolution incorrecte","OK"))</f>
        <v/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21</v>
      </c>
      <c r="C10" s="35">
        <v>0.2</v>
      </c>
      <c r="D10" s="36">
        <f t="shared" si="0"/>
        <v>1.6180000000000001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13</v>
      </c>
      <c r="C13" s="35">
        <v>0.3</v>
      </c>
      <c r="D13" s="36">
        <f t="shared" si="0"/>
        <v>2.427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12</v>
      </c>
      <c r="C14" s="35">
        <v>0.2</v>
      </c>
      <c r="D14" s="36">
        <f t="shared" si="0"/>
        <v>1.6180000000000001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14</v>
      </c>
      <c r="C15" s="35">
        <v>0.2</v>
      </c>
      <c r="D15" s="36">
        <f t="shared" si="0"/>
        <v>1.6180000000000001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1</v>
      </c>
      <c r="C16" s="35">
        <v>0.05</v>
      </c>
      <c r="D16" s="36">
        <f t="shared" si="0"/>
        <v>0.40450000000000003</v>
      </c>
      <c r="E16" s="37">
        <v>150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0.95</v>
      </c>
      <c r="D19" s="41">
        <f>SUM(D9:D18)</f>
        <v>7.6855000000000002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/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/>
      <c r="B36" s="61"/>
      <c r="C36" s="61"/>
      <c r="D36" s="61"/>
      <c r="E36" s="54"/>
      <c r="F36" s="54"/>
      <c r="G36" s="54"/>
      <c r="H36" s="54"/>
      <c r="I36" s="52" t="str">
        <f>IFERROR(B36/A36,"")</f>
        <v/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/>
      <c r="B37" s="61"/>
      <c r="C37" s="61"/>
      <c r="D37" s="61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/>
      <c r="B38" s="61"/>
      <c r="C38" s="61"/>
      <c r="D38" s="61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/>
      <c r="B39" s="61"/>
      <c r="C39" s="61"/>
      <c r="D39" s="61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1"/>
      <c r="C40" s="61"/>
      <c r="D40" s="61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1"/>
      <c r="C41" s="61"/>
      <c r="D41" s="61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1"/>
      <c r="C42" s="61"/>
      <c r="D42" s="61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1"/>
      <c r="B43" s="61"/>
      <c r="C43" s="61"/>
      <c r="D43" s="61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1"/>
      <c r="B44" s="61"/>
      <c r="C44" s="61"/>
      <c r="D44" s="61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1"/>
      <c r="B45" s="61"/>
      <c r="C45" s="61"/>
      <c r="D45" s="61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1"/>
      <c r="B46" s="61"/>
      <c r="C46" s="61"/>
      <c r="D46" s="61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1"/>
      <c r="B47" s="61"/>
      <c r="C47" s="61"/>
      <c r="D47" s="61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1"/>
      <c r="B48" s="61"/>
      <c r="C48" s="61"/>
      <c r="D48" s="61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1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Erable champêtre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1">
        <v>37</v>
      </c>
      <c r="C62" s="61"/>
      <c r="D62" s="61"/>
      <c r="E62" s="54"/>
      <c r="F62" s="54"/>
      <c r="G62" s="54"/>
      <c r="H62" s="54"/>
      <c r="I62" s="56">
        <f>IFERROR(B62/A62,"")</f>
        <v>2.4666666666666668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1">
        <v>80</v>
      </c>
      <c r="C63" s="61">
        <v>1</v>
      </c>
      <c r="D63" s="61">
        <f>15+28</f>
        <v>43</v>
      </c>
      <c r="E63" s="54"/>
      <c r="F63" s="54"/>
      <c r="G63" s="54"/>
      <c r="H63" s="54">
        <v>1</v>
      </c>
      <c r="I63" s="52">
        <f>IF(A63&lt;&gt;0,(B63-(B62-D62))/(A63-A62),"")</f>
        <v>8.6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1">
        <v>115</v>
      </c>
      <c r="C64" s="61"/>
      <c r="D64" s="61"/>
      <c r="E64" s="54"/>
      <c r="F64" s="54"/>
      <c r="G64" s="54"/>
      <c r="H64" s="54"/>
      <c r="I64" s="52">
        <f>IF(A64&lt;&gt;0,(B64-(B63-D63))/(A64-A63),"")</f>
        <v>15.6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1">
        <v>147</v>
      </c>
      <c r="C65" s="61">
        <v>2</v>
      </c>
      <c r="D65" s="61">
        <f>28+28</f>
        <v>56</v>
      </c>
      <c r="E65" s="54"/>
      <c r="F65" s="54"/>
      <c r="G65" s="54"/>
      <c r="H65" s="54">
        <v>1</v>
      </c>
      <c r="I65" s="52">
        <f>IF(A65&lt;&gt;0,(B65-(B64-D64))/(A65-A64),"")</f>
        <v>6.4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35</v>
      </c>
      <c r="B66" s="61">
        <v>172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16.2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40</v>
      </c>
      <c r="B67" s="61">
        <v>192</v>
      </c>
      <c r="C67" s="61">
        <v>3</v>
      </c>
      <c r="D67" s="61">
        <f>28+28</f>
        <v>56</v>
      </c>
      <c r="E67" s="54"/>
      <c r="F67" s="54"/>
      <c r="G67" s="54"/>
      <c r="H67" s="54"/>
      <c r="I67" s="52">
        <f t="shared" si="2"/>
        <v>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45</v>
      </c>
      <c r="B68" s="61">
        <v>205</v>
      </c>
      <c r="C68" s="61"/>
      <c r="D68" s="61"/>
      <c r="E68" s="54"/>
      <c r="F68" s="54"/>
      <c r="G68" s="54"/>
      <c r="H68" s="54"/>
      <c r="I68" s="52">
        <f t="shared" si="2"/>
        <v>13.8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50</v>
      </c>
      <c r="B69" s="53">
        <v>218</v>
      </c>
      <c r="C69" s="53">
        <v>4</v>
      </c>
      <c r="D69" s="53">
        <f>22+17</f>
        <v>39</v>
      </c>
      <c r="E69" s="54"/>
      <c r="F69" s="54"/>
      <c r="G69" s="54"/>
      <c r="H69" s="54"/>
      <c r="I69" s="52">
        <f t="shared" si="2"/>
        <v>2.6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55</v>
      </c>
      <c r="B70" s="53">
        <v>233</v>
      </c>
      <c r="C70" s="53"/>
      <c r="D70" s="53"/>
      <c r="E70" s="54"/>
      <c r="F70" s="54"/>
      <c r="G70" s="54"/>
      <c r="H70" s="54"/>
      <c r="I70" s="52">
        <f t="shared" si="2"/>
        <v>10.8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60</v>
      </c>
      <c r="B71" s="53">
        <v>245</v>
      </c>
      <c r="C71" s="53">
        <v>5</v>
      </c>
      <c r="D71" s="53">
        <f>13+12</f>
        <v>25</v>
      </c>
      <c r="E71" s="54"/>
      <c r="F71" s="54"/>
      <c r="G71" s="54"/>
      <c r="H71" s="54"/>
      <c r="I71" s="52">
        <f t="shared" si="2"/>
        <v>2.4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65</v>
      </c>
      <c r="B72" s="53">
        <v>255</v>
      </c>
      <c r="C72" s="53"/>
      <c r="D72" s="53"/>
      <c r="E72" s="54"/>
      <c r="F72" s="54"/>
      <c r="G72" s="54"/>
      <c r="H72" s="54"/>
      <c r="I72" s="52">
        <f t="shared" si="2"/>
        <v>7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70</v>
      </c>
      <c r="B73" s="53">
        <v>263</v>
      </c>
      <c r="C73" s="53">
        <v>6</v>
      </c>
      <c r="D73" s="53">
        <f>10+11</f>
        <v>21</v>
      </c>
      <c r="E73" s="54"/>
      <c r="F73" s="54"/>
      <c r="G73" s="54"/>
      <c r="H73" s="54"/>
      <c r="I73" s="52">
        <f t="shared" si="2"/>
        <v>1.6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75</v>
      </c>
      <c r="B74" s="53">
        <v>270</v>
      </c>
      <c r="C74" s="53">
        <v>7</v>
      </c>
      <c r="D74" s="53">
        <v>9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80</v>
      </c>
      <c r="B75" s="53">
        <v>276</v>
      </c>
      <c r="C75" s="53">
        <v>8</v>
      </c>
      <c r="D75" s="53">
        <f>B75</f>
        <v>276</v>
      </c>
      <c r="E75" s="54"/>
      <c r="F75" s="54"/>
      <c r="G75" s="54"/>
      <c r="H75" s="54"/>
      <c r="I75" s="52">
        <f t="shared" si="2"/>
        <v>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1"/>
      <c r="C88" s="61"/>
      <c r="D88" s="61"/>
      <c r="E88" s="54"/>
      <c r="F88" s="54"/>
      <c r="G88" s="54"/>
      <c r="H88" s="91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1"/>
      <c r="C89" s="61"/>
      <c r="D89" s="61"/>
      <c r="E89" s="54"/>
      <c r="F89" s="54"/>
      <c r="G89" s="54"/>
      <c r="H89" s="91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1"/>
      <c r="C90" s="61"/>
      <c r="D90" s="61"/>
      <c r="E90" s="91"/>
      <c r="F90" s="91"/>
      <c r="G90" s="91"/>
      <c r="H90" s="91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1"/>
      <c r="C91" s="61"/>
      <c r="D91" s="61"/>
      <c r="E91" s="91"/>
      <c r="F91" s="91"/>
      <c r="G91" s="91"/>
      <c r="H91" s="91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1"/>
      <c r="C92" s="61"/>
      <c r="D92" s="61"/>
      <c r="E92" s="91"/>
      <c r="F92" s="91"/>
      <c r="G92" s="91"/>
      <c r="H92" s="91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1"/>
      <c r="C93" s="61"/>
      <c r="D93" s="61"/>
      <c r="E93" s="91"/>
      <c r="F93" s="91"/>
      <c r="G93" s="91"/>
      <c r="H93" s="91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1"/>
      <c r="C94" s="61"/>
      <c r="D94" s="61"/>
      <c r="E94" s="91"/>
      <c r="F94" s="91"/>
      <c r="G94" s="91"/>
      <c r="H94" s="91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1"/>
      <c r="B95" s="61"/>
      <c r="C95" s="61"/>
      <c r="D95" s="61"/>
      <c r="E95" s="91"/>
      <c r="F95" s="91"/>
      <c r="G95" s="91"/>
      <c r="H95" s="91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1"/>
      <c r="B96" s="61"/>
      <c r="C96" s="61"/>
      <c r="D96" s="61"/>
      <c r="E96" s="91"/>
      <c r="F96" s="91"/>
      <c r="G96" s="91"/>
      <c r="H96" s="91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1"/>
      <c r="B97" s="61"/>
      <c r="C97" s="61"/>
      <c r="D97" s="61"/>
      <c r="E97" s="91"/>
      <c r="F97" s="91"/>
      <c r="G97" s="91"/>
      <c r="H97" s="91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1"/>
      <c r="B98" s="61"/>
      <c r="C98" s="61"/>
      <c r="D98" s="61"/>
      <c r="E98" s="91"/>
      <c r="F98" s="91"/>
      <c r="G98" s="91"/>
      <c r="H98" s="91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1"/>
      <c r="B99" s="61"/>
      <c r="C99" s="61"/>
      <c r="D99" s="61"/>
      <c r="E99" s="91"/>
      <c r="F99" s="91"/>
      <c r="G99" s="91"/>
      <c r="H99" s="91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1"/>
      <c r="B100" s="61"/>
      <c r="C100" s="61"/>
      <c r="D100" s="61"/>
      <c r="E100" s="66"/>
      <c r="F100" s="66"/>
      <c r="G100" s="66"/>
      <c r="H100" s="66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1"/>
      <c r="B101" s="61"/>
      <c r="C101" s="61"/>
      <c r="D101" s="61"/>
      <c r="E101" s="66"/>
      <c r="F101" s="66"/>
      <c r="G101" s="66"/>
      <c r="H101" s="66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1"/>
      <c r="B102" s="53"/>
      <c r="C102" s="61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1"/>
      <c r="B103" s="53"/>
      <c r="C103" s="61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1"/>
      <c r="B104" s="53"/>
      <c r="C104" s="61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1"/>
      <c r="C114" s="53"/>
      <c r="D114" s="61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1"/>
      <c r="C115" s="53"/>
      <c r="D115" s="61"/>
      <c r="E115" s="54"/>
      <c r="F115" s="54"/>
      <c r="G115" s="54"/>
      <c r="H115" s="54"/>
      <c r="I115" s="56" t="str">
        <f t="shared" ref="I115:I124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1"/>
      <c r="C116" s="53"/>
      <c r="D116" s="61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1"/>
      <c r="C117" s="53"/>
      <c r="D117" s="61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1"/>
      <c r="C118" s="53"/>
      <c r="D118" s="61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1"/>
      <c r="C119" s="53"/>
      <c r="D119" s="61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1"/>
      <c r="B120" s="61"/>
      <c r="C120" s="61"/>
      <c r="D120" s="61"/>
      <c r="E120" s="91"/>
      <c r="F120" s="91"/>
      <c r="G120" s="91"/>
      <c r="H120" s="91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1"/>
      <c r="B121" s="61"/>
      <c r="C121" s="61"/>
      <c r="D121" s="61"/>
      <c r="E121" s="91"/>
      <c r="F121" s="91"/>
      <c r="G121" s="91"/>
      <c r="H121" s="91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1"/>
      <c r="B122" s="61"/>
      <c r="C122" s="61"/>
      <c r="D122" s="61"/>
      <c r="E122" s="91"/>
      <c r="F122" s="91"/>
      <c r="G122" s="91"/>
      <c r="H122" s="91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1"/>
      <c r="B123" s="61"/>
      <c r="C123" s="61"/>
      <c r="D123" s="61"/>
      <c r="E123" s="91"/>
      <c r="F123" s="91"/>
      <c r="G123" s="91"/>
      <c r="H123" s="91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1"/>
      <c r="B124" s="61"/>
      <c r="C124" s="61"/>
      <c r="D124" s="61"/>
      <c r="E124" s="91"/>
      <c r="F124" s="91"/>
      <c r="G124" s="91"/>
      <c r="H124" s="91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1"/>
      <c r="B125" s="61"/>
      <c r="C125" s="61"/>
      <c r="D125" s="61"/>
      <c r="E125" s="91"/>
      <c r="F125" s="91"/>
      <c r="G125" s="91"/>
      <c r="H125" s="91"/>
      <c r="I125" s="56" t="str">
        <f t="shared" ref="I125:I133" si="5">IF(A125&lt;&gt;0,(B125-(B124-D124))/(A125-A124),"")</f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1"/>
      <c r="B126" s="61"/>
      <c r="C126" s="61"/>
      <c r="D126" s="61"/>
      <c r="E126" s="66"/>
      <c r="F126" s="66"/>
      <c r="G126" s="66"/>
      <c r="H126" s="66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1"/>
      <c r="B127" s="61"/>
      <c r="C127" s="61"/>
      <c r="D127" s="61"/>
      <c r="E127" s="66"/>
      <c r="F127" s="66"/>
      <c r="G127" s="66"/>
      <c r="H127" s="66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Chêne rouge d'Amérique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1">
        <v>70</v>
      </c>
      <c r="C141" s="61"/>
      <c r="D141" s="61"/>
      <c r="E141" s="54"/>
      <c r="F141" s="54"/>
      <c r="G141" s="54"/>
      <c r="H141" s="54"/>
      <c r="I141" s="59">
        <f t="shared" ref="I141:I159" si="6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1">
        <v>105</v>
      </c>
      <c r="C142" s="61">
        <v>1</v>
      </c>
      <c r="D142" s="61">
        <v>29</v>
      </c>
      <c r="E142" s="54"/>
      <c r="F142" s="54"/>
      <c r="G142" s="54"/>
      <c r="H142" s="54">
        <v>1</v>
      </c>
      <c r="I142" s="59">
        <f t="shared" si="6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1">
        <v>116</v>
      </c>
      <c r="C143" s="61"/>
      <c r="D143" s="61"/>
      <c r="E143" s="54"/>
      <c r="F143" s="54"/>
      <c r="G143" s="54"/>
      <c r="H143" s="54"/>
      <c r="I143" s="59">
        <f t="shared" si="6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1">
        <v>158</v>
      </c>
      <c r="C144" s="61">
        <v>2</v>
      </c>
      <c r="D144" s="61">
        <v>42</v>
      </c>
      <c r="E144" s="54"/>
      <c r="F144" s="54"/>
      <c r="G144" s="54"/>
      <c r="H144" s="54"/>
      <c r="I144" s="59">
        <f t="shared" si="6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1">
        <v>158</v>
      </c>
      <c r="C145" s="61"/>
      <c r="D145" s="61"/>
      <c r="E145" s="54"/>
      <c r="F145" s="54"/>
      <c r="G145" s="54"/>
      <c r="H145" s="54"/>
      <c r="I145" s="59">
        <f t="shared" si="6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1">
        <v>199</v>
      </c>
      <c r="C146" s="61">
        <v>3</v>
      </c>
      <c r="D146" s="61">
        <v>42</v>
      </c>
      <c r="E146" s="54"/>
      <c r="F146" s="54"/>
      <c r="G146" s="54"/>
      <c r="H146" s="54"/>
      <c r="I146" s="59">
        <f t="shared" si="6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53">
        <v>197</v>
      </c>
      <c r="C147" s="53"/>
      <c r="D147" s="53"/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53">
        <v>235</v>
      </c>
      <c r="C148" s="53">
        <v>4</v>
      </c>
      <c r="D148" s="53">
        <v>42</v>
      </c>
      <c r="E148" s="54"/>
      <c r="F148" s="54"/>
      <c r="G148" s="54"/>
      <c r="H148" s="54"/>
      <c r="I148" s="59">
        <f t="shared" si="6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53">
        <v>229</v>
      </c>
      <c r="C149" s="53"/>
      <c r="D149" s="53"/>
      <c r="E149" s="54"/>
      <c r="F149" s="54"/>
      <c r="G149" s="54"/>
      <c r="H149" s="54"/>
      <c r="I149" s="59">
        <f t="shared" si="6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53">
        <v>263</v>
      </c>
      <c r="C150" s="53">
        <v>5</v>
      </c>
      <c r="D150" s="53">
        <v>42</v>
      </c>
      <c r="E150" s="54"/>
      <c r="F150" s="54"/>
      <c r="G150" s="54"/>
      <c r="H150" s="54"/>
      <c r="I150" s="59">
        <f t="shared" si="6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53">
        <v>252</v>
      </c>
      <c r="C151" s="53"/>
      <c r="D151" s="53"/>
      <c r="E151" s="54"/>
      <c r="F151" s="54"/>
      <c r="G151" s="54"/>
      <c r="H151" s="54"/>
      <c r="I151" s="59">
        <f t="shared" si="6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80</v>
      </c>
      <c r="B152" s="53">
        <v>282</v>
      </c>
      <c r="C152" s="53">
        <v>6</v>
      </c>
      <c r="D152" s="53">
        <v>42</v>
      </c>
      <c r="E152" s="54"/>
      <c r="F152" s="54"/>
      <c r="G152" s="54"/>
      <c r="H152" s="54"/>
      <c r="I152" s="59">
        <f t="shared" si="6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90</v>
      </c>
      <c r="B153" s="53">
        <v>296</v>
      </c>
      <c r="C153" s="53">
        <v>7</v>
      </c>
      <c r="D153" s="53">
        <v>42</v>
      </c>
      <c r="E153" s="54"/>
      <c r="F153" s="54"/>
      <c r="G153" s="54"/>
      <c r="H153" s="54"/>
      <c r="I153" s="59">
        <f t="shared" si="6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100</v>
      </c>
      <c r="B154" s="53">
        <v>303</v>
      </c>
      <c r="C154" s="53">
        <v>8</v>
      </c>
      <c r="D154" s="53">
        <v>42</v>
      </c>
      <c r="E154" s="54"/>
      <c r="F154" s="54"/>
      <c r="G154" s="54"/>
      <c r="H154" s="54"/>
      <c r="I154" s="59">
        <f t="shared" si="6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110</v>
      </c>
      <c r="B155" s="53">
        <v>305</v>
      </c>
      <c r="C155" s="53">
        <v>9</v>
      </c>
      <c r="D155" s="53">
        <v>39</v>
      </c>
      <c r="E155" s="54"/>
      <c r="F155" s="54"/>
      <c r="G155" s="54"/>
      <c r="H155" s="54"/>
      <c r="I155" s="59">
        <f t="shared" si="6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120</v>
      </c>
      <c r="B156" s="53">
        <v>303</v>
      </c>
      <c r="C156" s="53">
        <v>10</v>
      </c>
      <c r="D156" s="53">
        <v>35</v>
      </c>
      <c r="E156" s="54"/>
      <c r="F156" s="54"/>
      <c r="G156" s="54"/>
      <c r="H156" s="54"/>
      <c r="I156" s="59">
        <f t="shared" si="6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130</v>
      </c>
      <c r="B157" s="53">
        <v>300</v>
      </c>
      <c r="C157" s="53">
        <v>11</v>
      </c>
      <c r="D157" s="53">
        <v>31</v>
      </c>
      <c r="E157" s="54"/>
      <c r="F157" s="54"/>
      <c r="G157" s="54"/>
      <c r="H157" s="54"/>
      <c r="I157" s="59">
        <f t="shared" si="6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140</v>
      </c>
      <c r="B158" s="53">
        <v>296</v>
      </c>
      <c r="C158" s="53">
        <v>12</v>
      </c>
      <c r="D158" s="53">
        <v>27</v>
      </c>
      <c r="E158" s="54"/>
      <c r="F158" s="54"/>
      <c r="G158" s="54"/>
      <c r="H158" s="54"/>
      <c r="I158" s="59">
        <f t="shared" si="6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150</v>
      </c>
      <c r="B159" s="53">
        <v>293</v>
      </c>
      <c r="C159" s="53">
        <v>13</v>
      </c>
      <c r="D159" s="53">
        <v>293</v>
      </c>
      <c r="E159" s="54"/>
      <c r="F159" s="54"/>
      <c r="G159" s="54"/>
      <c r="H159" s="54"/>
      <c r="I159" s="59">
        <f t="shared" si="6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Chêne pubescent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1">
        <v>42</v>
      </c>
      <c r="C166" s="61"/>
      <c r="D166" s="61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1">
        <v>70</v>
      </c>
      <c r="C167" s="61"/>
      <c r="D167" s="61"/>
      <c r="E167" s="54"/>
      <c r="F167" s="54"/>
      <c r="G167" s="54"/>
      <c r="H167" s="54"/>
      <c r="I167" s="52">
        <f t="shared" ref="I167:I185" si="7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1">
        <v>105</v>
      </c>
      <c r="C168" s="61">
        <v>1</v>
      </c>
      <c r="D168" s="61">
        <v>29</v>
      </c>
      <c r="E168" s="54"/>
      <c r="F168" s="54"/>
      <c r="G168" s="54"/>
      <c r="H168" s="54">
        <v>1</v>
      </c>
      <c r="I168" s="52">
        <f t="shared" si="7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1">
        <v>116</v>
      </c>
      <c r="C169" s="61"/>
      <c r="D169" s="61"/>
      <c r="E169" s="54"/>
      <c r="F169" s="54"/>
      <c r="G169" s="54"/>
      <c r="H169" s="54"/>
      <c r="I169" s="52">
        <f t="shared" si="7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1">
        <v>158</v>
      </c>
      <c r="C170" s="61">
        <v>2</v>
      </c>
      <c r="D170" s="61">
        <v>42</v>
      </c>
      <c r="E170" s="54"/>
      <c r="F170" s="54"/>
      <c r="G170" s="54"/>
      <c r="H170" s="54"/>
      <c r="I170" s="52">
        <f t="shared" si="7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1">
        <v>158</v>
      </c>
      <c r="C171" s="61"/>
      <c r="D171" s="61"/>
      <c r="E171" s="54"/>
      <c r="F171" s="54"/>
      <c r="G171" s="54"/>
      <c r="H171" s="54"/>
      <c r="I171" s="52">
        <f t="shared" si="7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1">
        <v>199</v>
      </c>
      <c r="C172" s="61">
        <v>3</v>
      </c>
      <c r="D172" s="61">
        <v>42</v>
      </c>
      <c r="E172" s="54"/>
      <c r="F172" s="54"/>
      <c r="G172" s="54"/>
      <c r="H172" s="54"/>
      <c r="I172" s="52">
        <f t="shared" si="7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53">
        <v>197</v>
      </c>
      <c r="C173" s="53"/>
      <c r="D173" s="53"/>
      <c r="E173" s="54"/>
      <c r="F173" s="54"/>
      <c r="G173" s="54"/>
      <c r="H173" s="54"/>
      <c r="I173" s="52">
        <f t="shared" si="7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53">
        <v>235</v>
      </c>
      <c r="C174" s="53">
        <v>4</v>
      </c>
      <c r="D174" s="53">
        <v>42</v>
      </c>
      <c r="E174" s="54"/>
      <c r="F174" s="54"/>
      <c r="G174" s="54"/>
      <c r="H174" s="54"/>
      <c r="I174" s="52">
        <f t="shared" si="7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53">
        <v>229</v>
      </c>
      <c r="C175" s="53"/>
      <c r="D175" s="53"/>
      <c r="E175" s="54"/>
      <c r="F175" s="54"/>
      <c r="G175" s="54"/>
      <c r="H175" s="54"/>
      <c r="I175" s="52">
        <f t="shared" si="7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53">
        <v>263</v>
      </c>
      <c r="C176" s="53">
        <v>5</v>
      </c>
      <c r="D176" s="53">
        <v>42</v>
      </c>
      <c r="E176" s="54"/>
      <c r="F176" s="54"/>
      <c r="G176" s="54"/>
      <c r="H176" s="54"/>
      <c r="I176" s="52">
        <f t="shared" si="7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53">
        <v>252</v>
      </c>
      <c r="C177" s="53"/>
      <c r="D177" s="53"/>
      <c r="E177" s="54"/>
      <c r="F177" s="54"/>
      <c r="G177" s="54"/>
      <c r="H177" s="54"/>
      <c r="I177" s="52">
        <f t="shared" si="7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80</v>
      </c>
      <c r="B178" s="53">
        <v>282</v>
      </c>
      <c r="C178" s="53">
        <v>6</v>
      </c>
      <c r="D178" s="53">
        <v>42</v>
      </c>
      <c r="E178" s="54"/>
      <c r="F178" s="54"/>
      <c r="G178" s="54"/>
      <c r="H178" s="54"/>
      <c r="I178" s="52">
        <f t="shared" si="7"/>
        <v>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90</v>
      </c>
      <c r="B179" s="53">
        <v>296</v>
      </c>
      <c r="C179" s="53">
        <v>7</v>
      </c>
      <c r="D179" s="53">
        <v>42</v>
      </c>
      <c r="E179" s="54"/>
      <c r="F179" s="54"/>
      <c r="G179" s="54"/>
      <c r="H179" s="54"/>
      <c r="I179" s="52">
        <f t="shared" si="7"/>
        <v>5.6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100</v>
      </c>
      <c r="B180" s="53">
        <v>303</v>
      </c>
      <c r="C180" s="53">
        <v>8</v>
      </c>
      <c r="D180" s="53">
        <v>42</v>
      </c>
      <c r="E180" s="54"/>
      <c r="F180" s="54"/>
      <c r="G180" s="54"/>
      <c r="H180" s="54"/>
      <c r="I180" s="52">
        <f t="shared" si="7"/>
        <v>4.9000000000000004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110</v>
      </c>
      <c r="B181" s="53">
        <v>305</v>
      </c>
      <c r="C181" s="53">
        <v>9</v>
      </c>
      <c r="D181" s="53">
        <v>39</v>
      </c>
      <c r="E181" s="54"/>
      <c r="F181" s="54"/>
      <c r="G181" s="54"/>
      <c r="H181" s="54"/>
      <c r="I181" s="52">
        <f t="shared" si="7"/>
        <v>4.4000000000000004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120</v>
      </c>
      <c r="B182" s="53">
        <v>303</v>
      </c>
      <c r="C182" s="53">
        <v>10</v>
      </c>
      <c r="D182" s="53">
        <v>35</v>
      </c>
      <c r="E182" s="54"/>
      <c r="F182" s="54"/>
      <c r="G182" s="54"/>
      <c r="H182" s="54"/>
      <c r="I182" s="52">
        <f t="shared" si="7"/>
        <v>3.7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130</v>
      </c>
      <c r="B183" s="53">
        <v>300</v>
      </c>
      <c r="C183" s="53">
        <v>11</v>
      </c>
      <c r="D183" s="53">
        <v>31</v>
      </c>
      <c r="E183" s="54"/>
      <c r="F183" s="54"/>
      <c r="G183" s="54"/>
      <c r="H183" s="54"/>
      <c r="I183" s="52">
        <f t="shared" si="7"/>
        <v>3.2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140</v>
      </c>
      <c r="B184" s="53">
        <v>296</v>
      </c>
      <c r="C184" s="53">
        <v>12</v>
      </c>
      <c r="D184" s="53">
        <v>27</v>
      </c>
      <c r="E184" s="54"/>
      <c r="F184" s="54"/>
      <c r="G184" s="54"/>
      <c r="H184" s="54"/>
      <c r="I184" s="52">
        <f t="shared" si="7"/>
        <v>2.7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150</v>
      </c>
      <c r="B185" s="53">
        <v>293</v>
      </c>
      <c r="C185" s="53">
        <v>13</v>
      </c>
      <c r="D185" s="53">
        <v>293</v>
      </c>
      <c r="E185" s="54"/>
      <c r="F185" s="54"/>
      <c r="G185" s="54"/>
      <c r="H185" s="54"/>
      <c r="I185" s="52">
        <f t="shared" si="7"/>
        <v>2.4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Chêne sessile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20</v>
      </c>
      <c r="B192" s="61">
        <v>42</v>
      </c>
      <c r="C192" s="61"/>
      <c r="D192" s="61"/>
      <c r="E192" s="54"/>
      <c r="F192" s="54"/>
      <c r="G192" s="54"/>
      <c r="H192" s="54"/>
      <c r="I192" s="52">
        <f>IFERROR(B192/A192,"")</f>
        <v>2.1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61">
        <v>70</v>
      </c>
      <c r="C193" s="61"/>
      <c r="D193" s="61"/>
      <c r="E193" s="54"/>
      <c r="F193" s="54"/>
      <c r="G193" s="54"/>
      <c r="H193" s="54"/>
      <c r="I193" s="52">
        <f t="shared" ref="I193:I211" si="8">IF(A193&lt;&gt;0,(B193-(B192-D192))/(A193-A192),"")</f>
        <v>5.6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30</v>
      </c>
      <c r="B194" s="61">
        <v>105</v>
      </c>
      <c r="C194" s="61">
        <v>1</v>
      </c>
      <c r="D194" s="61">
        <v>29</v>
      </c>
      <c r="E194" s="54"/>
      <c r="F194" s="54"/>
      <c r="G194" s="54"/>
      <c r="H194" s="54">
        <v>1</v>
      </c>
      <c r="I194" s="52">
        <f t="shared" si="8"/>
        <v>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61">
        <v>116</v>
      </c>
      <c r="C195" s="61"/>
      <c r="D195" s="61"/>
      <c r="E195" s="54"/>
      <c r="F195" s="54"/>
      <c r="G195" s="54"/>
      <c r="H195" s="54"/>
      <c r="I195" s="52">
        <f t="shared" si="8"/>
        <v>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61">
        <v>158</v>
      </c>
      <c r="C196" s="61">
        <v>2</v>
      </c>
      <c r="D196" s="61">
        <v>42</v>
      </c>
      <c r="E196" s="54"/>
      <c r="F196" s="54"/>
      <c r="G196" s="54"/>
      <c r="H196" s="54"/>
      <c r="I196" s="52">
        <f t="shared" si="8"/>
        <v>8.4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45</v>
      </c>
      <c r="B197" s="61">
        <v>158</v>
      </c>
      <c r="C197" s="61"/>
      <c r="D197" s="61"/>
      <c r="E197" s="54"/>
      <c r="F197" s="54"/>
      <c r="G197" s="54"/>
      <c r="H197" s="54"/>
      <c r="I197" s="52">
        <f t="shared" si="8"/>
        <v>8.4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50</v>
      </c>
      <c r="B198" s="61">
        <v>199</v>
      </c>
      <c r="C198" s="61">
        <v>3</v>
      </c>
      <c r="D198" s="61">
        <v>42</v>
      </c>
      <c r="E198" s="54"/>
      <c r="F198" s="54"/>
      <c r="G198" s="54"/>
      <c r="H198" s="54"/>
      <c r="I198" s="52">
        <f t="shared" si="8"/>
        <v>8.1999999999999993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55</v>
      </c>
      <c r="B199" s="53">
        <v>197</v>
      </c>
      <c r="C199" s="53"/>
      <c r="D199" s="53"/>
      <c r="E199" s="54"/>
      <c r="F199" s="54"/>
      <c r="G199" s="54"/>
      <c r="H199" s="54"/>
      <c r="I199" s="52">
        <f t="shared" si="8"/>
        <v>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60</v>
      </c>
      <c r="B200" s="53">
        <v>235</v>
      </c>
      <c r="C200" s="53">
        <v>4</v>
      </c>
      <c r="D200" s="53">
        <v>42</v>
      </c>
      <c r="E200" s="54"/>
      <c r="F200" s="54"/>
      <c r="G200" s="54"/>
      <c r="H200" s="54"/>
      <c r="I200" s="52">
        <f t="shared" si="8"/>
        <v>7.6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65</v>
      </c>
      <c r="B201" s="53">
        <v>229</v>
      </c>
      <c r="C201" s="53"/>
      <c r="D201" s="53"/>
      <c r="E201" s="54"/>
      <c r="F201" s="54"/>
      <c r="G201" s="54"/>
      <c r="H201" s="54"/>
      <c r="I201" s="52">
        <f t="shared" si="8"/>
        <v>7.2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70</v>
      </c>
      <c r="B202" s="53">
        <v>263</v>
      </c>
      <c r="C202" s="53">
        <v>5</v>
      </c>
      <c r="D202" s="53">
        <v>42</v>
      </c>
      <c r="E202" s="54"/>
      <c r="F202" s="54"/>
      <c r="G202" s="54"/>
      <c r="H202" s="54"/>
      <c r="I202" s="52">
        <f t="shared" si="8"/>
        <v>6.8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75</v>
      </c>
      <c r="B203" s="53">
        <v>252</v>
      </c>
      <c r="C203" s="53"/>
      <c r="D203" s="53"/>
      <c r="E203" s="54"/>
      <c r="F203" s="54"/>
      <c r="G203" s="54"/>
      <c r="H203" s="54"/>
      <c r="I203" s="52">
        <f t="shared" si="8"/>
        <v>6.2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80</v>
      </c>
      <c r="B204" s="53">
        <v>282</v>
      </c>
      <c r="C204" s="53">
        <v>6</v>
      </c>
      <c r="D204" s="53">
        <v>42</v>
      </c>
      <c r="E204" s="54"/>
      <c r="F204" s="54"/>
      <c r="G204" s="54"/>
      <c r="H204" s="54"/>
      <c r="I204" s="52">
        <f t="shared" si="8"/>
        <v>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90</v>
      </c>
      <c r="B205" s="53">
        <v>296</v>
      </c>
      <c r="C205" s="53">
        <v>7</v>
      </c>
      <c r="D205" s="53">
        <v>42</v>
      </c>
      <c r="E205" s="54"/>
      <c r="F205" s="54"/>
      <c r="G205" s="54"/>
      <c r="H205" s="54"/>
      <c r="I205" s="52">
        <f t="shared" si="8"/>
        <v>5.6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100</v>
      </c>
      <c r="B206" s="53">
        <v>303</v>
      </c>
      <c r="C206" s="53">
        <v>8</v>
      </c>
      <c r="D206" s="53">
        <v>42</v>
      </c>
      <c r="E206" s="54"/>
      <c r="F206" s="54"/>
      <c r="G206" s="54"/>
      <c r="H206" s="54"/>
      <c r="I206" s="52">
        <f t="shared" si="8"/>
        <v>4.9000000000000004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110</v>
      </c>
      <c r="B207" s="53">
        <v>305</v>
      </c>
      <c r="C207" s="53">
        <v>9</v>
      </c>
      <c r="D207" s="53">
        <v>39</v>
      </c>
      <c r="E207" s="54"/>
      <c r="F207" s="54"/>
      <c r="G207" s="54"/>
      <c r="H207" s="54"/>
      <c r="I207" s="52">
        <f t="shared" si="8"/>
        <v>4.4000000000000004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120</v>
      </c>
      <c r="B208" s="53">
        <v>303</v>
      </c>
      <c r="C208" s="53">
        <v>10</v>
      </c>
      <c r="D208" s="53">
        <v>35</v>
      </c>
      <c r="E208" s="54"/>
      <c r="F208" s="54"/>
      <c r="G208" s="54"/>
      <c r="H208" s="54"/>
      <c r="I208" s="52">
        <f t="shared" si="8"/>
        <v>3.7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130</v>
      </c>
      <c r="B209" s="53">
        <v>300</v>
      </c>
      <c r="C209" s="53">
        <v>11</v>
      </c>
      <c r="D209" s="53">
        <v>31</v>
      </c>
      <c r="E209" s="54"/>
      <c r="F209" s="54"/>
      <c r="G209" s="54"/>
      <c r="H209" s="54"/>
      <c r="I209" s="52">
        <f t="shared" si="8"/>
        <v>3.2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>
        <v>140</v>
      </c>
      <c r="B210" s="53">
        <v>296</v>
      </c>
      <c r="C210" s="53">
        <v>12</v>
      </c>
      <c r="D210" s="53">
        <v>27</v>
      </c>
      <c r="E210" s="54"/>
      <c r="F210" s="54"/>
      <c r="G210" s="54"/>
      <c r="H210" s="54"/>
      <c r="I210" s="52">
        <f t="shared" si="8"/>
        <v>2.7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>
        <v>150</v>
      </c>
      <c r="B211" s="53">
        <v>293</v>
      </c>
      <c r="C211" s="53">
        <v>13</v>
      </c>
      <c r="D211" s="53">
        <v>293</v>
      </c>
      <c r="E211" s="54"/>
      <c r="F211" s="54"/>
      <c r="G211" s="54"/>
      <c r="H211" s="54"/>
      <c r="I211" s="52">
        <f t="shared" si="8"/>
        <v>2.4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Alisier torminal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20</v>
      </c>
      <c r="B218" s="61">
        <v>42</v>
      </c>
      <c r="C218" s="61"/>
      <c r="D218" s="61"/>
      <c r="E218" s="54"/>
      <c r="F218" s="54"/>
      <c r="G218" s="54"/>
      <c r="H218" s="54"/>
      <c r="I218" s="56">
        <f>IFERROR(B218/A218,"")</f>
        <v>2.1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25</v>
      </c>
      <c r="B219" s="61">
        <v>70</v>
      </c>
      <c r="C219" s="61"/>
      <c r="D219" s="61"/>
      <c r="E219" s="54"/>
      <c r="F219" s="54"/>
      <c r="G219" s="54"/>
      <c r="H219" s="54"/>
      <c r="I219" s="56">
        <f t="shared" ref="I219:I237" si="9">IF(A219&lt;&gt;0,(B219-(B218-D218))/(A219-A218),"")</f>
        <v>5.6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30</v>
      </c>
      <c r="B220" s="61">
        <v>105</v>
      </c>
      <c r="C220" s="61">
        <v>1</v>
      </c>
      <c r="D220" s="61">
        <v>29</v>
      </c>
      <c r="E220" s="54"/>
      <c r="F220" s="54"/>
      <c r="G220" s="54"/>
      <c r="H220" s="54">
        <v>1</v>
      </c>
      <c r="I220" s="56">
        <f t="shared" si="9"/>
        <v>7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35</v>
      </c>
      <c r="B221" s="61">
        <v>116</v>
      </c>
      <c r="C221" s="61"/>
      <c r="D221" s="61"/>
      <c r="E221" s="54"/>
      <c r="F221" s="54"/>
      <c r="G221" s="54"/>
      <c r="H221" s="54"/>
      <c r="I221" s="56">
        <f t="shared" si="9"/>
        <v>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40</v>
      </c>
      <c r="B222" s="61">
        <v>158</v>
      </c>
      <c r="C222" s="61">
        <v>2</v>
      </c>
      <c r="D222" s="61">
        <v>42</v>
      </c>
      <c r="E222" s="54"/>
      <c r="F222" s="54"/>
      <c r="G222" s="54"/>
      <c r="H222" s="54"/>
      <c r="I222" s="56">
        <f t="shared" si="9"/>
        <v>8.4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45</v>
      </c>
      <c r="B223" s="61">
        <v>158</v>
      </c>
      <c r="C223" s="61"/>
      <c r="D223" s="61"/>
      <c r="E223" s="54"/>
      <c r="F223" s="54"/>
      <c r="G223" s="54"/>
      <c r="H223" s="54"/>
      <c r="I223" s="56">
        <f t="shared" si="9"/>
        <v>8.4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50</v>
      </c>
      <c r="B224" s="61">
        <v>199</v>
      </c>
      <c r="C224" s="61">
        <v>3</v>
      </c>
      <c r="D224" s="61">
        <v>42</v>
      </c>
      <c r="E224" s="54"/>
      <c r="F224" s="54"/>
      <c r="G224" s="54"/>
      <c r="H224" s="54"/>
      <c r="I224" s="56">
        <f t="shared" si="9"/>
        <v>8.1999999999999993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>
        <v>55</v>
      </c>
      <c r="B225" s="53">
        <v>197</v>
      </c>
      <c r="C225" s="53"/>
      <c r="D225" s="53"/>
      <c r="E225" s="54"/>
      <c r="F225" s="54"/>
      <c r="G225" s="54"/>
      <c r="H225" s="54"/>
      <c r="I225" s="56">
        <f t="shared" si="9"/>
        <v>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3">
        <v>60</v>
      </c>
      <c r="B226" s="53">
        <v>235</v>
      </c>
      <c r="C226" s="53">
        <v>4</v>
      </c>
      <c r="D226" s="53">
        <v>42</v>
      </c>
      <c r="E226" s="54"/>
      <c r="F226" s="54"/>
      <c r="G226" s="54"/>
      <c r="H226" s="54"/>
      <c r="I226" s="56">
        <f t="shared" si="9"/>
        <v>7.6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3">
        <v>65</v>
      </c>
      <c r="B227" s="53">
        <v>229</v>
      </c>
      <c r="C227" s="53"/>
      <c r="D227" s="53"/>
      <c r="E227" s="54"/>
      <c r="F227" s="54"/>
      <c r="G227" s="54"/>
      <c r="H227" s="54"/>
      <c r="I227" s="56">
        <f t="shared" si="9"/>
        <v>7.2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3">
        <v>70</v>
      </c>
      <c r="B228" s="53">
        <v>263</v>
      </c>
      <c r="C228" s="53">
        <v>5</v>
      </c>
      <c r="D228" s="53">
        <v>42</v>
      </c>
      <c r="E228" s="54"/>
      <c r="F228" s="54"/>
      <c r="G228" s="54"/>
      <c r="H228" s="54"/>
      <c r="I228" s="56">
        <f t="shared" si="9"/>
        <v>6.8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3">
        <v>75</v>
      </c>
      <c r="B229" s="53">
        <v>252</v>
      </c>
      <c r="C229" s="53"/>
      <c r="D229" s="53"/>
      <c r="E229" s="54"/>
      <c r="F229" s="54"/>
      <c r="G229" s="54"/>
      <c r="H229" s="54"/>
      <c r="I229" s="56">
        <f t="shared" si="9"/>
        <v>6.2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3">
        <v>80</v>
      </c>
      <c r="B230" s="53">
        <v>282</v>
      </c>
      <c r="C230" s="53">
        <v>6</v>
      </c>
      <c r="D230" s="53">
        <v>42</v>
      </c>
      <c r="E230" s="54"/>
      <c r="F230" s="54"/>
      <c r="G230" s="54"/>
      <c r="H230" s="54"/>
      <c r="I230" s="56">
        <f t="shared" si="9"/>
        <v>6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3">
        <v>90</v>
      </c>
      <c r="B231" s="53">
        <v>296</v>
      </c>
      <c r="C231" s="53">
        <v>7</v>
      </c>
      <c r="D231" s="53">
        <v>42</v>
      </c>
      <c r="E231" s="54"/>
      <c r="F231" s="54"/>
      <c r="G231" s="54"/>
      <c r="H231" s="54"/>
      <c r="I231" s="56">
        <f t="shared" si="9"/>
        <v>5.6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>
        <v>100</v>
      </c>
      <c r="B232" s="53">
        <v>303</v>
      </c>
      <c r="C232" s="53">
        <v>8</v>
      </c>
      <c r="D232" s="53">
        <v>42</v>
      </c>
      <c r="E232" s="54"/>
      <c r="F232" s="54"/>
      <c r="G232" s="54"/>
      <c r="H232" s="54"/>
      <c r="I232" s="56">
        <f t="shared" si="9"/>
        <v>4.9000000000000004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>
        <v>110</v>
      </c>
      <c r="B233" s="53">
        <v>305</v>
      </c>
      <c r="C233" s="53">
        <v>9</v>
      </c>
      <c r="D233" s="53">
        <v>39</v>
      </c>
      <c r="E233" s="54"/>
      <c r="F233" s="54"/>
      <c r="G233" s="54"/>
      <c r="H233" s="54"/>
      <c r="I233" s="56">
        <f t="shared" si="9"/>
        <v>4.4000000000000004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>
        <v>120</v>
      </c>
      <c r="B234" s="53">
        <v>303</v>
      </c>
      <c r="C234" s="53">
        <v>10</v>
      </c>
      <c r="D234" s="53">
        <v>35</v>
      </c>
      <c r="E234" s="54"/>
      <c r="F234" s="54"/>
      <c r="G234" s="54"/>
      <c r="H234" s="54"/>
      <c r="I234" s="56">
        <f t="shared" si="9"/>
        <v>3.7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>
        <v>130</v>
      </c>
      <c r="B235" s="53">
        <v>300</v>
      </c>
      <c r="C235" s="53">
        <v>11</v>
      </c>
      <c r="D235" s="53">
        <v>31</v>
      </c>
      <c r="E235" s="54"/>
      <c r="F235" s="54"/>
      <c r="G235" s="54"/>
      <c r="H235" s="54"/>
      <c r="I235" s="56">
        <f t="shared" si="9"/>
        <v>3.2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>
        <v>140</v>
      </c>
      <c r="B236" s="53">
        <v>296</v>
      </c>
      <c r="C236" s="53">
        <v>12</v>
      </c>
      <c r="D236" s="53">
        <v>27</v>
      </c>
      <c r="E236" s="54"/>
      <c r="F236" s="54"/>
      <c r="G236" s="54"/>
      <c r="H236" s="54"/>
      <c r="I236" s="56">
        <f t="shared" si="9"/>
        <v>2.7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>
        <v>150</v>
      </c>
      <c r="B237" s="53">
        <v>293</v>
      </c>
      <c r="C237" s="53">
        <v>13</v>
      </c>
      <c r="D237" s="53">
        <v>293</v>
      </c>
      <c r="E237" s="54"/>
      <c r="F237" s="54"/>
      <c r="G237" s="54"/>
      <c r="H237" s="54"/>
      <c r="I237" s="56">
        <f t="shared" si="9"/>
        <v>2.4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1"/>
      <c r="C257" s="92"/>
      <c r="D257" s="61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1" sqref="B1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/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Erable champêtre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/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/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Chêne rouge d'Amérique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Chêne pubescent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Chêne sessile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>Alisier torminal</v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 t="e">
        <f>N3*VLOOKUP('Données projet'!$B$9,Paramètres!$A$1:$I$89,3,0)*VLOOKUP('Données projet'!$B$9,Paramètres!$A$1:$I$89,5,0)</f>
        <v>#N/A</v>
      </c>
      <c r="P3" s="13">
        <v>0</v>
      </c>
      <c r="Q3" s="15" t="e">
        <f>(O3+P3)*0.475*44/12</f>
        <v>#N/A</v>
      </c>
      <c r="R3" s="60" t="e">
        <f t="shared" ref="R3:R66" si="0">Q3+(I3+J3)*44/12</f>
        <v>#N/A</v>
      </c>
      <c r="S3" s="60" t="e">
        <f ca="1">AVERAGE(OFFSET($R$3,0,0,'Données projet'!$E$9+1,1))-AVERAGE(OFFSET($H$3,0,0,'Données projet'!$E$9+1,1))</f>
        <v>#N/A</v>
      </c>
      <c r="T3" s="60" t="e">
        <f>IF('Données projet'!E9&gt;30,$R$33-$H$33,LOOKUP('Données projet'!$E$9,$A$3:$A$203,R3:R203)-LOOKUP('Données projet'!$E$9,$A$3:$A$203,$H$3:$H$203))</f>
        <v>#N/A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325.06345339097095</v>
      </c>
      <c r="AO3" s="60">
        <f>IF('Données projet'!E10&gt;30,$AM$33-$H$33,LOOKUP('Données projet'!$E$10,$A$3:$A$203,AM3:AM203)-LOOKUP('Données projet'!$E$10,$A$3:$A$203,$H$3:$H$203))</f>
        <v>318.90379036810754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0" t="e">
        <f>BG3+(AY3+AZ3)*44/12</f>
        <v>#N/A</v>
      </c>
      <c r="BI3" s="60" t="e">
        <f ca="1">AVERAGE(OFFSET($BH$3,0,0,'Données projet'!$E$11+1,1))-AVERAGE(OFFSET($H$3,0,0,'Données projet'!$E$11+1,1))</f>
        <v>#N/A</v>
      </c>
      <c r="BJ3" s="60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0" t="e">
        <f>CB3+(BT3+BU3)*44/12</f>
        <v>#N/A</v>
      </c>
      <c r="CD3" s="60" t="e">
        <f ca="1">AVERAGE(OFFSET($CC$3,0,0,'Données projet'!$E$12+1,1))-AVERAGE(OFFSET($H$3,0,0,'Données projet'!$E$12+1,1))</f>
        <v>#N/A</v>
      </c>
      <c r="CE3" s="60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415.50509041799154</v>
      </c>
      <c r="CZ3" s="60">
        <f>IF('Données projet'!E13&gt;30,$CX$33-$H$33,LOOKUP('Données projet'!$E$13,$A$3:$A$203,CX3:CX203)-LOOKUP('Données projet'!$E$13,$A$3:$A$203,$H$3:$H$203))</f>
        <v>239.93573789765657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475.47920969424894</v>
      </c>
      <c r="DU3" s="60">
        <f>IF('Données projet'!E14&gt;30,$DS$33-$H$33,LOOKUP('Données projet'!$E$14,$A$3:$A$203,DS3:DS203)-LOOKUP('Données projet'!$E$14,$A$3:$A$203,$H$3:$H$203))</f>
        <v>271.73544012419364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428.8489304403459</v>
      </c>
      <c r="EP3" s="60">
        <f>IF('Données projet'!E15&gt;30,$EN$33-$H$33,LOOKUP('Données projet'!$E$15,$A$3:$A$203,EN3:EN203)-LOOKUP('Données projet'!$E$15,$A$3:$A$203,$H$3:$H$203))</f>
        <v>247.01165577562966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256.66666666666669</v>
      </c>
      <c r="FJ3" s="60">
        <f ca="1">AVERAGE(OFFSET($FI$3,0,0,'Données projet'!$E$16+1,1))-AVERAGE(OFFSET($H$3,0,0,'Données projet'!$E$16+1,1))</f>
        <v>455.50822833641354</v>
      </c>
      <c r="FK3" s="60">
        <f>IF('Données projet'!E16&gt;30,$FI$33-$H$33,LOOKUP('Données projet'!$E$16,$A$3:$A$203,FI3:FI203)-LOOKUP('Données projet'!$E$16,$A$3:$A$203,$H$3:$H$203))</f>
        <v>261.14722581688039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</v>
      </c>
      <c r="N4" s="14">
        <f>IF('Données projet'!$A$36&gt;35,N3+M4-V3,IF(A4&lt;'Données projet'!$A$36,$K$205^A4,IF(A4='Données projet'!$A$36,'Données projet'!$B$36,N3+M4-V3)))</f>
        <v>0</v>
      </c>
      <c r="O4" s="14" t="e">
        <f>N4*VLOOKUP('Données projet'!$B$9,Paramètres!$A$1:$I$89,3,0)*VLOOKUP('Données projet'!$B$9,Paramètres!$A$1:$I$89,5,0)</f>
        <v>#N/A</v>
      </c>
      <c r="P4" s="14" t="e">
        <f>EXP(-1.0587+0.8836*LN(O4)+0.284)</f>
        <v>#N/A</v>
      </c>
      <c r="Q4" s="22" t="e">
        <f t="shared" ref="Q4:Q34" si="2">(O4+P4)*0.475*44/12</f>
        <v>#N/A</v>
      </c>
      <c r="R4" s="60" t="e">
        <f t="shared" si="0"/>
        <v>#N/A</v>
      </c>
      <c r="S4" s="60" t="e">
        <f ca="1">AVERAGE(OFFSET($R$3,0,0,'Données projet'!$E$9+1,1))-AVERAGE(OFFSET($H$3,0,0,'Données projet'!$E$9+1,1))</f>
        <v>#N/A</v>
      </c>
      <c r="T4" s="60" t="e">
        <f>$T$3</f>
        <v>#N/A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 t="e">
        <f>EXP(-LN(2)/35)*Z3+(1-EXP(-LN(2)/35))/(LN(2)/35)*V4*W4*VLOOKUP('Données projet'!$B$9,Paramètres!$A$1:$I$89,3,0)*0.475*44/12</f>
        <v>#N/A</v>
      </c>
      <c r="AA4" s="23" t="e">
        <f>EXP(-LN(2)/25)*AA3+(1-EXP(-LN(2)/25))/(LN(2)/25)*Calculateur!V4*Calculateur!X4*VLOOKUP('Données projet'!$B$9,Paramètres!$A$1:$I$89,3,0)*0.475*44/12</f>
        <v>#N/A</v>
      </c>
      <c r="AB4" s="23" t="e">
        <f>EXP(-LN(2)/2)*AB3+(1-EXP(-LN(2)/2))/(LN(2)/2)*V4*Y4*VLOOKUP('Données projet'!$B$9,Paramètres!$A$1:$I$89,3,0)*0.475*44/12</f>
        <v>#N/A</v>
      </c>
      <c r="AC4" s="24" t="e">
        <f t="shared" ref="AC4:AC67" si="3">SUM(Z4:AB4)</f>
        <v>#N/A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2.4666666666666668</v>
      </c>
      <c r="AI4" s="14">
        <f>IF('Données projet'!$A$62&gt;35,AI3+AH4-AQ3,IF(A4&lt;'Données projet'!$A$62,$AF$205^A4,IF(A4='Données projet'!$A$62,'Données projet'!$B$62,AI3+AH4-AQ3)))</f>
        <v>1.2721747796233518</v>
      </c>
      <c r="AJ4" s="14">
        <f>AI4*VLOOKUP('Données projet'!$B$10,Paramètres!$A$1:$I$89,3,0)*VLOOKUP('Données projet'!$B$10,Paramètres!$A$1:$I$89,5,0)</f>
        <v>1.1113718874789602</v>
      </c>
      <c r="AK4" s="14">
        <f>EXP(-1.0587+0.8836*LN(AJ4)+0.284)</f>
        <v>0.5059102014681881</v>
      </c>
      <c r="AL4" s="22">
        <f t="shared" ref="AL4:AL67" si="4">(AJ4+AK4)*0.475*44/12</f>
        <v>2.8167663049162832</v>
      </c>
      <c r="AM4" s="60">
        <f t="shared" ref="AM4:AM67" si="5">AL4+(AD4+AE4)*44/12</f>
        <v>260.70565519380511</v>
      </c>
      <c r="AN4" s="60">
        <f ca="1">AVERAGE(OFFSET($AM$3,0,0,'Données projet'!$E$10+1,1))-AVERAGE(OFFSET($H$3,0,0,'Données projet'!$E$10+1,1))</f>
        <v>325.06345339097095</v>
      </c>
      <c r="AO4" s="60">
        <f>$AO$3</f>
        <v>318.90379036810754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0" t="e">
        <f t="shared" ref="BH4:BH67" si="8">BG4+(AY4+AZ4)*44/12</f>
        <v>#N/A</v>
      </c>
      <c r="BI4" s="60" t="e">
        <f ca="1">AVERAGE(OFFSET($BH$3,0,0,'Données projet'!$E$11+1,1))-AVERAGE(OFFSET($H$3,0,0,'Données projet'!$E$11+1,1))</f>
        <v>#N/A</v>
      </c>
      <c r="BJ4" s="60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0" t="e">
        <f t="shared" ref="CC4:CC67" si="11">CB4+(BT4+BU4)*44/12</f>
        <v>#N/A</v>
      </c>
      <c r="CD4" s="60" t="e">
        <f ca="1">AVERAGE(OFFSET($CC$3,0,0,'Données projet'!$E$12+1,1))-AVERAGE(OFFSET($H$3,0,0,'Données projet'!$E$12+1,1))</f>
        <v>#N/A</v>
      </c>
      <c r="CE4" s="60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1.0531132812736255</v>
      </c>
      <c r="CV4" s="14">
        <f>EXP(-1.0587+0.8836*LN(CU4)+0.284)</f>
        <v>0.48240417112148792</v>
      </c>
      <c r="CW4" s="22">
        <f t="shared" ref="CW4:CW67" si="13">(CU4+CV4)*0.475*44/12</f>
        <v>2.6743595629214885</v>
      </c>
      <c r="CX4" s="60">
        <f t="shared" ref="CX4:CX67" si="14">CW4+(CO4+CP4)*44/12</f>
        <v>260.56324845181035</v>
      </c>
      <c r="CY4" s="60">
        <f ca="1">AVERAGE(OFFSET($CX$3,0,0,'Données projet'!$E$13+1,1))-AVERAGE(OFFSET($H$3,0,0,'Données projet'!$E$13+1,1))</f>
        <v>415.50509041799154</v>
      </c>
      <c r="CZ4" s="60">
        <f>$CZ$3</f>
        <v>239.93573789765657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1.2223636300497438</v>
      </c>
      <c r="DQ4" s="14">
        <f>EXP(-1.0587+0.8836*LN(DP4)+0.284)</f>
        <v>0.55030360208821416</v>
      </c>
      <c r="DR4" s="22">
        <f t="shared" ref="DR4:DR67" si="16">(DP4+DQ4)*0.475*44/12</f>
        <v>3.0873954293069432</v>
      </c>
      <c r="DS4" s="60">
        <f t="shared" ref="DS4:DS67" si="17">DR4+(DJ4+DK4)*44/12</f>
        <v>260.97628431819578</v>
      </c>
      <c r="DT4" s="60">
        <f ca="1">AVERAGE(OFFSET($DS$3,0,0,'Données projet'!$E$14+1,1))-AVERAGE(OFFSET($H$3,0,0,'Données projet'!$E$14+1,1))</f>
        <v>475.47920969424894</v>
      </c>
      <c r="DU4" s="60">
        <f>$DU$3</f>
        <v>271.73544012419364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2.1</v>
      </c>
      <c r="EJ4" s="13">
        <f>IF('Données projet'!$A$192&gt;35,EJ3+EI4-ER3,IF(A4&lt;'Données projet'!$A$192,$EG$205^A4,IF(A4='Données projet'!$A$192,'Données projet'!$B$192,EJ3+EI4-ER3)))</f>
        <v>1.2054868146447177</v>
      </c>
      <c r="EK4" s="18">
        <f>EJ4*VLOOKUP('Données projet'!$B$15,Paramètres!$A$1:$I$89,3,0)*VLOOKUP('Données projet'!$B$15,Paramètres!$A$1:$I$89,5,0)</f>
        <v>1.0907244698905405</v>
      </c>
      <c r="EL4" s="14">
        <f>EXP(-1.0587+0.8836*LN(EK4)+0.284)</f>
        <v>0.49759623852608204</v>
      </c>
      <c r="EM4" s="22">
        <f t="shared" ref="EM4:EM67" si="19">(EK4+EL4)*0.475*44/12</f>
        <v>2.7663252338256172</v>
      </c>
      <c r="EN4" s="60">
        <f t="shared" ref="EN4:EN67" si="20">EM4+(EE4+EF4)*44/12</f>
        <v>260.65521412271448</v>
      </c>
      <c r="EO4" s="60">
        <f ca="1">AVERAGE(OFFSET($EN$3,0,0,'Données projet'!$E$15+1,1))-AVERAGE(OFFSET($H$3,0,0,'Données projet'!$E$15+1,1))</f>
        <v>428.8489304403459</v>
      </c>
      <c r="EP4" s="60">
        <f>$EP$3</f>
        <v>247.01165577562966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2.1</v>
      </c>
      <c r="FE4" s="13">
        <f>IF('Données projet'!$A$218&gt;35,FE3+FD4-FM3,IF(A4&lt;'Données projet'!$A$218,$FB$205^A4,IF(A4='Données projet'!$A$218,'Données projet'!$B$218,FE3+FD4-FM3)))</f>
        <v>1.2054868146447177</v>
      </c>
      <c r="FF4" s="18">
        <f>FE4*VLOOKUP('Données projet'!$B$16,Paramètres!$A$1:$I$89,3,0)*VLOOKUP('Données projet'!$B$16,Paramètres!$A$1:$I$89,5,0)</f>
        <v>1.165946847124371</v>
      </c>
      <c r="FG4" s="14">
        <f>EXP(-1.0587+0.8836*LN(FF4)+0.284)</f>
        <v>0.52780002987456354</v>
      </c>
      <c r="FH4" s="22">
        <f t="shared" ref="FH4:FH67" si="22">(FF4+FG4)*0.475*44/12</f>
        <v>2.9499424774398109</v>
      </c>
      <c r="FI4" s="60">
        <f t="shared" ref="FI4:FI67" si="23">FH4+(EZ4+FA4)*44/12</f>
        <v>260.83883136632869</v>
      </c>
      <c r="FJ4" s="60">
        <f ca="1">AVERAGE(OFFSET($FI$3,0,0,'Données projet'!$E$16+1,1))-AVERAGE(OFFSET($H$3,0,0,'Données projet'!$E$16+1,1))</f>
        <v>455.50822833641354</v>
      </c>
      <c r="FK4" s="60">
        <f>$FK$3</f>
        <v>261.14722581688039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</v>
      </c>
      <c r="N5" s="14">
        <f>IF('Données projet'!$A$36&gt;35,N4+M5-V4,IF(A5&lt;'Données projet'!$A$36,$K$205^A5,IF(A5='Données projet'!$A$36,'Données projet'!$B$36,N4+M5-V4)))</f>
        <v>0</v>
      </c>
      <c r="O5" s="14" t="e">
        <f>N5*VLOOKUP('Données projet'!$B$9,Paramètres!$A$1:$I$89,3,0)*VLOOKUP('Données projet'!$B$9,Paramètres!$A$1:$I$89,5,0)</f>
        <v>#N/A</v>
      </c>
      <c r="P5" s="14" t="e">
        <f t="shared" ref="P5:P68" si="33">EXP(-1.0587+0.8836*LN(O5)+0.284)</f>
        <v>#N/A</v>
      </c>
      <c r="Q5" s="22" t="e">
        <f t="shared" si="2"/>
        <v>#N/A</v>
      </c>
      <c r="R5" s="60" t="e">
        <f t="shared" si="0"/>
        <v>#N/A</v>
      </c>
      <c r="S5" s="60" t="e">
        <f ca="1">AVERAGE(OFFSET($R$3,0,0,'Données projet'!$E$9+1,1))-AVERAGE(OFFSET($H$3,0,0,'Données projet'!$E$9+1,1))</f>
        <v>#N/A</v>
      </c>
      <c r="T5" s="60" t="e">
        <f t="shared" ref="T5:T68" si="34">$T$3</f>
        <v>#N/A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 t="e">
        <f>EXP(-LN(2)/35)*Z4+(1-EXP(-LN(2)/35))/(LN(2)/35)*V5*W5*VLOOKUP('Données projet'!$B$9,Paramètres!$A$1:$I$89,3,0)*0.475*44/12</f>
        <v>#N/A</v>
      </c>
      <c r="AA5" s="23" t="e">
        <f>EXP(-LN(2)/25)*AA4+(1-EXP(-LN(2)/25))/(LN(2)/25)*Calculateur!V5*Calculateur!X5*VLOOKUP('Données projet'!$B$9,Paramètres!$A$1:$I$89,3,0)*0.475*44/12</f>
        <v>#N/A</v>
      </c>
      <c r="AB5" s="23" t="e">
        <f>EXP(-LN(2)/2)*AB4+(1-EXP(-LN(2)/2))/(LN(2)/2)*V5*Y5*VLOOKUP('Données projet'!$B$9,Paramètres!$A$1:$I$89,3,0)*0.475*44/12</f>
        <v>#N/A</v>
      </c>
      <c r="AC5" s="24" t="e">
        <f t="shared" si="3"/>
        <v>#N/A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2.4666666666666668</v>
      </c>
      <c r="AI5" s="14">
        <f>IF('Données projet'!$A$62&gt;35,AI4+AH5-AQ4,IF(A5&lt;'Données projet'!$A$62,$AF$205^A5,IF(A5='Données projet'!$A$62,'Données projet'!$B$62,AI4+AH5-AQ4)))</f>
        <v>1.6184286699097237</v>
      </c>
      <c r="AJ5" s="14">
        <f>AI5*VLOOKUP('Données projet'!$B$10,Paramètres!$A$1:$I$89,3,0)*VLOOKUP('Données projet'!$B$10,Paramètres!$A$1:$I$89,5,0)</f>
        <v>1.4138592860331347</v>
      </c>
      <c r="AK5" s="14">
        <f t="shared" ref="AK5:AK68" si="35">EXP(-1.0587+0.8836*LN(AJ5)+0.284)</f>
        <v>0.62582221171965613</v>
      </c>
      <c r="AL5" s="22">
        <f t="shared" si="4"/>
        <v>3.5524452752527771</v>
      </c>
      <c r="AM5" s="60">
        <f t="shared" si="5"/>
        <v>262.66355638636389</v>
      </c>
      <c r="AN5" s="60">
        <f ca="1">AVERAGE(OFFSET($AM$3,0,0,'Données projet'!$E$10+1,1))-AVERAGE(OFFSET($H$3,0,0,'Données projet'!$E$10+1,1))</f>
        <v>325.06345339097095</v>
      </c>
      <c r="AO5" s="60">
        <f t="shared" ref="AO5:AO68" si="36">$AO$3</f>
        <v>318.90379036810754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0" t="e">
        <f t="shared" si="8"/>
        <v>#N/A</v>
      </c>
      <c r="BI5" s="60" t="e">
        <f ca="1">AVERAGE(OFFSET($BH$3,0,0,'Données projet'!$E$11+1,1))-AVERAGE(OFFSET($H$3,0,0,'Données projet'!$E$11+1,1))</f>
        <v>#N/A</v>
      </c>
      <c r="BJ5" s="60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0" t="e">
        <f t="shared" si="11"/>
        <v>#N/A</v>
      </c>
      <c r="CD5" s="60" t="e">
        <f ca="1">AVERAGE(OFFSET($CC$3,0,0,'Données projet'!$E$12+1,1))-AVERAGE(OFFSET($H$3,0,0,'Données projet'!$E$12+1,1))</f>
        <v>#N/A</v>
      </c>
      <c r="CE5" s="60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1.2695141749025896</v>
      </c>
      <c r="CV5" s="14">
        <f t="shared" ref="CV5:CV68" si="41">EXP(-1.0587+0.8836*LN(CU5)+0.284)</f>
        <v>0.56901826609700534</v>
      </c>
      <c r="CW5" s="22">
        <f t="shared" si="13"/>
        <v>3.2021106680742939</v>
      </c>
      <c r="CX5" s="60">
        <f t="shared" si="14"/>
        <v>262.31322177918543</v>
      </c>
      <c r="CY5" s="60">
        <f ca="1">AVERAGE(OFFSET($CX$3,0,0,'Données projet'!$E$13+1,1))-AVERAGE(OFFSET($H$3,0,0,'Données projet'!$E$13+1,1))</f>
        <v>415.50509041799154</v>
      </c>
      <c r="CZ5" s="60">
        <f t="shared" ref="CZ5:CZ68" si="42">$CZ$3</f>
        <v>239.93573789765657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1.47354323872622</v>
      </c>
      <c r="DQ5" s="14">
        <f t="shared" ref="DQ5:DQ68" si="43">EXP(-1.0587+0.8836*LN(DP5)+0.284)</f>
        <v>0.64910881835703094</v>
      </c>
      <c r="DR5" s="22">
        <f t="shared" si="16"/>
        <v>3.6969523327533285</v>
      </c>
      <c r="DS5" s="60">
        <f t="shared" si="17"/>
        <v>262.80806344386446</v>
      </c>
      <c r="DT5" s="60">
        <f ca="1">AVERAGE(OFFSET($DS$3,0,0,'Données projet'!$E$14+1,1))-AVERAGE(OFFSET($H$3,0,0,'Données projet'!$E$14+1,1))</f>
        <v>475.47920969424894</v>
      </c>
      <c r="DU5" s="60">
        <f t="shared" ref="DU5:DU68" si="44">$DU$3</f>
        <v>271.73544012419364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2.1</v>
      </c>
      <c r="EJ5" s="13">
        <f>IF('Données projet'!$A$192&gt;35,EJ4+EI5-ER4,IF(A5&lt;'Données projet'!$A$192,$EG$205^A5,IF(A5='Données projet'!$A$192,'Données projet'!$B$192,EJ4+EI5-ER4)))</f>
        <v>1.4531984602822681</v>
      </c>
      <c r="EK5" s="18">
        <f>EJ5*VLOOKUP('Données projet'!$B$15,Paramètres!$A$1:$I$89,3,0)*VLOOKUP('Données projet'!$B$15,Paramètres!$A$1:$I$89,5,0)</f>
        <v>1.3148539668633961</v>
      </c>
      <c r="EL5" s="14">
        <f t="shared" ref="EL5:EL68" si="45">EXP(-1.0587+0.8836*LN(EK5)+0.284)</f>
        <v>0.58693801963664449</v>
      </c>
      <c r="EM5" s="22">
        <f t="shared" si="19"/>
        <v>3.3122877098209038</v>
      </c>
      <c r="EN5" s="60">
        <f t="shared" si="20"/>
        <v>262.42339882093205</v>
      </c>
      <c r="EO5" s="60">
        <f ca="1">AVERAGE(OFFSET($EN$3,0,0,'Données projet'!$E$15+1,1))-AVERAGE(OFFSET($H$3,0,0,'Données projet'!$E$15+1,1))</f>
        <v>428.8489304403459</v>
      </c>
      <c r="EP5" s="60">
        <f t="shared" ref="EP5:EP68" si="46">$EP$3</f>
        <v>247.01165577562966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2.1</v>
      </c>
      <c r="FE5" s="13">
        <f>IF('Données projet'!$A$218&gt;35,FE4+FD5-FM4,IF(A5&lt;'Données projet'!$A$218,$FB$205^A5,IF(A5='Données projet'!$A$218,'Données projet'!$B$218,FE4+FD5-FM4)))</f>
        <v>1.4531984602822681</v>
      </c>
      <c r="FF5" s="18">
        <f>FE5*VLOOKUP('Données projet'!$B$16,Paramètres!$A$1:$I$89,3,0)*VLOOKUP('Données projet'!$B$16,Paramètres!$A$1:$I$89,5,0)</f>
        <v>1.4055335507850097</v>
      </c>
      <c r="FG5" s="14">
        <f t="shared" ref="FG5:FG68" si="47">EXP(-1.0587+0.8836*LN(FF5)+0.284)</f>
        <v>0.62256480317525631</v>
      </c>
      <c r="FH5" s="22">
        <f t="shared" si="22"/>
        <v>3.5322712998141292</v>
      </c>
      <c r="FI5" s="60">
        <f t="shared" si="23"/>
        <v>262.64338241092526</v>
      </c>
      <c r="FJ5" s="60">
        <f ca="1">AVERAGE(OFFSET($FI$3,0,0,'Données projet'!$E$16+1,1))-AVERAGE(OFFSET($H$3,0,0,'Données projet'!$E$16+1,1))</f>
        <v>455.50822833641354</v>
      </c>
      <c r="FK5" s="60">
        <f t="shared" ref="FK5:FK68" si="48">$FK$3</f>
        <v>261.14722581688039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</v>
      </c>
      <c r="N6" s="14">
        <f>IF('Données projet'!$A$36&gt;35,N5+M6-V5,IF(A6&lt;'Données projet'!$A$36,$K$205^A6,IF(A6='Données projet'!$A$36,'Données projet'!$B$36,N5+M6-V5)))</f>
        <v>0</v>
      </c>
      <c r="O6" s="14" t="e">
        <f>N6*VLOOKUP('Données projet'!$B$9,Paramètres!$A$1:$I$89,3,0)*VLOOKUP('Données projet'!$B$9,Paramètres!$A$1:$I$89,5,0)</f>
        <v>#N/A</v>
      </c>
      <c r="P6" s="14" t="e">
        <f t="shared" si="33"/>
        <v>#N/A</v>
      </c>
      <c r="Q6" s="22" t="e">
        <f t="shared" si="2"/>
        <v>#N/A</v>
      </c>
      <c r="R6" s="60" t="e">
        <f t="shared" si="0"/>
        <v>#N/A</v>
      </c>
      <c r="S6" s="60" t="e">
        <f ca="1">AVERAGE(OFFSET($R$3,0,0,'Données projet'!$E$9+1,1))-AVERAGE(OFFSET($H$3,0,0,'Données projet'!$E$9+1,1))</f>
        <v>#N/A</v>
      </c>
      <c r="T6" s="60" t="e">
        <f t="shared" si="34"/>
        <v>#N/A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 t="e">
        <f>EXP(-LN(2)/35)*Z5+(1-EXP(-LN(2)/35))/(LN(2)/35)*V6*W6*VLOOKUP('Données projet'!$B$9,Paramètres!$A$1:$I$89,3,0)*0.475*44/12</f>
        <v>#N/A</v>
      </c>
      <c r="AA6" s="23" t="e">
        <f>EXP(-LN(2)/25)*AA5+(1-EXP(-LN(2)/25))/(LN(2)/25)*Calculateur!V6*Calculateur!X6*VLOOKUP('Données projet'!$B$9,Paramètres!$A$1:$I$89,3,0)*0.475*44/12</f>
        <v>#N/A</v>
      </c>
      <c r="AB6" s="23" t="e">
        <f>EXP(-LN(2)/2)*AB5+(1-EXP(-LN(2)/2))/(LN(2)/2)*V6*Y6*VLOOKUP('Données projet'!$B$9,Paramètres!$A$1:$I$89,3,0)*0.475*44/12</f>
        <v>#N/A</v>
      </c>
      <c r="AC6" s="24" t="e">
        <f t="shared" si="3"/>
        <v>#N/A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2.4666666666666668</v>
      </c>
      <c r="AI6" s="14">
        <f>IF('Données projet'!$A$62&gt;35,AI5+AH6-AQ5,IF(A6&lt;'Données projet'!$A$62,$AF$205^A6,IF(A6='Données projet'!$A$62,'Données projet'!$B$62,AI5+AH6-AQ5)))</f>
        <v>2.0589241364785171</v>
      </c>
      <c r="AJ6" s="14">
        <f>AI6*VLOOKUP('Données projet'!$B$10,Paramètres!$A$1:$I$89,3,0)*VLOOKUP('Données projet'!$B$10,Paramètres!$A$1:$I$89,5,0)</f>
        <v>1.7986761256276329</v>
      </c>
      <c r="AK6" s="14">
        <f t="shared" si="35"/>
        <v>0.77415604497611523</v>
      </c>
      <c r="AL6" s="22">
        <f t="shared" si="4"/>
        <v>4.4810160304681945</v>
      </c>
      <c r="AM6" s="60">
        <f t="shared" si="5"/>
        <v>264.81434936380151</v>
      </c>
      <c r="AN6" s="60">
        <f ca="1">AVERAGE(OFFSET($AM$3,0,0,'Données projet'!$E$10+1,1))-AVERAGE(OFFSET($H$3,0,0,'Données projet'!$E$10+1,1))</f>
        <v>325.06345339097095</v>
      </c>
      <c r="AO6" s="60">
        <f t="shared" si="36"/>
        <v>318.90379036810754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0" t="e">
        <f t="shared" si="8"/>
        <v>#N/A</v>
      </c>
      <c r="BI6" s="60" t="e">
        <f ca="1">AVERAGE(OFFSET($BH$3,0,0,'Données projet'!$E$11+1,1))-AVERAGE(OFFSET($H$3,0,0,'Données projet'!$E$11+1,1))</f>
        <v>#N/A</v>
      </c>
      <c r="BJ6" s="60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0" t="e">
        <f t="shared" si="11"/>
        <v>#N/A</v>
      </c>
      <c r="CD6" s="60" t="e">
        <f ca="1">AVERAGE(OFFSET($CC$3,0,0,'Données projet'!$E$12+1,1))-AVERAGE(OFFSET($H$3,0,0,'Données projet'!$E$12+1,1))</f>
        <v>#N/A</v>
      </c>
      <c r="CE6" s="60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1.5303825988496398</v>
      </c>
      <c r="CV6" s="14">
        <f t="shared" si="41"/>
        <v>0.67118363922790714</v>
      </c>
      <c r="CW6" s="22">
        <f t="shared" si="13"/>
        <v>3.8343945313183934</v>
      </c>
      <c r="CX6" s="60">
        <f t="shared" si="14"/>
        <v>264.16772786465168</v>
      </c>
      <c r="CY6" s="60">
        <f ca="1">AVERAGE(OFFSET($CX$3,0,0,'Données projet'!$E$13+1,1))-AVERAGE(OFFSET($H$3,0,0,'Données projet'!$E$13+1,1))</f>
        <v>415.50509041799154</v>
      </c>
      <c r="CZ6" s="60">
        <f t="shared" si="42"/>
        <v>239.93573789765657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1.7763369450933317</v>
      </c>
      <c r="DQ6" s="14">
        <f t="shared" si="43"/>
        <v>0.76565418883323866</v>
      </c>
      <c r="DR6" s="22">
        <f t="shared" si="16"/>
        <v>4.4273012249221102</v>
      </c>
      <c r="DS6" s="60">
        <f t="shared" si="17"/>
        <v>264.76063455825545</v>
      </c>
      <c r="DT6" s="60">
        <f ca="1">AVERAGE(OFFSET($DS$3,0,0,'Données projet'!$E$14+1,1))-AVERAGE(OFFSET($H$3,0,0,'Données projet'!$E$14+1,1))</f>
        <v>475.47920969424894</v>
      </c>
      <c r="DU6" s="60">
        <f t="shared" si="44"/>
        <v>271.73544012419364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2.1</v>
      </c>
      <c r="EJ6" s="13">
        <f>IF('Données projet'!$A$192&gt;35,EJ5+EI6-ER5,IF(A6&lt;'Données projet'!$A$192,$EG$205^A6,IF(A6='Données projet'!$A$192,'Données projet'!$B$192,EJ5+EI6-ER5)))</f>
        <v>1.7518115829322798</v>
      </c>
      <c r="EK6" s="18">
        <f>EJ6*VLOOKUP('Données projet'!$B$15,Paramètres!$A$1:$I$89,3,0)*VLOOKUP('Données projet'!$B$15,Paramètres!$A$1:$I$89,5,0)</f>
        <v>1.5850391202371266</v>
      </c>
      <c r="EL6" s="14">
        <f t="shared" si="45"/>
        <v>0.69232082604846479</v>
      </c>
      <c r="EM6" s="22">
        <f t="shared" si="19"/>
        <v>3.966401906447405</v>
      </c>
      <c r="EN6" s="60">
        <f t="shared" si="20"/>
        <v>264.29973523978072</v>
      </c>
      <c r="EO6" s="60">
        <f ca="1">AVERAGE(OFFSET($EN$3,0,0,'Données projet'!$E$15+1,1))-AVERAGE(OFFSET($H$3,0,0,'Données projet'!$E$15+1,1))</f>
        <v>428.8489304403459</v>
      </c>
      <c r="EP6" s="60">
        <f t="shared" si="46"/>
        <v>247.01165577562966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2.1</v>
      </c>
      <c r="FE6" s="13">
        <f>IF('Données projet'!$A$218&gt;35,FE5+FD6-FM5,IF(A6&lt;'Données projet'!$A$218,$FB$205^A6,IF(A6='Données projet'!$A$218,'Données projet'!$B$218,FE5+FD6-FM5)))</f>
        <v>1.7518115829322798</v>
      </c>
      <c r="FF6" s="18">
        <f>FE6*VLOOKUP('Données projet'!$B$16,Paramètres!$A$1:$I$89,3,0)*VLOOKUP('Données projet'!$B$16,Paramètres!$A$1:$I$89,5,0)</f>
        <v>1.694352163012101</v>
      </c>
      <c r="FG6" s="14">
        <f t="shared" si="47"/>
        <v>0.73434428233124405</v>
      </c>
      <c r="FH6" s="22">
        <f t="shared" si="22"/>
        <v>4.2299796423063247</v>
      </c>
      <c r="FI6" s="60">
        <f t="shared" si="23"/>
        <v>264.56331297563963</v>
      </c>
      <c r="FJ6" s="60">
        <f ca="1">AVERAGE(OFFSET($FI$3,0,0,'Données projet'!$E$16+1,1))-AVERAGE(OFFSET($H$3,0,0,'Données projet'!$E$16+1,1))</f>
        <v>455.50822833641354</v>
      </c>
      <c r="FK6" s="60">
        <f t="shared" si="48"/>
        <v>261.14722581688039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</v>
      </c>
      <c r="N7" s="14">
        <f>IF('Données projet'!$A$36&gt;35,N6+M7-V6,IF(A7&lt;'Données projet'!$A$36,$K$205^A7,IF(A7='Données projet'!$A$36,'Données projet'!$B$36,N6+M7-V6)))</f>
        <v>0</v>
      </c>
      <c r="O7" s="14" t="e">
        <f>N7*VLOOKUP('Données projet'!$B$9,Paramètres!$A$1:$I$89,3,0)*VLOOKUP('Données projet'!$B$9,Paramètres!$A$1:$I$89,5,0)</f>
        <v>#N/A</v>
      </c>
      <c r="P7" s="14" t="e">
        <f t="shared" si="33"/>
        <v>#N/A</v>
      </c>
      <c r="Q7" s="22" t="e">
        <f t="shared" si="2"/>
        <v>#N/A</v>
      </c>
      <c r="R7" s="60" t="e">
        <f t="shared" si="0"/>
        <v>#N/A</v>
      </c>
      <c r="S7" s="60" t="e">
        <f ca="1">AVERAGE(OFFSET($R$3,0,0,'Données projet'!$E$9+1,1))-AVERAGE(OFFSET($H$3,0,0,'Données projet'!$E$9+1,1))</f>
        <v>#N/A</v>
      </c>
      <c r="T7" s="60" t="e">
        <f t="shared" si="34"/>
        <v>#N/A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 t="e">
        <f>EXP(-LN(2)/35)*Z6+(1-EXP(-LN(2)/35))/(LN(2)/35)*V7*W7*VLOOKUP('Données projet'!$B$9,Paramètres!$A$1:$I$89,3,0)*0.475*44/12</f>
        <v>#N/A</v>
      </c>
      <c r="AA7" s="23" t="e">
        <f>EXP(-LN(2)/25)*AA6+(1-EXP(-LN(2)/25))/(LN(2)/25)*Calculateur!V7*Calculateur!X7*VLOOKUP('Données projet'!$B$9,Paramètres!$A$1:$I$89,3,0)*0.475*44/12</f>
        <v>#N/A</v>
      </c>
      <c r="AB7" s="23" t="e">
        <f>EXP(-LN(2)/2)*AB6+(1-EXP(-LN(2)/2))/(LN(2)/2)*V7*Y7*VLOOKUP('Données projet'!$B$9,Paramètres!$A$1:$I$89,3,0)*0.475*44/12</f>
        <v>#N/A</v>
      </c>
      <c r="AC7" s="24" t="e">
        <f t="shared" si="3"/>
        <v>#N/A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2.4666666666666668</v>
      </c>
      <c r="AI7" s="14">
        <f>IF('Données projet'!$A$62&gt;35,AI6+AH7-AQ6,IF(A7&lt;'Données projet'!$A$62,$AF$205^A7,IF(A7='Données projet'!$A$62,'Données projet'!$B$62,AI6+AH7-AQ6)))</f>
        <v>2.6193113595857573</v>
      </c>
      <c r="AJ7" s="14">
        <f>AI7*VLOOKUP('Données projet'!$B$10,Paramètres!$A$1:$I$89,3,0)*VLOOKUP('Données projet'!$B$10,Paramètres!$A$1:$I$89,5,0)</f>
        <v>2.2882304037341177</v>
      </c>
      <c r="AK7" s="14">
        <f t="shared" si="35"/>
        <v>0.95764830769786036</v>
      </c>
      <c r="AL7" s="22">
        <f t="shared" si="4"/>
        <v>5.6532387557440282</v>
      </c>
      <c r="AM7" s="60">
        <f t="shared" si="5"/>
        <v>267.20879431129958</v>
      </c>
      <c r="AN7" s="60">
        <f ca="1">AVERAGE(OFFSET($AM$3,0,0,'Données projet'!$E$10+1,1))-AVERAGE(OFFSET($H$3,0,0,'Données projet'!$E$10+1,1))</f>
        <v>325.06345339097095</v>
      </c>
      <c r="AO7" s="60">
        <f t="shared" si="36"/>
        <v>318.90379036810754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0" t="e">
        <f t="shared" si="8"/>
        <v>#N/A</v>
      </c>
      <c r="BI7" s="60" t="e">
        <f ca="1">AVERAGE(OFFSET($BH$3,0,0,'Données projet'!$E$11+1,1))-AVERAGE(OFFSET($H$3,0,0,'Données projet'!$E$11+1,1))</f>
        <v>#N/A</v>
      </c>
      <c r="BJ7" s="60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0" t="e">
        <f t="shared" si="11"/>
        <v>#N/A</v>
      </c>
      <c r="CD7" s="60" t="e">
        <f ca="1">AVERAGE(OFFSET($CC$3,0,0,'Données projet'!$E$12+1,1))-AVERAGE(OFFSET($H$3,0,0,'Données projet'!$E$12+1,1))</f>
        <v>#N/A</v>
      </c>
      <c r="CE7" s="60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1.8448560442749571</v>
      </c>
      <c r="CV7" s="14">
        <f t="shared" si="41"/>
        <v>0.7916924717675391</v>
      </c>
      <c r="CW7" s="22">
        <f t="shared" si="13"/>
        <v>4.5919886654406801</v>
      </c>
      <c r="CX7" s="60">
        <f t="shared" si="14"/>
        <v>266.14754422099622</v>
      </c>
      <c r="CY7" s="60">
        <f ca="1">AVERAGE(OFFSET($CX$3,0,0,'Données projet'!$E$13+1,1))-AVERAGE(OFFSET($H$3,0,0,'Données projet'!$E$13+1,1))</f>
        <v>415.50509041799154</v>
      </c>
      <c r="CZ7" s="60">
        <f t="shared" si="42"/>
        <v>239.93573789765657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2.1413507656762891</v>
      </c>
      <c r="DQ7" s="14">
        <f t="shared" si="43"/>
        <v>0.9031249003236328</v>
      </c>
      <c r="DR7" s="22">
        <f t="shared" si="16"/>
        <v>5.3024617849498643</v>
      </c>
      <c r="DS7" s="60">
        <f t="shared" si="17"/>
        <v>266.8580173405054</v>
      </c>
      <c r="DT7" s="60">
        <f ca="1">AVERAGE(OFFSET($DS$3,0,0,'Données projet'!$E$14+1,1))-AVERAGE(OFFSET($H$3,0,0,'Données projet'!$E$14+1,1))</f>
        <v>475.47920969424894</v>
      </c>
      <c r="DU7" s="60">
        <f t="shared" si="44"/>
        <v>271.73544012419364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2.1</v>
      </c>
      <c r="EJ7" s="13">
        <f>IF('Données projet'!$A$192&gt;35,EJ6+EI7-ER6,IF(A7&lt;'Données projet'!$A$192,$EG$205^A7,IF(A7='Données projet'!$A$192,'Données projet'!$B$192,EJ6+EI7-ER6)))</f>
        <v>2.1117857649667546</v>
      </c>
      <c r="EK7" s="18">
        <f>EJ7*VLOOKUP('Données projet'!$B$15,Paramètres!$A$1:$I$89,3,0)*VLOOKUP('Données projet'!$B$15,Paramètres!$A$1:$I$89,5,0)</f>
        <v>1.9107437601419195</v>
      </c>
      <c r="EL7" s="14">
        <f t="shared" si="45"/>
        <v>0.81662477151702284</v>
      </c>
      <c r="EM7" s="22">
        <f t="shared" si="19"/>
        <v>4.7501668593059909</v>
      </c>
      <c r="EN7" s="60">
        <f t="shared" si="20"/>
        <v>266.30572241486152</v>
      </c>
      <c r="EO7" s="60">
        <f ca="1">AVERAGE(OFFSET($EN$3,0,0,'Données projet'!$E$15+1,1))-AVERAGE(OFFSET($H$3,0,0,'Données projet'!$E$15+1,1))</f>
        <v>428.8489304403459</v>
      </c>
      <c r="EP7" s="60">
        <f t="shared" si="46"/>
        <v>247.01165577562966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2.1</v>
      </c>
      <c r="FE7" s="13">
        <f>IF('Données projet'!$A$218&gt;35,FE6+FD7-FM6,IF(A7&lt;'Données projet'!$A$218,$FB$205^A7,IF(A7='Données projet'!$A$218,'Données projet'!$B$218,FE6+FD7-FM6)))</f>
        <v>2.1117857649667546</v>
      </c>
      <c r="FF7" s="18">
        <f>FE7*VLOOKUP('Données projet'!$B$16,Paramètres!$A$1:$I$89,3,0)*VLOOKUP('Données projet'!$B$16,Paramètres!$A$1:$I$89,5,0)</f>
        <v>2.042519191875845</v>
      </c>
      <c r="FG7" s="14">
        <f t="shared" si="47"/>
        <v>0.86619340226463792</v>
      </c>
      <c r="FH7" s="22">
        <f t="shared" si="22"/>
        <v>5.0660077681280073</v>
      </c>
      <c r="FI7" s="60">
        <f t="shared" si="23"/>
        <v>266.62156332368357</v>
      </c>
      <c r="FJ7" s="60">
        <f ca="1">AVERAGE(OFFSET($FI$3,0,0,'Données projet'!$E$16+1,1))-AVERAGE(OFFSET($H$3,0,0,'Données projet'!$E$16+1,1))</f>
        <v>455.50822833641354</v>
      </c>
      <c r="FK7" s="60">
        <f t="shared" si="48"/>
        <v>261.14722581688039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</v>
      </c>
      <c r="N8" s="14">
        <f>IF('Données projet'!$A$36&gt;35,N7+M8-V7,IF(A8&lt;'Données projet'!$A$36,$K$205^A8,IF(A8='Données projet'!$A$36,'Données projet'!$B$36,N7+M8-V7)))</f>
        <v>0</v>
      </c>
      <c r="O8" s="14" t="e">
        <f>N8*VLOOKUP('Données projet'!$B$9,Paramètres!$A$1:$I$89,3,0)*VLOOKUP('Données projet'!$B$9,Paramètres!$A$1:$I$89,5,0)</f>
        <v>#N/A</v>
      </c>
      <c r="P8" s="14" t="e">
        <f t="shared" si="33"/>
        <v>#N/A</v>
      </c>
      <c r="Q8" s="22" t="e">
        <f t="shared" si="2"/>
        <v>#N/A</v>
      </c>
      <c r="R8" s="60" t="e">
        <f t="shared" si="0"/>
        <v>#N/A</v>
      </c>
      <c r="S8" s="60" t="e">
        <f ca="1">AVERAGE(OFFSET($R$3,0,0,'Données projet'!$E$9+1,1))-AVERAGE(OFFSET($H$3,0,0,'Données projet'!$E$9+1,1))</f>
        <v>#N/A</v>
      </c>
      <c r="T8" s="60" t="e">
        <f t="shared" si="34"/>
        <v>#N/A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 t="e">
        <f>EXP(-LN(2)/35)*Z7+(1-EXP(-LN(2)/35))/(LN(2)/35)*V8*W8*VLOOKUP('Données projet'!$B$9,Paramètres!$A$1:$I$89,3,0)*0.475*44/12</f>
        <v>#N/A</v>
      </c>
      <c r="AA8" s="23" t="e">
        <f>EXP(-LN(2)/25)*AA7+(1-EXP(-LN(2)/25))/(LN(2)/25)*Calculateur!V8*Calculateur!X8*VLOOKUP('Données projet'!$B$9,Paramètres!$A$1:$I$89,3,0)*0.475*44/12</f>
        <v>#N/A</v>
      </c>
      <c r="AB8" s="23" t="e">
        <f>EXP(-LN(2)/2)*AB7+(1-EXP(-LN(2)/2))/(LN(2)/2)*V8*Y8*VLOOKUP('Données projet'!$B$9,Paramètres!$A$1:$I$89,3,0)*0.475*44/12</f>
        <v>#N/A</v>
      </c>
      <c r="AC8" s="24" t="e">
        <f t="shared" si="3"/>
        <v>#N/A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2.4666666666666668</v>
      </c>
      <c r="AI8" s="14">
        <f>IF('Données projet'!$A$62&gt;35,AI7+AH8-AQ7,IF(A8&lt;'Données projet'!$A$62,$AF$205^A8,IF(A8='Données projet'!$A$62,'Données projet'!$B$62,AI7+AH8-AQ7)))</f>
        <v>3.332221851645953</v>
      </c>
      <c r="AJ8" s="14">
        <f>AI8*VLOOKUP('Données projet'!$B$10,Paramètres!$A$1:$I$89,3,0)*VLOOKUP('Données projet'!$B$10,Paramètres!$A$1:$I$89,5,0)</f>
        <v>2.9110290095979048</v>
      </c>
      <c r="AK8" s="14">
        <f t="shared" si="35"/>
        <v>1.1846323324451606</v>
      </c>
      <c r="AL8" s="22">
        <f t="shared" si="4"/>
        <v>7.133276837391672</v>
      </c>
      <c r="AM8" s="60">
        <f t="shared" si="5"/>
        <v>269.91105461516946</v>
      </c>
      <c r="AN8" s="60">
        <f ca="1">AVERAGE(OFFSET($AM$3,0,0,'Données projet'!$E$10+1,1))-AVERAGE(OFFSET($H$3,0,0,'Données projet'!$E$10+1,1))</f>
        <v>325.06345339097095</v>
      </c>
      <c r="AO8" s="60">
        <f t="shared" si="36"/>
        <v>318.90379036810754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0" t="e">
        <f t="shared" si="8"/>
        <v>#N/A</v>
      </c>
      <c r="BI8" s="60" t="e">
        <f ca="1">AVERAGE(OFFSET($BH$3,0,0,'Données projet'!$E$11+1,1))-AVERAGE(OFFSET($H$3,0,0,'Données projet'!$E$11+1,1))</f>
        <v>#N/A</v>
      </c>
      <c r="BJ8" s="60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0" t="e">
        <f t="shared" si="11"/>
        <v>#N/A</v>
      </c>
      <c r="CD8" s="60" t="e">
        <f ca="1">AVERAGE(OFFSET($CC$3,0,0,'Données projet'!$E$12+1,1))-AVERAGE(OFFSET($H$3,0,0,'Données projet'!$E$12+1,1))</f>
        <v>#N/A</v>
      </c>
      <c r="CE8" s="60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2.2239496362910725</v>
      </c>
      <c r="CV8" s="14">
        <f t="shared" si="41"/>
        <v>0.9338382720031817</v>
      </c>
      <c r="CW8" s="22">
        <f t="shared" si="13"/>
        <v>5.4998139402791582</v>
      </c>
      <c r="CX8" s="60">
        <f t="shared" si="14"/>
        <v>268.27759171805695</v>
      </c>
      <c r="CY8" s="60">
        <f ca="1">AVERAGE(OFFSET($CX$3,0,0,'Données projet'!$E$13+1,1))-AVERAGE(OFFSET($H$3,0,0,'Données projet'!$E$13+1,1))</f>
        <v>415.50509041799154</v>
      </c>
      <c r="CZ8" s="60">
        <f t="shared" si="42"/>
        <v>239.93573789765657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2.5813701135521372</v>
      </c>
      <c r="DQ8" s="14">
        <f t="shared" si="43"/>
        <v>1.0652780295337991</v>
      </c>
      <c r="DR8" s="22">
        <f t="shared" si="16"/>
        <v>6.3512455158746723</v>
      </c>
      <c r="DS8" s="60">
        <f t="shared" si="17"/>
        <v>269.12902329365244</v>
      </c>
      <c r="DT8" s="60">
        <f ca="1">AVERAGE(OFFSET($DS$3,0,0,'Données projet'!$E$14+1,1))-AVERAGE(OFFSET($H$3,0,0,'Données projet'!$E$14+1,1))</f>
        <v>475.47920969424894</v>
      </c>
      <c r="DU8" s="60">
        <f t="shared" si="44"/>
        <v>271.73544012419364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2.1</v>
      </c>
      <c r="EJ8" s="13">
        <f>IF('Données projet'!$A$192&gt;35,EJ7+EI8-ER7,IF(A8&lt;'Données projet'!$A$192,$EG$205^A8,IF(A8='Données projet'!$A$192,'Données projet'!$B$192,EJ7+EI8-ER7)))</f>
        <v>2.5457298950218314</v>
      </c>
      <c r="EK8" s="18">
        <f>EJ8*VLOOKUP('Données projet'!$B$15,Paramètres!$A$1:$I$89,3,0)*VLOOKUP('Données projet'!$B$15,Paramètres!$A$1:$I$89,5,0)</f>
        <v>2.3033764090157529</v>
      </c>
      <c r="EL8" s="14">
        <f t="shared" si="45"/>
        <v>0.96324708482559218</v>
      </c>
      <c r="EM8" s="22">
        <f t="shared" si="19"/>
        <v>5.6893692517736758</v>
      </c>
      <c r="EN8" s="60">
        <f t="shared" si="20"/>
        <v>268.46714702955143</v>
      </c>
      <c r="EO8" s="60">
        <f ca="1">AVERAGE(OFFSET($EN$3,0,0,'Données projet'!$E$15+1,1))-AVERAGE(OFFSET($H$3,0,0,'Données projet'!$E$15+1,1))</f>
        <v>428.8489304403459</v>
      </c>
      <c r="EP8" s="60">
        <f t="shared" si="46"/>
        <v>247.01165577562966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2.1</v>
      </c>
      <c r="FE8" s="13">
        <f>IF('Données projet'!$A$218&gt;35,FE7+FD8-FM7,IF(A8&lt;'Données projet'!$A$218,$FB$205^A8,IF(A8='Données projet'!$A$218,'Données projet'!$B$218,FE7+FD8-FM7)))</f>
        <v>2.5457298950218314</v>
      </c>
      <c r="FF8" s="18">
        <f>FE8*VLOOKUP('Données projet'!$B$16,Paramètres!$A$1:$I$89,3,0)*VLOOKUP('Données projet'!$B$16,Paramètres!$A$1:$I$89,5,0)</f>
        <v>2.4622299544651152</v>
      </c>
      <c r="FG8" s="14">
        <f t="shared" si="47"/>
        <v>1.021715601495419</v>
      </c>
      <c r="FH8" s="22">
        <f t="shared" si="22"/>
        <v>6.0678718432979295</v>
      </c>
      <c r="FI8" s="60">
        <f t="shared" si="23"/>
        <v>268.84564962107572</v>
      </c>
      <c r="FJ8" s="60">
        <f ca="1">AVERAGE(OFFSET($FI$3,0,0,'Données projet'!$E$16+1,1))-AVERAGE(OFFSET($H$3,0,0,'Données projet'!$E$16+1,1))</f>
        <v>455.50822833641354</v>
      </c>
      <c r="FK8" s="60">
        <f t="shared" si="48"/>
        <v>261.14722581688039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0</v>
      </c>
      <c r="N9" s="14">
        <f>IF('Données projet'!$A$36&gt;35,N8+M9-V8,IF(A9&lt;'Données projet'!$A$36,$K$205^A9,IF(A9='Données projet'!$A$36,'Données projet'!$B$36,N8+M9-V8)))</f>
        <v>0</v>
      </c>
      <c r="O9" s="14" t="e">
        <f>N9*VLOOKUP('Données projet'!$B$9,Paramètres!$A$1:$I$89,3,0)*VLOOKUP('Données projet'!$B$9,Paramètres!$A$1:$I$89,5,0)</f>
        <v>#N/A</v>
      </c>
      <c r="P9" s="14" t="e">
        <f t="shared" si="33"/>
        <v>#N/A</v>
      </c>
      <c r="Q9" s="22" t="e">
        <f t="shared" si="2"/>
        <v>#N/A</v>
      </c>
      <c r="R9" s="60" t="e">
        <f t="shared" si="0"/>
        <v>#N/A</v>
      </c>
      <c r="S9" s="60" t="e">
        <f ca="1">AVERAGE(OFFSET($R$3,0,0,'Données projet'!$E$9+1,1))-AVERAGE(OFFSET($H$3,0,0,'Données projet'!$E$9+1,1))</f>
        <v>#N/A</v>
      </c>
      <c r="T9" s="60" t="e">
        <f t="shared" si="34"/>
        <v>#N/A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 t="e">
        <f>EXP(-LN(2)/35)*Z8+(1-EXP(-LN(2)/35))/(LN(2)/35)*V9*W9*VLOOKUP('Données projet'!$B$9,Paramètres!$A$1:$I$89,3,0)*0.475*44/12</f>
        <v>#N/A</v>
      </c>
      <c r="AA9" s="23" t="e">
        <f>EXP(-LN(2)/25)*AA8+(1-EXP(-LN(2)/25))/(LN(2)/25)*Calculateur!V9*Calculateur!X9*VLOOKUP('Données projet'!$B$9,Paramètres!$A$1:$I$89,3,0)*0.475*44/12</f>
        <v>#N/A</v>
      </c>
      <c r="AB9" s="23" t="e">
        <f>EXP(-LN(2)/2)*AB8+(1-EXP(-LN(2)/2))/(LN(2)/2)*V9*Y9*VLOOKUP('Données projet'!$B$9,Paramètres!$A$1:$I$89,3,0)*0.475*44/12</f>
        <v>#N/A</v>
      </c>
      <c r="AC9" s="24" t="e">
        <f t="shared" si="3"/>
        <v>#N/A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2.4666666666666668</v>
      </c>
      <c r="AI9" s="14">
        <f>IF('Données projet'!$A$62&gt;35,AI8+AH9-AQ8,IF(A9&lt;'Données projet'!$A$62,$AF$205^A9,IF(A9='Données projet'!$A$62,'Données projet'!$B$62,AI8+AH9-AQ8)))</f>
        <v>4.2391685997738069</v>
      </c>
      <c r="AJ9" s="14">
        <f>AI9*VLOOKUP('Données projet'!$B$10,Paramètres!$A$1:$I$89,3,0)*VLOOKUP('Données projet'!$B$10,Paramètres!$A$1:$I$89,5,0)</f>
        <v>3.7033376887623981</v>
      </c>
      <c r="AK9" s="14">
        <f t="shared" si="35"/>
        <v>1.4654166376047331</v>
      </c>
      <c r="AL9" s="22">
        <f t="shared" si="4"/>
        <v>9.002247118422753</v>
      </c>
      <c r="AM9" s="60">
        <f t="shared" si="5"/>
        <v>273.00224711842276</v>
      </c>
      <c r="AN9" s="60">
        <f ca="1">AVERAGE(OFFSET($AM$3,0,0,'Données projet'!$E$10+1,1))-AVERAGE(OFFSET($H$3,0,0,'Données projet'!$E$10+1,1))</f>
        <v>325.06345339097095</v>
      </c>
      <c r="AO9" s="60">
        <f t="shared" si="36"/>
        <v>318.90379036810754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0" t="e">
        <f t="shared" si="8"/>
        <v>#N/A</v>
      </c>
      <c r="BI9" s="60" t="e">
        <f ca="1">AVERAGE(OFFSET($BH$3,0,0,'Données projet'!$E$11+1,1))-AVERAGE(OFFSET($H$3,0,0,'Données projet'!$E$11+1,1))</f>
        <v>#N/A</v>
      </c>
      <c r="BJ9" s="60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0" t="e">
        <f t="shared" si="11"/>
        <v>#N/A</v>
      </c>
      <c r="CD9" s="60" t="e">
        <f ca="1">AVERAGE(OFFSET($CC$3,0,0,'Données projet'!$E$12+1,1))-AVERAGE(OFFSET($H$3,0,0,'Données projet'!$E$12+1,1))</f>
        <v>#N/A</v>
      </c>
      <c r="CE9" s="60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2.6809419629828031</v>
      </c>
      <c r="CV9" s="14">
        <f t="shared" si="41"/>
        <v>1.1015058868893037</v>
      </c>
      <c r="CW9" s="22">
        <f t="shared" si="13"/>
        <v>6.5877633385272532</v>
      </c>
      <c r="CX9" s="60">
        <f t="shared" si="14"/>
        <v>270.58776333852722</v>
      </c>
      <c r="CY9" s="60">
        <f ca="1">AVERAGE(OFFSET($CX$3,0,0,'Données projet'!$E$13+1,1))-AVERAGE(OFFSET($H$3,0,0,'Données projet'!$E$13+1,1))</f>
        <v>415.50509041799154</v>
      </c>
      <c r="CZ9" s="60">
        <f t="shared" si="42"/>
        <v>239.93573789765657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3.111807635605039</v>
      </c>
      <c r="DQ9" s="14">
        <f t="shared" si="43"/>
        <v>1.2565452240335246</v>
      </c>
      <c r="DR9" s="22">
        <f t="shared" si="16"/>
        <v>7.6082145638704972</v>
      </c>
      <c r="DS9" s="60">
        <f t="shared" si="17"/>
        <v>271.60821456387049</v>
      </c>
      <c r="DT9" s="60">
        <f ca="1">AVERAGE(OFFSET($DS$3,0,0,'Données projet'!$E$14+1,1))-AVERAGE(OFFSET($H$3,0,0,'Données projet'!$E$14+1,1))</f>
        <v>475.47920969424894</v>
      </c>
      <c r="DU9" s="60">
        <f t="shared" si="44"/>
        <v>271.73544012419364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2.1</v>
      </c>
      <c r="EJ9" s="13">
        <f>IF('Données projet'!$A$192&gt;35,EJ8+EI9-ER8,IF(A9&lt;'Données projet'!$A$192,$EG$205^A9,IF(A9='Données projet'!$A$192,'Données projet'!$B$192,EJ8+EI9-ER8)))</f>
        <v>3.0688438220956993</v>
      </c>
      <c r="EK9" s="18">
        <f>EJ9*VLOOKUP('Données projet'!$B$15,Paramètres!$A$1:$I$89,3,0)*VLOOKUP('Données projet'!$B$15,Paramètres!$A$1:$I$89,5,0)</f>
        <v>2.7766898902321886</v>
      </c>
      <c r="EL9" s="14">
        <f t="shared" si="45"/>
        <v>1.1361949561012803</v>
      </c>
      <c r="EM9" s="22">
        <f t="shared" si="19"/>
        <v>6.8149411073641248</v>
      </c>
      <c r="EN9" s="60">
        <f t="shared" si="20"/>
        <v>270.81494110736412</v>
      </c>
      <c r="EO9" s="60">
        <f ca="1">AVERAGE(OFFSET($EN$3,0,0,'Données projet'!$E$15+1,1))-AVERAGE(OFFSET($H$3,0,0,'Données projet'!$E$15+1,1))</f>
        <v>428.8489304403459</v>
      </c>
      <c r="EP9" s="60">
        <f t="shared" si="46"/>
        <v>247.01165577562966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2.1</v>
      </c>
      <c r="FE9" s="13">
        <f>IF('Données projet'!$A$218&gt;35,FE8+FD9-FM8,IF(A9&lt;'Données projet'!$A$218,$FB$205^A9,IF(A9='Données projet'!$A$218,'Données projet'!$B$218,FE8+FD9-FM8)))</f>
        <v>3.0688438220956993</v>
      </c>
      <c r="FF9" s="18">
        <f>FE9*VLOOKUP('Données projet'!$B$16,Paramètres!$A$1:$I$89,3,0)*VLOOKUP('Données projet'!$B$16,Paramètres!$A$1:$I$89,5,0)</f>
        <v>2.9681857447309605</v>
      </c>
      <c r="FG9" s="14">
        <f t="shared" si="47"/>
        <v>1.2051613041728233</v>
      </c>
      <c r="FH9" s="22">
        <f t="shared" si="22"/>
        <v>7.2685794435074236</v>
      </c>
      <c r="FI9" s="60">
        <f t="shared" si="23"/>
        <v>271.26857944350741</v>
      </c>
      <c r="FJ9" s="60">
        <f ca="1">AVERAGE(OFFSET($FI$3,0,0,'Données projet'!$E$16+1,1))-AVERAGE(OFFSET($H$3,0,0,'Données projet'!$E$16+1,1))</f>
        <v>455.50822833641354</v>
      </c>
      <c r="FK9" s="60">
        <f t="shared" si="48"/>
        <v>261.14722581688039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0</v>
      </c>
      <c r="N10" s="14">
        <f>IF('Données projet'!$A$36&gt;35,N9+M10-V9,IF(A10&lt;'Données projet'!$A$36,$K$205^A10,IF(A10='Données projet'!$A$36,'Données projet'!$B$36,N9+M10-V9)))</f>
        <v>0</v>
      </c>
      <c r="O10" s="14" t="e">
        <f>N10*VLOOKUP('Données projet'!$B$9,Paramètres!$A$1:$I$89,3,0)*VLOOKUP('Données projet'!$B$9,Paramètres!$A$1:$I$89,5,0)</f>
        <v>#N/A</v>
      </c>
      <c r="P10" s="14" t="e">
        <f t="shared" si="33"/>
        <v>#N/A</v>
      </c>
      <c r="Q10" s="22" t="e">
        <f t="shared" si="2"/>
        <v>#N/A</v>
      </c>
      <c r="R10" s="60" t="e">
        <f t="shared" si="0"/>
        <v>#N/A</v>
      </c>
      <c r="S10" s="60" t="e">
        <f ca="1">AVERAGE(OFFSET($R$3,0,0,'Données projet'!$E$9+1,1))-AVERAGE(OFFSET($H$3,0,0,'Données projet'!$E$9+1,1))</f>
        <v>#N/A</v>
      </c>
      <c r="T10" s="60" t="e">
        <f t="shared" si="34"/>
        <v>#N/A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 t="e">
        <f>EXP(-LN(2)/35)*Z9+(1-EXP(-LN(2)/35))/(LN(2)/35)*V10*W10*VLOOKUP('Données projet'!$B$9,Paramètres!$A$1:$I$89,3,0)*0.475*44/12</f>
        <v>#N/A</v>
      </c>
      <c r="AA10" s="23" t="e">
        <f>EXP(-LN(2)/25)*AA9+(1-EXP(-LN(2)/25))/(LN(2)/25)*Calculateur!V10*Calculateur!X10*VLOOKUP('Données projet'!$B$9,Paramètres!$A$1:$I$89,3,0)*0.475*44/12</f>
        <v>#N/A</v>
      </c>
      <c r="AB10" s="23" t="e">
        <f>EXP(-LN(2)/2)*AB9+(1-EXP(-LN(2)/2))/(LN(2)/2)*V10*Y10*VLOOKUP('Données projet'!$B$9,Paramètres!$A$1:$I$89,3,0)*0.475*44/12</f>
        <v>#N/A</v>
      </c>
      <c r="AC10" s="24" t="e">
        <f t="shared" si="3"/>
        <v>#N/A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2.4666666666666668</v>
      </c>
      <c r="AI10" s="14">
        <f>IF('Données projet'!$A$62&gt;35,AI9+AH10-AQ9,IF(A10&lt;'Données projet'!$A$62,$AF$205^A10,IF(A10='Données projet'!$A$62,'Données projet'!$B$62,AI9+AH10-AQ9)))</f>
        <v>5.3929633792034757</v>
      </c>
      <c r="AJ10" s="14">
        <f>AI10*VLOOKUP('Données projet'!$B$10,Paramètres!$A$1:$I$89,3,0)*VLOOKUP('Données projet'!$B$10,Paramètres!$A$1:$I$89,5,0)</f>
        <v>4.711292808072157</v>
      </c>
      <c r="AK10" s="14">
        <f t="shared" si="35"/>
        <v>1.8127530905190552</v>
      </c>
      <c r="AL10" s="22">
        <f t="shared" si="4"/>
        <v>11.362713273379695</v>
      </c>
      <c r="AM10" s="60">
        <f t="shared" si="5"/>
        <v>276.58493549560194</v>
      </c>
      <c r="AN10" s="60">
        <f ca="1">AVERAGE(OFFSET($AM$3,0,0,'Données projet'!$E$10+1,1))-AVERAGE(OFFSET($H$3,0,0,'Données projet'!$E$10+1,1))</f>
        <v>325.06345339097095</v>
      </c>
      <c r="AO10" s="60">
        <f t="shared" si="36"/>
        <v>318.90379036810754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0" t="e">
        <f t="shared" si="8"/>
        <v>#N/A</v>
      </c>
      <c r="BI10" s="60" t="e">
        <f ca="1">AVERAGE(OFFSET($BH$3,0,0,'Données projet'!$E$11+1,1))-AVERAGE(OFFSET($H$3,0,0,'Données projet'!$E$11+1,1))</f>
        <v>#N/A</v>
      </c>
      <c r="BJ10" s="60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0" t="e">
        <f t="shared" si="11"/>
        <v>#N/A</v>
      </c>
      <c r="CD10" s="60" t="e">
        <f ca="1">AVERAGE(OFFSET($CC$3,0,0,'Données projet'!$E$12+1,1))-AVERAGE(OFFSET($H$3,0,0,'Données projet'!$E$12+1,1))</f>
        <v>#N/A</v>
      </c>
      <c r="CE10" s="60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3.2318401872034968</v>
      </c>
      <c r="CV10" s="14">
        <f t="shared" si="41"/>
        <v>1.2992776749758848</v>
      </c>
      <c r="CW10" s="22">
        <f t="shared" si="13"/>
        <v>7.8916969432957558</v>
      </c>
      <c r="CX10" s="60">
        <f t="shared" si="14"/>
        <v>273.11391916551798</v>
      </c>
      <c r="CY10" s="60">
        <f ca="1">AVERAGE(OFFSET($CX$3,0,0,'Données projet'!$E$13+1,1))-AVERAGE(OFFSET($H$3,0,0,'Données projet'!$E$13+1,1))</f>
        <v>415.50509041799154</v>
      </c>
      <c r="CZ10" s="60">
        <f t="shared" si="42"/>
        <v>239.93573789765657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3.7512430744326299</v>
      </c>
      <c r="DQ10" s="14">
        <f t="shared" si="43"/>
        <v>1.4821538192545303</v>
      </c>
      <c r="DR10" s="22">
        <f t="shared" si="16"/>
        <v>9.1148329231718037</v>
      </c>
      <c r="DS10" s="60">
        <f t="shared" si="17"/>
        <v>274.33705514539406</v>
      </c>
      <c r="DT10" s="60">
        <f ca="1">AVERAGE(OFFSET($DS$3,0,0,'Données projet'!$E$14+1,1))-AVERAGE(OFFSET($H$3,0,0,'Données projet'!$E$14+1,1))</f>
        <v>475.47920969424894</v>
      </c>
      <c r="DU10" s="60">
        <f t="shared" si="44"/>
        <v>271.73544012419364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2.1</v>
      </c>
      <c r="EJ10" s="13">
        <f>IF('Données projet'!$A$192&gt;35,EJ9+EI10-ER9,IF(A10&lt;'Données projet'!$A$192,$EG$205^A10,IF(A10='Données projet'!$A$192,'Données projet'!$B$192,EJ9+EI10-ER9)))</f>
        <v>3.6994507637402658</v>
      </c>
      <c r="EK10" s="18">
        <f>EJ10*VLOOKUP('Données projet'!$B$15,Paramètres!$A$1:$I$89,3,0)*VLOOKUP('Données projet'!$B$15,Paramètres!$A$1:$I$89,5,0)</f>
        <v>3.3472630510321921</v>
      </c>
      <c r="EL10" s="14">
        <f t="shared" si="45"/>
        <v>1.34019505338418</v>
      </c>
      <c r="EM10" s="22">
        <f t="shared" si="19"/>
        <v>8.1639895318585136</v>
      </c>
      <c r="EN10" s="60">
        <f t="shared" si="20"/>
        <v>273.38621175408076</v>
      </c>
      <c r="EO10" s="60">
        <f ca="1">AVERAGE(OFFSET($EN$3,0,0,'Données projet'!$E$15+1,1))-AVERAGE(OFFSET($H$3,0,0,'Données projet'!$E$15+1,1))</f>
        <v>428.8489304403459</v>
      </c>
      <c r="EP10" s="60">
        <f t="shared" si="46"/>
        <v>247.01165577562966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2.1</v>
      </c>
      <c r="FE10" s="13">
        <f>IF('Données projet'!$A$218&gt;35,FE9+FD10-FM9,IF(A10&lt;'Données projet'!$A$218,$FB$205^A10,IF(A10='Données projet'!$A$218,'Données projet'!$B$218,FE9+FD10-FM9)))</f>
        <v>3.6994507637402658</v>
      </c>
      <c r="FF10" s="18">
        <f>FE10*VLOOKUP('Données projet'!$B$16,Paramètres!$A$1:$I$89,3,0)*VLOOKUP('Données projet'!$B$16,Paramètres!$A$1:$I$89,5,0)</f>
        <v>3.5781087786895851</v>
      </c>
      <c r="FG10" s="14">
        <f t="shared" si="47"/>
        <v>1.4215440842341414</v>
      </c>
      <c r="FH10" s="22">
        <f t="shared" si="22"/>
        <v>8.707728736258824</v>
      </c>
      <c r="FI10" s="60">
        <f t="shared" si="23"/>
        <v>273.92995095848107</v>
      </c>
      <c r="FJ10" s="60">
        <f ca="1">AVERAGE(OFFSET($FI$3,0,0,'Données projet'!$E$16+1,1))-AVERAGE(OFFSET($H$3,0,0,'Données projet'!$E$16+1,1))</f>
        <v>455.50822833641354</v>
      </c>
      <c r="FK10" s="60">
        <f t="shared" si="48"/>
        <v>261.14722581688039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0</v>
      </c>
      <c r="N11" s="14">
        <f>IF('Données projet'!$A$36&gt;35,N10+M11-V10,IF(A11&lt;'Données projet'!$A$36,$K$205^A11,IF(A11='Données projet'!$A$36,'Données projet'!$B$36,N10+M11-V10)))</f>
        <v>0</v>
      </c>
      <c r="O11" s="14" t="e">
        <f>N11*VLOOKUP('Données projet'!$B$9,Paramètres!$A$1:$I$89,3,0)*VLOOKUP('Données projet'!$B$9,Paramètres!$A$1:$I$89,5,0)</f>
        <v>#N/A</v>
      </c>
      <c r="P11" s="14" t="e">
        <f t="shared" si="33"/>
        <v>#N/A</v>
      </c>
      <c r="Q11" s="22" t="e">
        <f t="shared" si="2"/>
        <v>#N/A</v>
      </c>
      <c r="R11" s="60" t="e">
        <f t="shared" si="0"/>
        <v>#N/A</v>
      </c>
      <c r="S11" s="60" t="e">
        <f ca="1">AVERAGE(OFFSET($R$3,0,0,'Données projet'!$E$9+1,1))-AVERAGE(OFFSET($H$3,0,0,'Données projet'!$E$9+1,1))</f>
        <v>#N/A</v>
      </c>
      <c r="T11" s="60" t="e">
        <f t="shared" si="34"/>
        <v>#N/A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 t="e">
        <f>EXP(-LN(2)/35)*Z10+(1-EXP(-LN(2)/35))/(LN(2)/35)*V11*W11*VLOOKUP('Données projet'!$B$9,Paramètres!$A$1:$I$89,3,0)*0.475*44/12</f>
        <v>#N/A</v>
      </c>
      <c r="AA11" s="23" t="e">
        <f>EXP(-LN(2)/25)*AA10+(1-EXP(-LN(2)/25))/(LN(2)/25)*Calculateur!V11*Calculateur!X11*VLOOKUP('Données projet'!$B$9,Paramètres!$A$1:$I$89,3,0)*0.475*44/12</f>
        <v>#N/A</v>
      </c>
      <c r="AB11" s="23" t="e">
        <f>EXP(-LN(2)/2)*AB10+(1-EXP(-LN(2)/2))/(LN(2)/2)*V11*Y11*VLOOKUP('Données projet'!$B$9,Paramètres!$A$1:$I$89,3,0)*0.475*44/12</f>
        <v>#N/A</v>
      </c>
      <c r="AC11" s="24" t="e">
        <f t="shared" si="3"/>
        <v>#N/A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2.4666666666666668</v>
      </c>
      <c r="AI11" s="14">
        <f>IF('Données projet'!$A$62&gt;35,AI10+AH11-AQ10,IF(A11&lt;'Données projet'!$A$62,$AF$205^A11,IF(A11='Données projet'!$A$62,'Données projet'!$B$62,AI10+AH11-AQ10)))</f>
        <v>6.8607919984549888</v>
      </c>
      <c r="AJ11" s="14">
        <f>AI11*VLOOKUP('Données projet'!$B$10,Paramètres!$A$1:$I$89,3,0)*VLOOKUP('Données projet'!$B$10,Paramètres!$A$1:$I$89,5,0)</f>
        <v>5.9935878898502795</v>
      </c>
      <c r="AK11" s="14">
        <f t="shared" si="35"/>
        <v>2.2424160357272664</v>
      </c>
      <c r="AL11" s="22">
        <f t="shared" si="4"/>
        <v>14.344373503714223</v>
      </c>
      <c r="AM11" s="60">
        <f t="shared" si="5"/>
        <v>280.78881794815868</v>
      </c>
      <c r="AN11" s="60">
        <f ca="1">AVERAGE(OFFSET($AM$3,0,0,'Données projet'!$E$10+1,1))-AVERAGE(OFFSET($H$3,0,0,'Données projet'!$E$10+1,1))</f>
        <v>325.06345339097095</v>
      </c>
      <c r="AO11" s="60">
        <f t="shared" si="36"/>
        <v>318.90379036810754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0" t="e">
        <f t="shared" si="8"/>
        <v>#N/A</v>
      </c>
      <c r="BI11" s="60" t="e">
        <f ca="1">AVERAGE(OFFSET($BH$3,0,0,'Données projet'!$E$11+1,1))-AVERAGE(OFFSET($H$3,0,0,'Données projet'!$E$11+1,1))</f>
        <v>#N/A</v>
      </c>
      <c r="BJ11" s="60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0" t="e">
        <f t="shared" si="11"/>
        <v>#N/A</v>
      </c>
      <c r="CD11" s="60" t="e">
        <f ca="1">AVERAGE(OFFSET($CC$3,0,0,'Données projet'!$E$12+1,1))-AVERAGE(OFFSET($H$3,0,0,'Données projet'!$E$12+1,1))</f>
        <v>#N/A</v>
      </c>
      <c r="CE11" s="60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3.8959407327127313</v>
      </c>
      <c r="CV11" s="14">
        <f t="shared" si="41"/>
        <v>1.5325587423396034</v>
      </c>
      <c r="CW11" s="22">
        <f t="shared" si="13"/>
        <v>9.4546365857161501</v>
      </c>
      <c r="CX11" s="60">
        <f t="shared" si="14"/>
        <v>275.89908103016063</v>
      </c>
      <c r="CY11" s="60">
        <f ca="1">AVERAGE(OFFSET($CX$3,0,0,'Données projet'!$E$13+1,1))-AVERAGE(OFFSET($H$3,0,0,'Données projet'!$E$13+1,1))</f>
        <v>415.50509041799154</v>
      </c>
      <c r="CZ11" s="60">
        <f t="shared" si="42"/>
        <v>239.93573789765657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4.5220740647558486</v>
      </c>
      <c r="DQ11" s="14">
        <f t="shared" si="43"/>
        <v>1.7482697016499746</v>
      </c>
      <c r="DR11" s="22">
        <f t="shared" si="16"/>
        <v>10.92084872649014</v>
      </c>
      <c r="DS11" s="60">
        <f t="shared" si="17"/>
        <v>277.36529317093459</v>
      </c>
      <c r="DT11" s="60">
        <f ca="1">AVERAGE(OFFSET($DS$3,0,0,'Données projet'!$E$14+1,1))-AVERAGE(OFFSET($H$3,0,0,'Données projet'!$E$14+1,1))</f>
        <v>475.47920969424894</v>
      </c>
      <c r="DU11" s="60">
        <f t="shared" si="44"/>
        <v>271.73544012419364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2.1</v>
      </c>
      <c r="EJ11" s="13">
        <f>IF('Données projet'!$A$192&gt;35,EJ10+EI11-ER10,IF(A11&lt;'Données projet'!$A$192,$EG$205^A11,IF(A11='Données projet'!$A$192,'Données projet'!$B$192,EJ10+EI11-ER10)))</f>
        <v>4.4596391171162209</v>
      </c>
      <c r="EK11" s="18">
        <f>EJ11*VLOOKUP('Données projet'!$B$15,Paramètres!$A$1:$I$89,3,0)*VLOOKUP('Données projet'!$B$15,Paramètres!$A$1:$I$89,5,0)</f>
        <v>4.0350814731667564</v>
      </c>
      <c r="EL11" s="14">
        <f t="shared" si="45"/>
        <v>1.5808227025391921</v>
      </c>
      <c r="EM11" s="22">
        <f t="shared" si="19"/>
        <v>9.7810331060211926</v>
      </c>
      <c r="EN11" s="60">
        <f t="shared" si="20"/>
        <v>276.22547755046565</v>
      </c>
      <c r="EO11" s="60">
        <f ca="1">AVERAGE(OFFSET($EN$3,0,0,'Données projet'!$E$15+1,1))-AVERAGE(OFFSET($H$3,0,0,'Données projet'!$E$15+1,1))</f>
        <v>428.8489304403459</v>
      </c>
      <c r="EP11" s="60">
        <f t="shared" si="46"/>
        <v>247.01165577562966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2.1</v>
      </c>
      <c r="FE11" s="13">
        <f>IF('Données projet'!$A$218&gt;35,FE10+FD11-FM10,IF(A11&lt;'Données projet'!$A$218,$FB$205^A11,IF(A11='Données projet'!$A$218,'Données projet'!$B$218,FE10+FD11-FM10)))</f>
        <v>4.4596391171162209</v>
      </c>
      <c r="FF11" s="18">
        <f>FE11*VLOOKUP('Données projet'!$B$16,Paramètres!$A$1:$I$89,3,0)*VLOOKUP('Données projet'!$B$16,Paramètres!$A$1:$I$89,5,0)</f>
        <v>4.3133629540748091</v>
      </c>
      <c r="FG11" s="14">
        <f t="shared" si="47"/>
        <v>1.6767776864592203</v>
      </c>
      <c r="FH11" s="22">
        <f t="shared" si="22"/>
        <v>10.432828282263435</v>
      </c>
      <c r="FI11" s="60">
        <f t="shared" si="23"/>
        <v>276.87727272670787</v>
      </c>
      <c r="FJ11" s="60">
        <f ca="1">AVERAGE(OFFSET($FI$3,0,0,'Données projet'!$E$16+1,1))-AVERAGE(OFFSET($H$3,0,0,'Données projet'!$E$16+1,1))</f>
        <v>455.50822833641354</v>
      </c>
      <c r="FK11" s="60">
        <f t="shared" si="48"/>
        <v>261.14722581688039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0</v>
      </c>
      <c r="N12" s="14">
        <f>IF('Données projet'!$A$36&gt;35,N11+M12-V11,IF(A12&lt;'Données projet'!$A$36,$K$205^A12,IF(A12='Données projet'!$A$36,'Données projet'!$B$36,N11+M12-V11)))</f>
        <v>0</v>
      </c>
      <c r="O12" s="14" t="e">
        <f>N12*VLOOKUP('Données projet'!$B$9,Paramètres!$A$1:$I$89,3,0)*VLOOKUP('Données projet'!$B$9,Paramètres!$A$1:$I$89,5,0)</f>
        <v>#N/A</v>
      </c>
      <c r="P12" s="14" t="e">
        <f t="shared" si="33"/>
        <v>#N/A</v>
      </c>
      <c r="Q12" s="22" t="e">
        <f t="shared" si="2"/>
        <v>#N/A</v>
      </c>
      <c r="R12" s="60" t="e">
        <f t="shared" si="0"/>
        <v>#N/A</v>
      </c>
      <c r="S12" s="60" t="e">
        <f ca="1">AVERAGE(OFFSET($R$3,0,0,'Données projet'!$E$9+1,1))-AVERAGE(OFFSET($H$3,0,0,'Données projet'!$E$9+1,1))</f>
        <v>#N/A</v>
      </c>
      <c r="T12" s="60" t="e">
        <f t="shared" si="34"/>
        <v>#N/A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 t="e">
        <f>EXP(-LN(2)/35)*Z11+(1-EXP(-LN(2)/35))/(LN(2)/35)*V12*W12*VLOOKUP('Données projet'!$B$9,Paramètres!$A$1:$I$89,3,0)*0.475*44/12</f>
        <v>#N/A</v>
      </c>
      <c r="AA12" s="23" t="e">
        <f>EXP(-LN(2)/25)*AA11+(1-EXP(-LN(2)/25))/(LN(2)/25)*Calculateur!V12*Calculateur!X12*VLOOKUP('Données projet'!$B$9,Paramètres!$A$1:$I$89,3,0)*0.475*44/12</f>
        <v>#N/A</v>
      </c>
      <c r="AB12" s="23" t="e">
        <f>EXP(-LN(2)/2)*AB11+(1-EXP(-LN(2)/2))/(LN(2)/2)*V12*Y12*VLOOKUP('Données projet'!$B$9,Paramètres!$A$1:$I$89,3,0)*0.475*44/12</f>
        <v>#N/A</v>
      </c>
      <c r="AC12" s="24" t="e">
        <f t="shared" si="3"/>
        <v>#N/A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2.4666666666666668</v>
      </c>
      <c r="AI12" s="14">
        <f>IF('Données projet'!$A$62&gt;35,AI11+AH12-AQ11,IF(A12&lt;'Données projet'!$A$62,$AF$205^A12,IF(A12='Données projet'!$A$62,'Données projet'!$B$62,AI11+AH12-AQ11)))</f>
        <v>8.7281265486761299</v>
      </c>
      <c r="AJ12" s="14">
        <f>AI12*VLOOKUP('Données projet'!$B$10,Paramètres!$A$1:$I$89,3,0)*VLOOKUP('Données projet'!$B$10,Paramètres!$A$1:$I$89,5,0)</f>
        <v>7.6248913529234681</v>
      </c>
      <c r="AK12" s="14">
        <f t="shared" si="35"/>
        <v>2.7739186895259813</v>
      </c>
      <c r="AL12" s="22">
        <f t="shared" si="4"/>
        <v>18.111260823932788</v>
      </c>
      <c r="AM12" s="60">
        <f t="shared" si="5"/>
        <v>285.7779274905995</v>
      </c>
      <c r="AN12" s="60">
        <f ca="1">AVERAGE(OFFSET($AM$3,0,0,'Données projet'!$E$10+1,1))-AVERAGE(OFFSET($H$3,0,0,'Données projet'!$E$10+1,1))</f>
        <v>325.06345339097095</v>
      </c>
      <c r="AO12" s="60">
        <f t="shared" si="36"/>
        <v>318.90379036810754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0" t="e">
        <f t="shared" si="8"/>
        <v>#N/A</v>
      </c>
      <c r="BI12" s="60" t="e">
        <f ca="1">AVERAGE(OFFSET($BH$3,0,0,'Données projet'!$E$11+1,1))-AVERAGE(OFFSET($H$3,0,0,'Données projet'!$E$11+1,1))</f>
        <v>#N/A</v>
      </c>
      <c r="BJ12" s="60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0" t="e">
        <f t="shared" si="11"/>
        <v>#N/A</v>
      </c>
      <c r="CD12" s="60" t="e">
        <f ca="1">AVERAGE(OFFSET($CC$3,0,0,'Données projet'!$E$12+1,1))-AVERAGE(OFFSET($H$3,0,0,'Données projet'!$E$12+1,1))</f>
        <v>#N/A</v>
      </c>
      <c r="CE12" s="60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4.6965051839224783</v>
      </c>
      <c r="CV12" s="14">
        <f t="shared" si="41"/>
        <v>1.8077246642178633</v>
      </c>
      <c r="CW12" s="22">
        <f t="shared" si="13"/>
        <v>11.328200318844425</v>
      </c>
      <c r="CX12" s="60">
        <f t="shared" si="14"/>
        <v>278.99486698551112</v>
      </c>
      <c r="CY12" s="60">
        <f ca="1">AVERAGE(OFFSET($CX$3,0,0,'Données projet'!$E$13+1,1))-AVERAGE(OFFSET($H$3,0,0,'Données projet'!$E$13+1,1))</f>
        <v>415.50509041799154</v>
      </c>
      <c r="CZ12" s="60">
        <f t="shared" si="42"/>
        <v>239.93573789765657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5.4513006599100189</v>
      </c>
      <c r="DQ12" s="14">
        <f t="shared" si="43"/>
        <v>2.062165822468125</v>
      </c>
      <c r="DR12" s="22">
        <f t="shared" si="16"/>
        <v>13.085954123475267</v>
      </c>
      <c r="DS12" s="60">
        <f t="shared" si="17"/>
        <v>280.75262079014198</v>
      </c>
      <c r="DT12" s="60">
        <f ca="1">AVERAGE(OFFSET($DS$3,0,0,'Données projet'!$E$14+1,1))-AVERAGE(OFFSET($H$3,0,0,'Données projet'!$E$14+1,1))</f>
        <v>475.47920969424894</v>
      </c>
      <c r="DU12" s="60">
        <f t="shared" si="44"/>
        <v>271.73544012419364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2.1</v>
      </c>
      <c r="EJ12" s="13">
        <f>IF('Données projet'!$A$192&gt;35,EJ11+EI12-ER11,IF(A12&lt;'Données projet'!$A$192,$EG$205^A12,IF(A12='Données projet'!$A$192,'Données projet'!$B$192,EJ11+EI12-ER11)))</f>
        <v>5.3760361537574148</v>
      </c>
      <c r="EK12" s="18">
        <f>EJ12*VLOOKUP('Données projet'!$B$15,Paramètres!$A$1:$I$89,3,0)*VLOOKUP('Données projet'!$B$15,Paramètres!$A$1:$I$89,5,0)</f>
        <v>4.8642375119197085</v>
      </c>
      <c r="EL12" s="14">
        <f t="shared" si="45"/>
        <v>1.8646542609995393</v>
      </c>
      <c r="EM12" s="22">
        <f t="shared" si="19"/>
        <v>11.719486504501022</v>
      </c>
      <c r="EN12" s="60">
        <f t="shared" si="20"/>
        <v>279.38615317116773</v>
      </c>
      <c r="EO12" s="60">
        <f ca="1">AVERAGE(OFFSET($EN$3,0,0,'Données projet'!$E$15+1,1))-AVERAGE(OFFSET($H$3,0,0,'Données projet'!$E$15+1,1))</f>
        <v>428.8489304403459</v>
      </c>
      <c r="EP12" s="60">
        <f t="shared" si="46"/>
        <v>247.01165577562966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2.1</v>
      </c>
      <c r="FE12" s="13">
        <f>IF('Données projet'!$A$218&gt;35,FE11+FD12-FM11,IF(A12&lt;'Données projet'!$A$218,$FB$205^A12,IF(A12='Données projet'!$A$218,'Données projet'!$B$218,FE11+FD12-FM11)))</f>
        <v>5.3760361537574148</v>
      </c>
      <c r="FF12" s="18">
        <f>FE12*VLOOKUP('Données projet'!$B$16,Paramètres!$A$1:$I$89,3,0)*VLOOKUP('Données projet'!$B$16,Paramètres!$A$1:$I$89,5,0)</f>
        <v>5.1997021679141717</v>
      </c>
      <c r="FG12" s="14">
        <f t="shared" si="47"/>
        <v>1.977837649208241</v>
      </c>
      <c r="FH12" s="22">
        <f t="shared" si="22"/>
        <v>12.500881848154869</v>
      </c>
      <c r="FI12" s="60">
        <f t="shared" si="23"/>
        <v>280.16754851482153</v>
      </c>
      <c r="FJ12" s="60">
        <f ca="1">AVERAGE(OFFSET($FI$3,0,0,'Données projet'!$E$16+1,1))-AVERAGE(OFFSET($H$3,0,0,'Données projet'!$E$16+1,1))</f>
        <v>455.50822833641354</v>
      </c>
      <c r="FK12" s="60">
        <f t="shared" si="48"/>
        <v>261.14722581688039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0</v>
      </c>
      <c r="N13" s="14">
        <f>IF('Données projet'!$A$36&gt;35,N12+M13-V12,IF(A13&lt;'Données projet'!$A$36,$K$205^A13,IF(A13='Données projet'!$A$36,'Données projet'!$B$36,N12+M13-V12)))</f>
        <v>0</v>
      </c>
      <c r="O13" s="14" t="e">
        <f>N13*VLOOKUP('Données projet'!$B$9,Paramètres!$A$1:$I$89,3,0)*VLOOKUP('Données projet'!$B$9,Paramètres!$A$1:$I$89,5,0)</f>
        <v>#N/A</v>
      </c>
      <c r="P13" s="14" t="e">
        <f t="shared" si="33"/>
        <v>#N/A</v>
      </c>
      <c r="Q13" s="22" t="e">
        <f t="shared" si="2"/>
        <v>#N/A</v>
      </c>
      <c r="R13" s="60" t="e">
        <f t="shared" si="0"/>
        <v>#N/A</v>
      </c>
      <c r="S13" s="60" t="e">
        <f ca="1">AVERAGE(OFFSET($R$3,0,0,'Données projet'!$E$9+1,1))-AVERAGE(OFFSET($H$3,0,0,'Données projet'!$E$9+1,1))</f>
        <v>#N/A</v>
      </c>
      <c r="T13" s="60" t="e">
        <f t="shared" si="34"/>
        <v>#N/A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 t="e">
        <f>EXP(-LN(2)/35)*Z12+(1-EXP(-LN(2)/35))/(LN(2)/35)*V13*W13*VLOOKUP('Données projet'!$B$9,Paramètres!$A$1:$I$89,3,0)*0.475*44/12</f>
        <v>#N/A</v>
      </c>
      <c r="AA13" s="23" t="e">
        <f>EXP(-LN(2)/25)*AA12+(1-EXP(-LN(2)/25))/(LN(2)/25)*Calculateur!V13*Calculateur!X13*VLOOKUP('Données projet'!$B$9,Paramètres!$A$1:$I$89,3,0)*0.475*44/12</f>
        <v>#N/A</v>
      </c>
      <c r="AB13" s="23" t="e">
        <f>EXP(-LN(2)/2)*AB12+(1-EXP(-LN(2)/2))/(LN(2)/2)*V13*Y13*VLOOKUP('Données projet'!$B$9,Paramètres!$A$1:$I$89,3,0)*0.475*44/12</f>
        <v>#N/A</v>
      </c>
      <c r="AC13" s="24" t="e">
        <f t="shared" si="3"/>
        <v>#N/A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2.4666666666666668</v>
      </c>
      <c r="AI13" s="14">
        <f>IF('Données projet'!$A$62&gt;35,AI12+AH13-AQ12,IF(A13&lt;'Données projet'!$A$62,$AF$205^A13,IF(A13='Données projet'!$A$62,'Données projet'!$B$62,AI12+AH13-AQ12)))</f>
        <v>11.103702468586782</v>
      </c>
      <c r="AJ13" s="14">
        <f>AI13*VLOOKUP('Données projet'!$B$10,Paramètres!$A$1:$I$89,3,0)*VLOOKUP('Données projet'!$B$10,Paramètres!$A$1:$I$89,5,0)</f>
        <v>9.7001944765574137</v>
      </c>
      <c r="AK13" s="14">
        <f t="shared" si="35"/>
        <v>3.4313993360317685</v>
      </c>
      <c r="AL13" s="22">
        <f t="shared" si="4"/>
        <v>22.870859223592827</v>
      </c>
      <c r="AM13" s="60">
        <f t="shared" si="5"/>
        <v>291.7597481124817</v>
      </c>
      <c r="AN13" s="60">
        <f ca="1">AVERAGE(OFFSET($AM$3,0,0,'Données projet'!$E$10+1,1))-AVERAGE(OFFSET($H$3,0,0,'Données projet'!$E$10+1,1))</f>
        <v>325.06345339097095</v>
      </c>
      <c r="AO13" s="60">
        <f t="shared" si="36"/>
        <v>318.90379036810754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0" t="e">
        <f t="shared" si="8"/>
        <v>#N/A</v>
      </c>
      <c r="BI13" s="60" t="e">
        <f ca="1">AVERAGE(OFFSET($BH$3,0,0,'Données projet'!$E$11+1,1))-AVERAGE(OFFSET($H$3,0,0,'Données projet'!$E$11+1,1))</f>
        <v>#N/A</v>
      </c>
      <c r="BJ13" s="60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0" t="e">
        <f t="shared" si="11"/>
        <v>#N/A</v>
      </c>
      <c r="CD13" s="60" t="e">
        <f ca="1">AVERAGE(OFFSET($CC$3,0,0,'Données projet'!$E$12+1,1))-AVERAGE(OFFSET($H$3,0,0,'Données projet'!$E$12+1,1))</f>
        <v>#N/A</v>
      </c>
      <c r="CE13" s="60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5.6615750741291127</v>
      </c>
      <c r="CV13" s="14">
        <f t="shared" si="41"/>
        <v>2.1322957295802305</v>
      </c>
      <c r="CW13" s="22">
        <f t="shared" si="13"/>
        <v>13.574324983127106</v>
      </c>
      <c r="CX13" s="60">
        <f t="shared" si="14"/>
        <v>282.46321387201596</v>
      </c>
      <c r="CY13" s="60">
        <f ca="1">AVERAGE(OFFSET($CX$3,0,0,'Données projet'!$E$13+1,1))-AVERAGE(OFFSET($H$3,0,0,'Données projet'!$E$13+1,1))</f>
        <v>415.50509041799154</v>
      </c>
      <c r="CZ13" s="60">
        <f t="shared" si="42"/>
        <v>239.93573789765657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6.5714710681855761</v>
      </c>
      <c r="DQ13" s="14">
        <f t="shared" si="43"/>
        <v>2.4324209676242781</v>
      </c>
      <c r="DR13" s="22">
        <f t="shared" si="16"/>
        <v>15.681778629035497</v>
      </c>
      <c r="DS13" s="60">
        <f t="shared" si="17"/>
        <v>284.57066751792433</v>
      </c>
      <c r="DT13" s="60">
        <f ca="1">AVERAGE(OFFSET($DS$3,0,0,'Données projet'!$E$14+1,1))-AVERAGE(OFFSET($H$3,0,0,'Données projet'!$E$14+1,1))</f>
        <v>475.47920969424894</v>
      </c>
      <c r="DU13" s="60">
        <f t="shared" si="44"/>
        <v>271.73544012419364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2.1</v>
      </c>
      <c r="EJ13" s="13">
        <f>IF('Données projet'!$A$192&gt;35,EJ12+EI13-ER12,IF(A13&lt;'Données projet'!$A$192,$EG$205^A13,IF(A13='Données projet'!$A$192,'Données projet'!$B$192,EJ12+EI13-ER12)))</f>
        <v>6.4807406984078657</v>
      </c>
      <c r="EK13" s="18">
        <f>EJ13*VLOOKUP('Données projet'!$B$15,Paramètres!$A$1:$I$89,3,0)*VLOOKUP('Données projet'!$B$15,Paramètres!$A$1:$I$89,5,0)</f>
        <v>5.8637741839194364</v>
      </c>
      <c r="EL13" s="14">
        <f t="shared" si="45"/>
        <v>2.1994468497187687</v>
      </c>
      <c r="EM13" s="22">
        <f t="shared" si="19"/>
        <v>14.043443300253207</v>
      </c>
      <c r="EN13" s="60">
        <f t="shared" si="20"/>
        <v>282.93233218914207</v>
      </c>
      <c r="EO13" s="60">
        <f ca="1">AVERAGE(OFFSET($EN$3,0,0,'Données projet'!$E$15+1,1))-AVERAGE(OFFSET($H$3,0,0,'Données projet'!$E$15+1,1))</f>
        <v>428.8489304403459</v>
      </c>
      <c r="EP13" s="60">
        <f t="shared" si="46"/>
        <v>247.01165577562966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2.1</v>
      </c>
      <c r="FE13" s="13">
        <f>IF('Données projet'!$A$218&gt;35,FE12+FD13-FM12,IF(A13&lt;'Données projet'!$A$218,$FB$205^A13,IF(A13='Données projet'!$A$218,'Données projet'!$B$218,FE12+FD13-FM12)))</f>
        <v>6.4807406984078657</v>
      </c>
      <c r="FF13" s="18">
        <f>FE13*VLOOKUP('Données projet'!$B$16,Paramètres!$A$1:$I$89,3,0)*VLOOKUP('Données projet'!$B$16,Paramètres!$A$1:$I$89,5,0)</f>
        <v>6.2681724035000874</v>
      </c>
      <c r="FG13" s="14">
        <f t="shared" si="47"/>
        <v>2.3329519459947301</v>
      </c>
      <c r="FH13" s="22">
        <f t="shared" si="22"/>
        <v>14.98029157537014</v>
      </c>
      <c r="FI13" s="60">
        <f t="shared" si="23"/>
        <v>283.86918046425899</v>
      </c>
      <c r="FJ13" s="60">
        <f ca="1">AVERAGE(OFFSET($FI$3,0,0,'Données projet'!$E$16+1,1))-AVERAGE(OFFSET($H$3,0,0,'Données projet'!$E$16+1,1))</f>
        <v>455.50822833641354</v>
      </c>
      <c r="FK13" s="60">
        <f t="shared" si="48"/>
        <v>261.14722581688039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0</v>
      </c>
      <c r="N14" s="14">
        <f>IF('Données projet'!$A$36&gt;35,N13+M14-V13,IF(A14&lt;'Données projet'!$A$36,$K$205^A14,IF(A14='Données projet'!$A$36,'Données projet'!$B$36,N13+M14-V13)))</f>
        <v>0</v>
      </c>
      <c r="O14" s="14" t="e">
        <f>N14*VLOOKUP('Données projet'!$B$9,Paramètres!$A$1:$I$89,3,0)*VLOOKUP('Données projet'!$B$9,Paramètres!$A$1:$I$89,5,0)</f>
        <v>#N/A</v>
      </c>
      <c r="P14" s="14" t="e">
        <f t="shared" si="33"/>
        <v>#N/A</v>
      </c>
      <c r="Q14" s="22" t="e">
        <f t="shared" si="2"/>
        <v>#N/A</v>
      </c>
      <c r="R14" s="60" t="e">
        <f t="shared" si="0"/>
        <v>#N/A</v>
      </c>
      <c r="S14" s="60" t="e">
        <f ca="1">AVERAGE(OFFSET($R$3,0,0,'Données projet'!$E$9+1,1))-AVERAGE(OFFSET($H$3,0,0,'Données projet'!$E$9+1,1))</f>
        <v>#N/A</v>
      </c>
      <c r="T14" s="60" t="e">
        <f t="shared" si="34"/>
        <v>#N/A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 t="e">
        <f>EXP(-LN(2)/35)*Z13+(1-EXP(-LN(2)/35))/(LN(2)/35)*V14*W14*VLOOKUP('Données projet'!$B$9,Paramètres!$A$1:$I$89,3,0)*0.475*44/12</f>
        <v>#N/A</v>
      </c>
      <c r="AA14" s="23" t="e">
        <f>EXP(-LN(2)/25)*AA13+(1-EXP(-LN(2)/25))/(LN(2)/25)*Calculateur!V14*Calculateur!X14*VLOOKUP('Données projet'!$B$9,Paramètres!$A$1:$I$89,3,0)*0.475*44/12</f>
        <v>#N/A</v>
      </c>
      <c r="AB14" s="23" t="e">
        <f>EXP(-LN(2)/2)*AB13+(1-EXP(-LN(2)/2))/(LN(2)/2)*V14*Y14*VLOOKUP('Données projet'!$B$9,Paramètres!$A$1:$I$89,3,0)*0.475*44/12</f>
        <v>#N/A</v>
      </c>
      <c r="AC14" s="24" t="e">
        <f t="shared" si="3"/>
        <v>#N/A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2.4666666666666668</v>
      </c>
      <c r="AI14" s="14">
        <f>IF('Données projet'!$A$62&gt;35,AI13+AH14-AQ13,IF(A14&lt;'Données projet'!$A$62,$AF$205^A14,IF(A14='Données projet'!$A$62,'Données projet'!$B$62,AI13+AH14-AQ13)))</f>
        <v>14.125850240977657</v>
      </c>
      <c r="AJ14" s="14">
        <f>AI14*VLOOKUP('Données projet'!$B$10,Paramètres!$A$1:$I$89,3,0)*VLOOKUP('Données projet'!$B$10,Paramètres!$A$1:$I$89,5,0)</f>
        <v>12.340342770518083</v>
      </c>
      <c r="AK14" s="14">
        <f t="shared" si="35"/>
        <v>4.2447175714913801</v>
      </c>
      <c r="AL14" s="22">
        <f t="shared" si="4"/>
        <v>28.885646762333149</v>
      </c>
      <c r="AM14" s="60">
        <f t="shared" si="5"/>
        <v>298.99675787344427</v>
      </c>
      <c r="AN14" s="60">
        <f ca="1">AVERAGE(OFFSET($AM$3,0,0,'Données projet'!$E$10+1,1))-AVERAGE(OFFSET($H$3,0,0,'Données projet'!$E$10+1,1))</f>
        <v>325.06345339097095</v>
      </c>
      <c r="AO14" s="60">
        <f t="shared" si="36"/>
        <v>318.90379036810754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0" t="e">
        <f t="shared" si="8"/>
        <v>#N/A</v>
      </c>
      <c r="BI14" s="60" t="e">
        <f ca="1">AVERAGE(OFFSET($BH$3,0,0,'Données projet'!$E$11+1,1))-AVERAGE(OFFSET($H$3,0,0,'Données projet'!$E$11+1,1))</f>
        <v>#N/A</v>
      </c>
      <c r="BJ14" s="60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0" t="e">
        <f t="shared" si="11"/>
        <v>#N/A</v>
      </c>
      <c r="CD14" s="60" t="e">
        <f ca="1">AVERAGE(OFFSET($CC$3,0,0,'Données projet'!$E$12+1,1))-AVERAGE(OFFSET($H$3,0,0,'Données projet'!$E$12+1,1))</f>
        <v>#N/A</v>
      </c>
      <c r="CE14" s="60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6.8249541019838356</v>
      </c>
      <c r="CV14" s="14">
        <f t="shared" si="41"/>
        <v>2.515142470744169</v>
      </c>
      <c r="CW14" s="22">
        <f t="shared" si="13"/>
        <v>16.267334864167939</v>
      </c>
      <c r="CX14" s="60">
        <f t="shared" si="14"/>
        <v>286.37844597527908</v>
      </c>
      <c r="CY14" s="60">
        <f ca="1">AVERAGE(OFFSET($CX$3,0,0,'Données projet'!$E$13+1,1))-AVERAGE(OFFSET($H$3,0,0,'Données projet'!$E$13+1,1))</f>
        <v>415.50509041799154</v>
      </c>
      <c r="CZ14" s="60">
        <f t="shared" si="42"/>
        <v>239.93573789765657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7.921821725516951</v>
      </c>
      <c r="DQ14" s="14">
        <f t="shared" si="43"/>
        <v>2.869154216054651</v>
      </c>
      <c r="DR14" s="22">
        <f t="shared" si="16"/>
        <v>18.794283098237205</v>
      </c>
      <c r="DS14" s="60">
        <f t="shared" si="17"/>
        <v>288.90539420934834</v>
      </c>
      <c r="DT14" s="60">
        <f ca="1">AVERAGE(OFFSET($DS$3,0,0,'Données projet'!$E$14+1,1))-AVERAGE(OFFSET($H$3,0,0,'Données projet'!$E$14+1,1))</f>
        <v>475.47920969424894</v>
      </c>
      <c r="DU14" s="60">
        <f t="shared" si="44"/>
        <v>271.73544012419364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2.1</v>
      </c>
      <c r="EJ14" s="13">
        <f>IF('Données projet'!$A$192&gt;35,EJ13+EI14-ER13,IF(A14&lt;'Données projet'!$A$192,$EG$205^A14,IF(A14='Données projet'!$A$192,'Données projet'!$B$192,EJ13+EI14-ER13)))</f>
        <v>7.8124474610620815</v>
      </c>
      <c r="EK14" s="18">
        <f>EJ14*VLOOKUP('Données projet'!$B$15,Paramètres!$A$1:$I$89,3,0)*VLOOKUP('Données projet'!$B$15,Paramètres!$A$1:$I$89,5,0)</f>
        <v>7.0687024627689707</v>
      </c>
      <c r="EL14" s="14">
        <f t="shared" si="45"/>
        <v>2.5943503554083325</v>
      </c>
      <c r="EM14" s="22">
        <f t="shared" si="19"/>
        <v>16.829816991658799</v>
      </c>
      <c r="EN14" s="60">
        <f t="shared" si="20"/>
        <v>286.94092810276993</v>
      </c>
      <c r="EO14" s="60">
        <f ca="1">AVERAGE(OFFSET($EN$3,0,0,'Données projet'!$E$15+1,1))-AVERAGE(OFFSET($H$3,0,0,'Données projet'!$E$15+1,1))</f>
        <v>428.8489304403459</v>
      </c>
      <c r="EP14" s="60">
        <f t="shared" si="46"/>
        <v>247.01165577562966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2.1</v>
      </c>
      <c r="FE14" s="13">
        <f>IF('Données projet'!$A$218&gt;35,FE13+FD14-FM13,IF(A14&lt;'Données projet'!$A$218,$FB$205^A14,IF(A14='Données projet'!$A$218,'Données projet'!$B$218,FE13+FD14-FM13)))</f>
        <v>7.8124474610620815</v>
      </c>
      <c r="FF14" s="18">
        <f>FE14*VLOOKUP('Données projet'!$B$16,Paramètres!$A$1:$I$89,3,0)*VLOOKUP('Données projet'!$B$16,Paramètres!$A$1:$I$89,5,0)</f>
        <v>7.5561991843392455</v>
      </c>
      <c r="FG14" s="14">
        <f t="shared" si="47"/>
        <v>2.7518258561310041</v>
      </c>
      <c r="FH14" s="22">
        <f t="shared" si="22"/>
        <v>17.953143612152349</v>
      </c>
      <c r="FI14" s="60">
        <f t="shared" si="23"/>
        <v>288.0642547232635</v>
      </c>
      <c r="FJ14" s="60">
        <f ca="1">AVERAGE(OFFSET($FI$3,0,0,'Données projet'!$E$16+1,1))-AVERAGE(OFFSET($H$3,0,0,'Données projet'!$E$16+1,1))</f>
        <v>455.50822833641354</v>
      </c>
      <c r="FK14" s="60">
        <f t="shared" si="48"/>
        <v>261.14722581688039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0</v>
      </c>
      <c r="N15" s="14">
        <f>IF('Données projet'!$A$36&gt;35,N14+M15-V14,IF(A15&lt;'Données projet'!$A$36,$K$205^A15,IF(A15='Données projet'!$A$36,'Données projet'!$B$36,N14+M15-V14)))</f>
        <v>0</v>
      </c>
      <c r="O15" s="14" t="e">
        <f>N15*VLOOKUP('Données projet'!$B$9,Paramètres!$A$1:$I$89,3,0)*VLOOKUP('Données projet'!$B$9,Paramètres!$A$1:$I$89,5,0)</f>
        <v>#N/A</v>
      </c>
      <c r="P15" s="14" t="e">
        <f t="shared" si="33"/>
        <v>#N/A</v>
      </c>
      <c r="Q15" s="22" t="e">
        <f t="shared" si="2"/>
        <v>#N/A</v>
      </c>
      <c r="R15" s="60" t="e">
        <f t="shared" si="0"/>
        <v>#N/A</v>
      </c>
      <c r="S15" s="60" t="e">
        <f ca="1">AVERAGE(OFFSET($R$3,0,0,'Données projet'!$E$9+1,1))-AVERAGE(OFFSET($H$3,0,0,'Données projet'!$E$9+1,1))</f>
        <v>#N/A</v>
      </c>
      <c r="T15" s="60" t="e">
        <f t="shared" si="34"/>
        <v>#N/A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 t="e">
        <f>EXP(-LN(2)/35)*Z14+(1-EXP(-LN(2)/35))/(LN(2)/35)*V15*W15*VLOOKUP('Données projet'!$B$9,Paramètres!$A$1:$I$89,3,0)*0.475*44/12</f>
        <v>#N/A</v>
      </c>
      <c r="AA15" s="23" t="e">
        <f>EXP(-LN(2)/25)*AA14+(1-EXP(-LN(2)/25))/(LN(2)/25)*Calculateur!V15*Calculateur!X15*VLOOKUP('Données projet'!$B$9,Paramètres!$A$1:$I$89,3,0)*0.475*44/12</f>
        <v>#N/A</v>
      </c>
      <c r="AB15" s="23" t="e">
        <f>EXP(-LN(2)/2)*AB14+(1-EXP(-LN(2)/2))/(LN(2)/2)*V15*Y15*VLOOKUP('Données projet'!$B$9,Paramètres!$A$1:$I$89,3,0)*0.475*44/12</f>
        <v>#N/A</v>
      </c>
      <c r="AC15" s="24" t="e">
        <f t="shared" si="3"/>
        <v>#N/A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2.4666666666666668</v>
      </c>
      <c r="AI15" s="14">
        <f>IF('Données projet'!$A$62&gt;35,AI14+AH15-AQ14,IF(A15&lt;'Données projet'!$A$62,$AF$205^A15,IF(A15='Données projet'!$A$62,'Données projet'!$B$62,AI14+AH15-AQ14)))</f>
        <v>17.970550417308221</v>
      </c>
      <c r="AJ15" s="14">
        <f>AI15*VLOOKUP('Données projet'!$B$10,Paramètres!$A$1:$I$89,3,0)*VLOOKUP('Données projet'!$B$10,Paramètres!$A$1:$I$89,5,0)</f>
        <v>15.699072844560465</v>
      </c>
      <c r="AK15" s="14">
        <f t="shared" si="35"/>
        <v>5.250810382962916</v>
      </c>
      <c r="AL15" s="22">
        <f t="shared" si="4"/>
        <v>36.48771328793655</v>
      </c>
      <c r="AM15" s="60">
        <f t="shared" si="5"/>
        <v>307.82104662126989</v>
      </c>
      <c r="AN15" s="60">
        <f ca="1">AVERAGE(OFFSET($AM$3,0,0,'Données projet'!$E$10+1,1))-AVERAGE(OFFSET($H$3,0,0,'Données projet'!$E$10+1,1))</f>
        <v>325.06345339097095</v>
      </c>
      <c r="AO15" s="60">
        <f t="shared" si="36"/>
        <v>318.90379036810754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0" t="e">
        <f t="shared" si="8"/>
        <v>#N/A</v>
      </c>
      <c r="BI15" s="60" t="e">
        <f ca="1">AVERAGE(OFFSET($BH$3,0,0,'Données projet'!$E$11+1,1))-AVERAGE(OFFSET($H$3,0,0,'Données projet'!$E$11+1,1))</f>
        <v>#N/A</v>
      </c>
      <c r="BJ15" s="60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0" t="e">
        <f t="shared" si="11"/>
        <v>#N/A</v>
      </c>
      <c r="CD15" s="60" t="e">
        <f ca="1">AVERAGE(OFFSET($CC$3,0,0,'Données projet'!$E$12+1,1))-AVERAGE(OFFSET($H$3,0,0,'Données projet'!$E$12+1,1))</f>
        <v>#N/A</v>
      </c>
      <c r="CE15" s="60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8.2273921804968939</v>
      </c>
      <c r="CV15" s="14">
        <f t="shared" si="41"/>
        <v>2.9667280951626824</v>
      </c>
      <c r="CW15" s="22">
        <f t="shared" si="13"/>
        <v>19.496426146773764</v>
      </c>
      <c r="CX15" s="60">
        <f t="shared" si="14"/>
        <v>290.8297594801071</v>
      </c>
      <c r="CY15" s="60">
        <f ca="1">AVERAGE(OFFSET($CX$3,0,0,'Données projet'!$E$13+1,1))-AVERAGE(OFFSET($H$3,0,0,'Données projet'!$E$13+1,1))</f>
        <v>415.50509041799154</v>
      </c>
      <c r="CZ15" s="60">
        <f t="shared" si="42"/>
        <v>239.93573789765657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9.5496516380767513</v>
      </c>
      <c r="DQ15" s="14">
        <f t="shared" si="43"/>
        <v>3.3843014943027487</v>
      </c>
      <c r="DR15" s="22">
        <f t="shared" si="16"/>
        <v>22.526635038894295</v>
      </c>
      <c r="DS15" s="60">
        <f t="shared" si="17"/>
        <v>293.85996837222763</v>
      </c>
      <c r="DT15" s="60">
        <f ca="1">AVERAGE(OFFSET($DS$3,0,0,'Données projet'!$E$14+1,1))-AVERAGE(OFFSET($H$3,0,0,'Données projet'!$E$14+1,1))</f>
        <v>475.47920969424894</v>
      </c>
      <c r="DU15" s="60">
        <f t="shared" si="44"/>
        <v>271.73544012419364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2.1</v>
      </c>
      <c r="EJ15" s="13">
        <f>IF('Données projet'!$A$192&gt;35,EJ14+EI15-ER14,IF(A15&lt;'Données projet'!$A$192,$EG$205^A15,IF(A15='Données projet'!$A$192,'Données projet'!$B$192,EJ14+EI15-ER14)))</f>
        <v>9.4178024044149407</v>
      </c>
      <c r="EK15" s="18">
        <f>EJ15*VLOOKUP('Données projet'!$B$15,Paramètres!$A$1:$I$89,3,0)*VLOOKUP('Données projet'!$B$15,Paramètres!$A$1:$I$89,5,0)</f>
        <v>8.521227615514638</v>
      </c>
      <c r="EL15" s="14">
        <f t="shared" si="45"/>
        <v>3.0601574970852128</v>
      </c>
      <c r="EM15" s="22">
        <f t="shared" si="19"/>
        <v>20.170912404444739</v>
      </c>
      <c r="EN15" s="60">
        <f t="shared" si="20"/>
        <v>291.50424573777804</v>
      </c>
      <c r="EO15" s="60">
        <f ca="1">AVERAGE(OFFSET($EN$3,0,0,'Données projet'!$E$15+1,1))-AVERAGE(OFFSET($H$3,0,0,'Données projet'!$E$15+1,1))</f>
        <v>428.8489304403459</v>
      </c>
      <c r="EP15" s="60">
        <f t="shared" si="46"/>
        <v>247.01165577562966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2.1</v>
      </c>
      <c r="FE15" s="13">
        <f>IF('Données projet'!$A$218&gt;35,FE14+FD15-FM14,IF(A15&lt;'Données projet'!$A$218,$FB$205^A15,IF(A15='Données projet'!$A$218,'Données projet'!$B$218,FE14+FD15-FM14)))</f>
        <v>9.4178024044149407</v>
      </c>
      <c r="FF15" s="18">
        <f>FE15*VLOOKUP('Données projet'!$B$16,Paramètres!$A$1:$I$89,3,0)*VLOOKUP('Données projet'!$B$16,Paramètres!$A$1:$I$89,5,0)</f>
        <v>9.1088984855501316</v>
      </c>
      <c r="FG15" s="14">
        <f t="shared" si="47"/>
        <v>3.2459072101643005</v>
      </c>
      <c r="FH15" s="22">
        <f t="shared" si="22"/>
        <v>21.517953253369303</v>
      </c>
      <c r="FI15" s="60">
        <f t="shared" si="23"/>
        <v>292.8512865867026</v>
      </c>
      <c r="FJ15" s="60">
        <f ca="1">AVERAGE(OFFSET($FI$3,0,0,'Données projet'!$E$16+1,1))-AVERAGE(OFFSET($H$3,0,0,'Données projet'!$E$16+1,1))</f>
        <v>455.50822833641354</v>
      </c>
      <c r="FK15" s="60">
        <f t="shared" si="48"/>
        <v>261.14722581688039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0</v>
      </c>
      <c r="N16" s="14">
        <f>IF('Données projet'!$A$36&gt;35,N15+M16-V15,IF(A16&lt;'Données projet'!$A$36,$K$205^A16,IF(A16='Données projet'!$A$36,'Données projet'!$B$36,N15+M16-V15)))</f>
        <v>0</v>
      </c>
      <c r="O16" s="14" t="e">
        <f>N16*VLOOKUP('Données projet'!$B$9,Paramètres!$A$1:$I$89,3,0)*VLOOKUP('Données projet'!$B$9,Paramètres!$A$1:$I$89,5,0)</f>
        <v>#N/A</v>
      </c>
      <c r="P16" s="14" t="e">
        <f t="shared" si="33"/>
        <v>#N/A</v>
      </c>
      <c r="Q16" s="22" t="e">
        <f t="shared" si="2"/>
        <v>#N/A</v>
      </c>
      <c r="R16" s="60" t="e">
        <f t="shared" si="0"/>
        <v>#N/A</v>
      </c>
      <c r="S16" s="60" t="e">
        <f ca="1">AVERAGE(OFFSET($R$3,0,0,'Données projet'!$E$9+1,1))-AVERAGE(OFFSET($H$3,0,0,'Données projet'!$E$9+1,1))</f>
        <v>#N/A</v>
      </c>
      <c r="T16" s="60" t="e">
        <f t="shared" si="34"/>
        <v>#N/A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 t="e">
        <f>EXP(-LN(2)/35)*Z15+(1-EXP(-LN(2)/35))/(LN(2)/35)*V16*W16*VLOOKUP('Données projet'!$B$9,Paramètres!$A$1:$I$89,3,0)*0.475*44/12</f>
        <v>#N/A</v>
      </c>
      <c r="AA16" s="23" t="e">
        <f>EXP(-LN(2)/25)*AA15+(1-EXP(-LN(2)/25))/(LN(2)/25)*Calculateur!V16*Calculateur!X16*VLOOKUP('Données projet'!$B$9,Paramètres!$A$1:$I$89,3,0)*0.475*44/12</f>
        <v>#N/A</v>
      </c>
      <c r="AB16" s="23" t="e">
        <f>EXP(-LN(2)/2)*AB15+(1-EXP(-LN(2)/2))/(LN(2)/2)*V16*Y16*VLOOKUP('Données projet'!$B$9,Paramètres!$A$1:$I$89,3,0)*0.475*44/12</f>
        <v>#N/A</v>
      </c>
      <c r="AC16" s="24" t="e">
        <f t="shared" si="3"/>
        <v>#N/A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2.4666666666666668</v>
      </c>
      <c r="AI16" s="14">
        <f>IF('Données projet'!$A$62&gt;35,AI15+AH16-AQ15,IF(A16&lt;'Données projet'!$A$62,$AF$205^A16,IF(A16='Données projet'!$A$62,'Données projet'!$B$62,AI15+AH16-AQ15)))</f>
        <v>22.86168101684942</v>
      </c>
      <c r="AJ16" s="14">
        <f>AI16*VLOOKUP('Données projet'!$B$10,Paramètres!$A$1:$I$89,3,0)*VLOOKUP('Données projet'!$B$10,Paramètres!$A$1:$I$89,5,0)</f>
        <v>19.971964536319657</v>
      </c>
      <c r="AK16" s="14">
        <f t="shared" si="35"/>
        <v>6.4953696479137237</v>
      </c>
      <c r="AL16" s="22">
        <f t="shared" si="4"/>
        <v>46.097273704206465</v>
      </c>
      <c r="AM16" s="60">
        <f t="shared" si="5"/>
        <v>318.65282925976203</v>
      </c>
      <c r="AN16" s="60">
        <f ca="1">AVERAGE(OFFSET($AM$3,0,0,'Données projet'!$E$10+1,1))-AVERAGE(OFFSET($H$3,0,0,'Données projet'!$E$10+1,1))</f>
        <v>325.06345339097095</v>
      </c>
      <c r="AO16" s="60">
        <f t="shared" si="36"/>
        <v>318.90379036810754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0" t="e">
        <f t="shared" si="8"/>
        <v>#N/A</v>
      </c>
      <c r="BI16" s="60" t="e">
        <f ca="1">AVERAGE(OFFSET($BH$3,0,0,'Données projet'!$E$11+1,1))-AVERAGE(OFFSET($H$3,0,0,'Données projet'!$E$11+1,1))</f>
        <v>#N/A</v>
      </c>
      <c r="BJ16" s="60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0" t="e">
        <f t="shared" si="11"/>
        <v>#N/A</v>
      </c>
      <c r="CD16" s="60" t="e">
        <f ca="1">AVERAGE(OFFSET($CC$3,0,0,'Données projet'!$E$12+1,1))-AVERAGE(OFFSET($H$3,0,0,'Données projet'!$E$12+1,1))</f>
        <v>#N/A</v>
      </c>
      <c r="CE16" s="60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9.9180127925000576</v>
      </c>
      <c r="CV16" s="14">
        <f t="shared" si="41"/>
        <v>3.4993944450484582</v>
      </c>
      <c r="CW16" s="22">
        <f t="shared" si="13"/>
        <v>23.36865093873033</v>
      </c>
      <c r="CX16" s="60">
        <f t="shared" si="14"/>
        <v>295.9242064942859</v>
      </c>
      <c r="CY16" s="60">
        <f ca="1">AVERAGE(OFFSET($CX$3,0,0,'Données projet'!$E$13+1,1))-AVERAGE(OFFSET($H$3,0,0,'Données projet'!$E$13+1,1))</f>
        <v>415.50509041799154</v>
      </c>
      <c r="CZ16" s="60">
        <f t="shared" si="42"/>
        <v>239.93573789765657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11.511979134151852</v>
      </c>
      <c r="DQ16" s="14">
        <f t="shared" si="43"/>
        <v>3.9919417855793822</v>
      </c>
      <c r="DR16" s="22">
        <f t="shared" si="16"/>
        <v>27.002662268531896</v>
      </c>
      <c r="DS16" s="60">
        <f t="shared" si="17"/>
        <v>299.55821782408742</v>
      </c>
      <c r="DT16" s="60">
        <f ca="1">AVERAGE(OFFSET($DS$3,0,0,'Données projet'!$E$14+1,1))-AVERAGE(OFFSET($H$3,0,0,'Données projet'!$E$14+1,1))</f>
        <v>475.47920969424894</v>
      </c>
      <c r="DU16" s="60">
        <f t="shared" si="44"/>
        <v>271.73544012419364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2.1</v>
      </c>
      <c r="EJ16" s="13">
        <f>IF('Données projet'!$A$192&gt;35,EJ15+EI16-ER15,IF(A16&lt;'Données projet'!$A$192,$EG$205^A16,IF(A16='Données projet'!$A$192,'Données projet'!$B$192,EJ15+EI16-ER15)))</f>
        <v>11.35303662145153</v>
      </c>
      <c r="EK16" s="18">
        <f>EJ16*VLOOKUP('Données projet'!$B$15,Paramètres!$A$1:$I$89,3,0)*VLOOKUP('Données projet'!$B$15,Paramètres!$A$1:$I$89,5,0)</f>
        <v>10.272227535089344</v>
      </c>
      <c r="EL16" s="14">
        <f t="shared" si="45"/>
        <v>3.6095987912522753</v>
      </c>
      <c r="EM16" s="22">
        <f t="shared" si="19"/>
        <v>24.177514185044988</v>
      </c>
      <c r="EN16" s="60">
        <f t="shared" si="20"/>
        <v>296.73306974060051</v>
      </c>
      <c r="EO16" s="60">
        <f ca="1">AVERAGE(OFFSET($EN$3,0,0,'Données projet'!$E$15+1,1))-AVERAGE(OFFSET($H$3,0,0,'Données projet'!$E$15+1,1))</f>
        <v>428.8489304403459</v>
      </c>
      <c r="EP16" s="60">
        <f t="shared" si="46"/>
        <v>247.01165577562966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2.1</v>
      </c>
      <c r="FE16" s="13">
        <f>IF('Données projet'!$A$218&gt;35,FE15+FD16-FM15,IF(A16&lt;'Données projet'!$A$218,$FB$205^A16,IF(A16='Données projet'!$A$218,'Données projet'!$B$218,FE15+FD16-FM15)))</f>
        <v>11.35303662145153</v>
      </c>
      <c r="FF16" s="18">
        <f>FE16*VLOOKUP('Données projet'!$B$16,Paramètres!$A$1:$I$89,3,0)*VLOOKUP('Données projet'!$B$16,Paramètres!$A$1:$I$89,5,0)</f>
        <v>10.98065702026792</v>
      </c>
      <c r="FG16" s="14">
        <f t="shared" si="47"/>
        <v>3.8286992592655618</v>
      </c>
      <c r="FH16" s="22">
        <f t="shared" si="22"/>
        <v>25.792962186854144</v>
      </c>
      <c r="FI16" s="60">
        <f t="shared" si="23"/>
        <v>298.34851774240968</v>
      </c>
      <c r="FJ16" s="60">
        <f ca="1">AVERAGE(OFFSET($FI$3,0,0,'Données projet'!$E$16+1,1))-AVERAGE(OFFSET($H$3,0,0,'Données projet'!$E$16+1,1))</f>
        <v>455.50822833641354</v>
      </c>
      <c r="FK16" s="60">
        <f t="shared" si="48"/>
        <v>261.14722581688039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0</v>
      </c>
      <c r="N17" s="14">
        <f>IF('Données projet'!$A$36&gt;35,N16+M17-V16,IF(A17&lt;'Données projet'!$A$36,$K$205^A17,IF(A17='Données projet'!$A$36,'Données projet'!$B$36,N16+M17-V16)))</f>
        <v>0</v>
      </c>
      <c r="O17" s="14" t="e">
        <f>N17*VLOOKUP('Données projet'!$B$9,Paramètres!$A$1:$I$89,3,0)*VLOOKUP('Données projet'!$B$9,Paramètres!$A$1:$I$89,5,0)</f>
        <v>#N/A</v>
      </c>
      <c r="P17" s="14" t="e">
        <f t="shared" si="33"/>
        <v>#N/A</v>
      </c>
      <c r="Q17" s="22" t="e">
        <f t="shared" si="2"/>
        <v>#N/A</v>
      </c>
      <c r="R17" s="60" t="e">
        <f t="shared" si="0"/>
        <v>#N/A</v>
      </c>
      <c r="S17" s="60" t="e">
        <f ca="1">AVERAGE(OFFSET($R$3,0,0,'Données projet'!$E$9+1,1))-AVERAGE(OFFSET($H$3,0,0,'Données projet'!$E$9+1,1))</f>
        <v>#N/A</v>
      </c>
      <c r="T17" s="60" t="e">
        <f t="shared" si="34"/>
        <v>#N/A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 t="e">
        <f>EXP(-LN(2)/35)*Z16+(1-EXP(-LN(2)/35))/(LN(2)/35)*V17*W17*VLOOKUP('Données projet'!$B$9,Paramètres!$A$1:$I$89,3,0)*0.475*44/12</f>
        <v>#N/A</v>
      </c>
      <c r="AA17" s="23" t="e">
        <f>EXP(-LN(2)/25)*AA16+(1-EXP(-LN(2)/25))/(LN(2)/25)*Calculateur!V17*Calculateur!X17*VLOOKUP('Données projet'!$B$9,Paramètres!$A$1:$I$89,3,0)*0.475*44/12</f>
        <v>#N/A</v>
      </c>
      <c r="AB17" s="23" t="e">
        <f>EXP(-LN(2)/2)*AB16+(1-EXP(-LN(2)/2))/(LN(2)/2)*V17*Y17*VLOOKUP('Données projet'!$B$9,Paramètres!$A$1:$I$89,3,0)*0.475*44/12</f>
        <v>#N/A</v>
      </c>
      <c r="AC17" s="24" t="e">
        <f t="shared" si="3"/>
        <v>#N/A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2.4666666666666668</v>
      </c>
      <c r="AI17" s="14">
        <f>IF('Données projet'!$A$62&gt;35,AI16+AH17-AQ16,IF(A17&lt;'Données projet'!$A$62,$AF$205^A17,IF(A17='Données projet'!$A$62,'Données projet'!$B$62,AI16+AH17-AQ16)))</f>
        <v>29.084054009429774</v>
      </c>
      <c r="AJ17" s="14">
        <f>AI17*VLOOKUP('Données projet'!$B$10,Paramètres!$A$1:$I$89,3,0)*VLOOKUP('Données projet'!$B$10,Paramètres!$A$1:$I$89,5,0)</f>
        <v>25.407829582637852</v>
      </c>
      <c r="AK17" s="14">
        <f t="shared" si="35"/>
        <v>8.0349172386667025</v>
      </c>
      <c r="AL17" s="22">
        <f t="shared" si="4"/>
        <v>58.246117380438761</v>
      </c>
      <c r="AM17" s="60">
        <f t="shared" si="5"/>
        <v>332.02389515821653</v>
      </c>
      <c r="AN17" s="60">
        <f ca="1">AVERAGE(OFFSET($AM$3,0,0,'Données projet'!$E$10+1,1))-AVERAGE(OFFSET($H$3,0,0,'Données projet'!$E$10+1,1))</f>
        <v>325.06345339097095</v>
      </c>
      <c r="AO17" s="60">
        <f t="shared" si="36"/>
        <v>318.90379036810754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0" t="e">
        <f t="shared" si="8"/>
        <v>#N/A</v>
      </c>
      <c r="BI17" s="60" t="e">
        <f ca="1">AVERAGE(OFFSET($BH$3,0,0,'Données projet'!$E$11+1,1))-AVERAGE(OFFSET($H$3,0,0,'Données projet'!$E$11+1,1))</f>
        <v>#N/A</v>
      </c>
      <c r="BJ17" s="60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0" t="e">
        <f t="shared" si="11"/>
        <v>#N/A</v>
      </c>
      <c r="CD17" s="60" t="e">
        <f ca="1">AVERAGE(OFFSET($CC$3,0,0,'Données projet'!$E$12+1,1))-AVERAGE(OFFSET($H$3,0,0,'Données projet'!$E$12+1,1))</f>
        <v>#N/A</v>
      </c>
      <c r="CE17" s="60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11.956033648836456</v>
      </c>
      <c r="CV17" s="14">
        <f t="shared" si="41"/>
        <v>4.1276993001155038</v>
      </c>
      <c r="CW17" s="22">
        <f t="shared" si="13"/>
        <v>28.012501552757996</v>
      </c>
      <c r="CX17" s="60">
        <f t="shared" si="14"/>
        <v>301.79027933053578</v>
      </c>
      <c r="CY17" s="60">
        <f ca="1">AVERAGE(OFFSET($CX$3,0,0,'Données projet'!$E$13+1,1))-AVERAGE(OFFSET($H$3,0,0,'Données projet'!$E$13+1,1))</f>
        <v>415.50509041799154</v>
      </c>
      <c r="CZ17" s="60">
        <f t="shared" si="42"/>
        <v>239.93573789765657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13.877539056685173</v>
      </c>
      <c r="DQ17" s="14">
        <f t="shared" si="43"/>
        <v>4.7086819085950955</v>
      </c>
      <c r="DR17" s="22">
        <f t="shared" si="16"/>
        <v>32.371001514529802</v>
      </c>
      <c r="DS17" s="60">
        <f t="shared" si="17"/>
        <v>306.14877929230755</v>
      </c>
      <c r="DT17" s="60">
        <f ca="1">AVERAGE(OFFSET($DS$3,0,0,'Données projet'!$E$14+1,1))-AVERAGE(OFFSET($H$3,0,0,'Données projet'!$E$14+1,1))</f>
        <v>475.47920969424894</v>
      </c>
      <c r="DU17" s="60">
        <f t="shared" si="44"/>
        <v>271.73544012419364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2.1</v>
      </c>
      <c r="EJ17" s="13">
        <f>IF('Données projet'!$A$192&gt;35,EJ16+EI17-ER16,IF(A17&lt;'Données projet'!$A$192,$EG$205^A17,IF(A17='Données projet'!$A$192,'Données projet'!$B$192,EJ16+EI17-ER16)))</f>
        <v>13.685935953338433</v>
      </c>
      <c r="EK17" s="18">
        <f>EJ17*VLOOKUP('Données projet'!$B$15,Paramètres!$A$1:$I$89,3,0)*VLOOKUP('Données projet'!$B$15,Paramètres!$A$1:$I$89,5,0)</f>
        <v>12.383034850580612</v>
      </c>
      <c r="EL17" s="14">
        <f t="shared" si="45"/>
        <v>4.2576904771143838</v>
      </c>
      <c r="EM17" s="22">
        <f t="shared" si="19"/>
        <v>28.982596612402116</v>
      </c>
      <c r="EN17" s="60">
        <f t="shared" si="20"/>
        <v>302.76037439017989</v>
      </c>
      <c r="EO17" s="60">
        <f ca="1">AVERAGE(OFFSET($EN$3,0,0,'Données projet'!$E$15+1,1))-AVERAGE(OFFSET($H$3,0,0,'Données projet'!$E$15+1,1))</f>
        <v>428.8489304403459</v>
      </c>
      <c r="EP17" s="60">
        <f t="shared" si="46"/>
        <v>247.01165577562966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2.1</v>
      </c>
      <c r="FE17" s="13">
        <f>IF('Données projet'!$A$218&gt;35,FE16+FD17-FM16,IF(A17&lt;'Données projet'!$A$218,$FB$205^A17,IF(A17='Données projet'!$A$218,'Données projet'!$B$218,FE16+FD17-FM16)))</f>
        <v>13.685935953338433</v>
      </c>
      <c r="FF17" s="18">
        <f>FE17*VLOOKUP('Données projet'!$B$16,Paramètres!$A$1:$I$89,3,0)*VLOOKUP('Données projet'!$B$16,Paramètres!$A$1:$I$89,5,0)</f>
        <v>13.237037254068934</v>
      </c>
      <c r="FG17" s="14">
        <f t="shared" si="47"/>
        <v>4.5161297192961545</v>
      </c>
      <c r="FH17" s="22">
        <f t="shared" si="22"/>
        <v>30.920099145277529</v>
      </c>
      <c r="FI17" s="60">
        <f t="shared" si="23"/>
        <v>304.69787692305528</v>
      </c>
      <c r="FJ17" s="60">
        <f ca="1">AVERAGE(OFFSET($FI$3,0,0,'Données projet'!$E$16+1,1))-AVERAGE(OFFSET($H$3,0,0,'Données projet'!$E$16+1,1))</f>
        <v>455.50822833641354</v>
      </c>
      <c r="FK17" s="60">
        <f t="shared" si="48"/>
        <v>261.14722581688039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0</v>
      </c>
      <c r="N18" s="14">
        <f>IF('Données projet'!$A$36&gt;35,N17+M18-V17,IF(A18&lt;'Données projet'!$A$36,$K$205^A18,IF(A18='Données projet'!$A$36,'Données projet'!$B$36,N17+M18-V17)))</f>
        <v>0</v>
      </c>
      <c r="O18" s="14" t="e">
        <f>N18*VLOOKUP('Données projet'!$B$9,Paramètres!$A$1:$I$89,3,0)*VLOOKUP('Données projet'!$B$9,Paramètres!$A$1:$I$89,5,0)</f>
        <v>#N/A</v>
      </c>
      <c r="P18" s="14" t="e">
        <f t="shared" si="33"/>
        <v>#N/A</v>
      </c>
      <c r="Q18" s="22" t="e">
        <f t="shared" si="2"/>
        <v>#N/A</v>
      </c>
      <c r="R18" s="60" t="e">
        <f t="shared" si="0"/>
        <v>#N/A</v>
      </c>
      <c r="S18" s="60" t="e">
        <f ca="1">AVERAGE(OFFSET($R$3,0,0,'Données projet'!$E$9+1,1))-AVERAGE(OFFSET($H$3,0,0,'Données projet'!$E$9+1,1))</f>
        <v>#N/A</v>
      </c>
      <c r="T18" s="60" t="e">
        <f t="shared" si="34"/>
        <v>#N/A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 t="e">
        <f>EXP(-LN(2)/35)*Z17+(1-EXP(-LN(2)/35))/(LN(2)/35)*V18*W18*VLOOKUP('Données projet'!$B$9,Paramètres!$A$1:$I$89,3,0)*0.475*44/12</f>
        <v>#N/A</v>
      </c>
      <c r="AA18" s="23" t="e">
        <f>EXP(-LN(2)/25)*AA17+(1-EXP(-LN(2)/25))/(LN(2)/25)*Calculateur!V18*Calculateur!X18*VLOOKUP('Données projet'!$B$9,Paramètres!$A$1:$I$89,3,0)*0.475*44/12</f>
        <v>#N/A</v>
      </c>
      <c r="AB18" s="23" t="e">
        <f>EXP(-LN(2)/2)*AB17+(1-EXP(-LN(2)/2))/(LN(2)/2)*V18*Y18*VLOOKUP('Données projet'!$B$9,Paramètres!$A$1:$I$89,3,0)*0.475*44/12</f>
        <v>#N/A</v>
      </c>
      <c r="AC18" s="24" t="e">
        <f t="shared" si="3"/>
        <v>#N/A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37</v>
      </c>
      <c r="AG18" s="13">
        <f>VLOOKUP(A18,'Données projet'!$A$61:$I$81,9,0)</f>
        <v>2.4666666666666668</v>
      </c>
      <c r="AH18" s="13">
        <f t="array" ref="AH18">INDEX(AG:AG,MIN(IF(ISNUMBER(AG18:AG214),ROW(AG18:AG214),"")))</f>
        <v>2.4666666666666668</v>
      </c>
      <c r="AI18" s="14">
        <f>IF('Données projet'!$A$62&gt;35,AI17+AH18-AQ17,IF(A18&lt;'Données projet'!$A$62,$AF$205^A18,IF(A18='Données projet'!$A$62,'Données projet'!$B$62,AI17+AH18-AQ17)))</f>
        <v>37</v>
      </c>
      <c r="AJ18" s="14">
        <f>AI18*VLOOKUP('Données projet'!$B$10,Paramètres!$A$1:$I$89,3,0)*VLOOKUP('Données projet'!$B$10,Paramètres!$A$1:$I$89,5,0)</f>
        <v>32.323200000000007</v>
      </c>
      <c r="AK18" s="14">
        <f t="shared" si="35"/>
        <v>9.9393719729191545</v>
      </c>
      <c r="AL18" s="22">
        <f t="shared" si="4"/>
        <v>73.607312852834198</v>
      </c>
      <c r="AM18" s="60">
        <f t="shared" si="5"/>
        <v>348.60731285283418</v>
      </c>
      <c r="AN18" s="60">
        <f ca="1">AVERAGE(OFFSET($AM$3,0,0,'Données projet'!$E$10+1,1))-AVERAGE(OFFSET($H$3,0,0,'Données projet'!$E$10+1,1))</f>
        <v>325.06345339097095</v>
      </c>
      <c r="AO18" s="60">
        <f t="shared" si="36"/>
        <v>318.90379036810754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0" t="e">
        <f t="shared" si="8"/>
        <v>#N/A</v>
      </c>
      <c r="BI18" s="60" t="e">
        <f ca="1">AVERAGE(OFFSET($BH$3,0,0,'Données projet'!$E$11+1,1))-AVERAGE(OFFSET($H$3,0,0,'Données projet'!$E$11+1,1))</f>
        <v>#N/A</v>
      </c>
      <c r="BJ18" s="60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0" t="e">
        <f t="shared" si="11"/>
        <v>#N/A</v>
      </c>
      <c r="CD18" s="60" t="e">
        <f ca="1">AVERAGE(OFFSET($CC$3,0,0,'Données projet'!$E$12+1,1))-AVERAGE(OFFSET($H$3,0,0,'Données projet'!$E$12+1,1))</f>
        <v>#N/A</v>
      </c>
      <c r="CE18" s="60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14.412840919120923</v>
      </c>
      <c r="CV18" s="14">
        <f t="shared" si="41"/>
        <v>4.8688142419275326</v>
      </c>
      <c r="CW18" s="22">
        <f t="shared" si="13"/>
        <v>33.58221607215939</v>
      </c>
      <c r="CX18" s="60">
        <f t="shared" si="14"/>
        <v>308.58221607215938</v>
      </c>
      <c r="CY18" s="60">
        <f ca="1">AVERAGE(OFFSET($CX$3,0,0,'Données projet'!$E$13+1,1))-AVERAGE(OFFSET($H$3,0,0,'Données projet'!$E$13+1,1))</f>
        <v>415.50509041799154</v>
      </c>
      <c r="CZ18" s="60">
        <f t="shared" si="42"/>
        <v>239.93573789765657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16.729190352551068</v>
      </c>
      <c r="DQ18" s="14">
        <f t="shared" si="43"/>
        <v>5.5541103821765283</v>
      </c>
      <c r="DR18" s="22">
        <f t="shared" si="16"/>
        <v>38.810082112983899</v>
      </c>
      <c r="DS18" s="60">
        <f t="shared" si="17"/>
        <v>313.81008211298388</v>
      </c>
      <c r="DT18" s="60">
        <f ca="1">AVERAGE(OFFSET($DS$3,0,0,'Données projet'!$E$14+1,1))-AVERAGE(OFFSET($H$3,0,0,'Données projet'!$E$14+1,1))</f>
        <v>475.47920969424894</v>
      </c>
      <c r="DU18" s="60">
        <f t="shared" si="44"/>
        <v>271.73544012419364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2.1</v>
      </c>
      <c r="EJ18" s="13">
        <f>IF('Données projet'!$A$192&gt;35,EJ17+EI18-ER17,IF(A18&lt;'Données projet'!$A$192,$EG$205^A18,IF(A18='Données projet'!$A$192,'Données projet'!$B$192,EJ17+EI18-ER17)))</f>
        <v>16.498215337821566</v>
      </c>
      <c r="EK18" s="18">
        <f>EJ18*VLOOKUP('Données projet'!$B$15,Paramètres!$A$1:$I$89,3,0)*VLOOKUP('Données projet'!$B$15,Paramètres!$A$1:$I$89,5,0)</f>
        <v>14.927585237660953</v>
      </c>
      <c r="EL18" s="14">
        <f t="shared" si="45"/>
        <v>5.0221449106318534</v>
      </c>
      <c r="EM18" s="22">
        <f t="shared" si="19"/>
        <v>34.745780008276633</v>
      </c>
      <c r="EN18" s="60">
        <f t="shared" si="20"/>
        <v>309.74578000827665</v>
      </c>
      <c r="EO18" s="60">
        <f ca="1">AVERAGE(OFFSET($EN$3,0,0,'Données projet'!$E$15+1,1))-AVERAGE(OFFSET($H$3,0,0,'Données projet'!$E$15+1,1))</f>
        <v>428.8489304403459</v>
      </c>
      <c r="EP18" s="60">
        <f t="shared" si="46"/>
        <v>247.01165577562966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2.1</v>
      </c>
      <c r="FE18" s="13">
        <f>IF('Données projet'!$A$218&gt;35,FE17+FD18-FM17,IF(A18&lt;'Données projet'!$A$218,$FB$205^A18,IF(A18='Données projet'!$A$218,'Données projet'!$B$218,FE17+FD18-FM17)))</f>
        <v>16.498215337821566</v>
      </c>
      <c r="FF18" s="18">
        <f>FE18*VLOOKUP('Données projet'!$B$16,Paramètres!$A$1:$I$89,3,0)*VLOOKUP('Données projet'!$B$16,Paramètres!$A$1:$I$89,5,0)</f>
        <v>15.957073874741019</v>
      </c>
      <c r="FG18" s="14">
        <f t="shared" si="47"/>
        <v>5.3269860755326848</v>
      </c>
      <c r="FH18" s="22">
        <f t="shared" si="22"/>
        <v>37.069737746726702</v>
      </c>
      <c r="FI18" s="60">
        <f t="shared" si="23"/>
        <v>312.06973774672667</v>
      </c>
      <c r="FJ18" s="60">
        <f ca="1">AVERAGE(OFFSET($FI$3,0,0,'Données projet'!$E$16+1,1))-AVERAGE(OFFSET($H$3,0,0,'Données projet'!$E$16+1,1))</f>
        <v>455.50822833641354</v>
      </c>
      <c r="FK18" s="60">
        <f t="shared" si="48"/>
        <v>261.14722581688039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0</v>
      </c>
      <c r="N19" s="14">
        <f>IF('Données projet'!$A$36&gt;35,N18+M19-V18,IF(A19&lt;'Données projet'!$A$36,$K$205^A19,IF(A19='Données projet'!$A$36,'Données projet'!$B$36,N18+M19-V18)))</f>
        <v>0</v>
      </c>
      <c r="O19" s="14" t="e">
        <f>N19*VLOOKUP('Données projet'!$B$9,Paramètres!$A$1:$I$89,3,0)*VLOOKUP('Données projet'!$B$9,Paramètres!$A$1:$I$89,5,0)</f>
        <v>#N/A</v>
      </c>
      <c r="P19" s="14" t="e">
        <f t="shared" si="33"/>
        <v>#N/A</v>
      </c>
      <c r="Q19" s="22" t="e">
        <f t="shared" si="2"/>
        <v>#N/A</v>
      </c>
      <c r="R19" s="60" t="e">
        <f t="shared" si="0"/>
        <v>#N/A</v>
      </c>
      <c r="S19" s="60" t="e">
        <f ca="1">AVERAGE(OFFSET($R$3,0,0,'Données projet'!$E$9+1,1))-AVERAGE(OFFSET($H$3,0,0,'Données projet'!$E$9+1,1))</f>
        <v>#N/A</v>
      </c>
      <c r="T19" s="60" t="e">
        <f t="shared" si="34"/>
        <v>#N/A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 t="e">
        <f>EXP(-LN(2)/35)*Z18+(1-EXP(-LN(2)/35))/(LN(2)/35)*V19*W19*VLOOKUP('Données projet'!$B$9,Paramètres!$A$1:$I$89,3,0)*0.475*44/12</f>
        <v>#N/A</v>
      </c>
      <c r="AA19" s="23" t="e">
        <f>EXP(-LN(2)/25)*AA18+(1-EXP(-LN(2)/25))/(LN(2)/25)*Calculateur!V19*Calculateur!X19*VLOOKUP('Données projet'!$B$9,Paramètres!$A$1:$I$89,3,0)*0.475*44/12</f>
        <v>#N/A</v>
      </c>
      <c r="AB19" s="23" t="e">
        <f>EXP(-LN(2)/2)*AB18+(1-EXP(-LN(2)/2))/(LN(2)/2)*V19*Y19*VLOOKUP('Données projet'!$B$9,Paramètres!$A$1:$I$89,3,0)*0.475*44/12</f>
        <v>#N/A</v>
      </c>
      <c r="AC19" s="24" t="e">
        <f t="shared" si="3"/>
        <v>#N/A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8.6</v>
      </c>
      <c r="AI19" s="14">
        <f>IF('Données projet'!$A$62&gt;35,AI18+AH19-AQ18,IF(A19&lt;'Données projet'!$A$62,$AF$205^A19,IF(A19='Données projet'!$A$62,'Données projet'!$B$62,AI18+AH19-AQ18)))</f>
        <v>45.6</v>
      </c>
      <c r="AJ19" s="14">
        <f>AI19*VLOOKUP('Données projet'!$B$10,Paramètres!$A$1:$I$89,3,0)*VLOOKUP('Données projet'!$B$10,Paramètres!$A$1:$I$89,5,0)</f>
        <v>39.836160000000007</v>
      </c>
      <c r="AK19" s="14">
        <f t="shared" si="35"/>
        <v>11.955210728675533</v>
      </c>
      <c r="AL19" s="22">
        <f t="shared" si="4"/>
        <v>90.203304019109893</v>
      </c>
      <c r="AM19" s="60">
        <f t="shared" si="5"/>
        <v>366.42552624133214</v>
      </c>
      <c r="AN19" s="60">
        <f ca="1">AVERAGE(OFFSET($AM$3,0,0,'Données projet'!$E$10+1,1))-AVERAGE(OFFSET($H$3,0,0,'Données projet'!$E$10+1,1))</f>
        <v>325.06345339097095</v>
      </c>
      <c r="AO19" s="60">
        <f t="shared" si="36"/>
        <v>318.90379036810754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0" t="e">
        <f t="shared" si="8"/>
        <v>#N/A</v>
      </c>
      <c r="BI19" s="60" t="e">
        <f ca="1">AVERAGE(OFFSET($BH$3,0,0,'Données projet'!$E$11+1,1))-AVERAGE(OFFSET($H$3,0,0,'Données projet'!$E$11+1,1))</f>
        <v>#N/A</v>
      </c>
      <c r="BJ19" s="60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0" t="e">
        <f t="shared" si="11"/>
        <v>#N/A</v>
      </c>
      <c r="CD19" s="60" t="e">
        <f ca="1">AVERAGE(OFFSET($CC$3,0,0,'Données projet'!$E$12+1,1))-AVERAGE(OFFSET($H$3,0,0,'Données projet'!$E$12+1,1))</f>
        <v>#N/A</v>
      </c>
      <c r="CE19" s="60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17.374489689572126</v>
      </c>
      <c r="CV19" s="14">
        <f t="shared" si="41"/>
        <v>5.7429939534919701</v>
      </c>
      <c r="CW19" s="22">
        <f t="shared" si="13"/>
        <v>40.262950678336637</v>
      </c>
      <c r="CX19" s="60">
        <f t="shared" si="14"/>
        <v>316.48517290055884</v>
      </c>
      <c r="CY19" s="60">
        <f ca="1">AVERAGE(OFFSET($CX$3,0,0,'Données projet'!$E$13+1,1))-AVERAGE(OFFSET($H$3,0,0,'Données projet'!$E$13+1,1))</f>
        <v>415.50509041799154</v>
      </c>
      <c r="CZ19" s="60">
        <f t="shared" si="42"/>
        <v>239.93573789765657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20.166818389681932</v>
      </c>
      <c r="DQ19" s="14">
        <f t="shared" si="43"/>
        <v>6.5513327797938032</v>
      </c>
      <c r="DR19" s="22">
        <f t="shared" si="16"/>
        <v>46.534113286836906</v>
      </c>
      <c r="DS19" s="60">
        <f t="shared" si="17"/>
        <v>322.75633550905911</v>
      </c>
      <c r="DT19" s="60">
        <f ca="1">AVERAGE(OFFSET($DS$3,0,0,'Données projet'!$E$14+1,1))-AVERAGE(OFFSET($H$3,0,0,'Données projet'!$E$14+1,1))</f>
        <v>475.47920969424894</v>
      </c>
      <c r="DU19" s="60">
        <f t="shared" si="44"/>
        <v>271.73544012419364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2.1</v>
      </c>
      <c r="EJ19" s="13">
        <f>IF('Données projet'!$A$192&gt;35,EJ18+EI19-ER18,IF(A19&lt;'Données projet'!$A$192,$EG$205^A19,IF(A19='Données projet'!$A$192,'Données projet'!$B$192,EJ18+EI19-ER18)))</f>
        <v>19.888381054913147</v>
      </c>
      <c r="EK19" s="18">
        <f>EJ19*VLOOKUP('Données projet'!$B$15,Paramètres!$A$1:$I$89,3,0)*VLOOKUP('Données projet'!$B$15,Paramètres!$A$1:$I$89,5,0)</f>
        <v>17.995007178485412</v>
      </c>
      <c r="EL19" s="14">
        <f t="shared" si="45"/>
        <v>5.9238546434872337</v>
      </c>
      <c r="EM19" s="22">
        <f t="shared" si="19"/>
        <v>41.658684339935689</v>
      </c>
      <c r="EN19" s="60">
        <f t="shared" si="20"/>
        <v>317.88090656215792</v>
      </c>
      <c r="EO19" s="60">
        <f ca="1">AVERAGE(OFFSET($EN$3,0,0,'Données projet'!$E$15+1,1))-AVERAGE(OFFSET($H$3,0,0,'Données projet'!$E$15+1,1))</f>
        <v>428.8489304403459</v>
      </c>
      <c r="EP19" s="60">
        <f t="shared" si="46"/>
        <v>247.01165577562966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2.1</v>
      </c>
      <c r="FE19" s="13">
        <f>IF('Données projet'!$A$218&gt;35,FE18+FD19-FM18,IF(A19&lt;'Données projet'!$A$218,$FB$205^A19,IF(A19='Données projet'!$A$218,'Données projet'!$B$218,FE18+FD19-FM18)))</f>
        <v>19.888381054913147</v>
      </c>
      <c r="FF19" s="18">
        <f>FE19*VLOOKUP('Données projet'!$B$16,Paramètres!$A$1:$I$89,3,0)*VLOOKUP('Données projet'!$B$16,Paramètres!$A$1:$I$89,5,0)</f>
        <v>19.236042156311996</v>
      </c>
      <c r="FG19" s="14">
        <f t="shared" si="47"/>
        <v>6.2834290449348904</v>
      </c>
      <c r="FH19" s="22">
        <f t="shared" si="22"/>
        <v>44.446412342171662</v>
      </c>
      <c r="FI19" s="60">
        <f t="shared" si="23"/>
        <v>320.66863456439387</v>
      </c>
      <c r="FJ19" s="60">
        <f ca="1">AVERAGE(OFFSET($FI$3,0,0,'Données projet'!$E$16+1,1))-AVERAGE(OFFSET($H$3,0,0,'Données projet'!$E$16+1,1))</f>
        <v>455.50822833641354</v>
      </c>
      <c r="FK19" s="60">
        <f t="shared" si="48"/>
        <v>261.14722581688039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 t="e">
        <f>N20*VLOOKUP('Données projet'!$B$9,Paramètres!$A$1:$I$89,3,0)*VLOOKUP('Données projet'!$B$9,Paramètres!$A$1:$I$89,5,0)</f>
        <v>#N/A</v>
      </c>
      <c r="P20" s="14" t="e">
        <f t="shared" si="33"/>
        <v>#N/A</v>
      </c>
      <c r="Q20" s="22" t="e">
        <f t="shared" si="2"/>
        <v>#N/A</v>
      </c>
      <c r="R20" s="60" t="e">
        <f t="shared" si="0"/>
        <v>#N/A</v>
      </c>
      <c r="S20" s="60" t="e">
        <f ca="1">AVERAGE(OFFSET($R$3,0,0,'Données projet'!$E$9+1,1))-AVERAGE(OFFSET($H$3,0,0,'Données projet'!$E$9+1,1))</f>
        <v>#N/A</v>
      </c>
      <c r="T20" s="60" t="e">
        <f t="shared" si="34"/>
        <v>#N/A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 t="e">
        <f>EXP(-LN(2)/35)*Z19+(1-EXP(-LN(2)/35))/(LN(2)/35)*V20*W20*VLOOKUP('Données projet'!$B$9,Paramètres!$A$1:$I$89,3,0)*0.475*44/12</f>
        <v>#N/A</v>
      </c>
      <c r="AA20" s="23" t="e">
        <f>EXP(-LN(2)/25)*AA19+(1-EXP(-LN(2)/25))/(LN(2)/25)*Calculateur!V20*Calculateur!X20*VLOOKUP('Données projet'!$B$9,Paramètres!$A$1:$I$89,3,0)*0.475*44/12</f>
        <v>#N/A</v>
      </c>
      <c r="AB20" s="23" t="e">
        <f>EXP(-LN(2)/2)*AB19+(1-EXP(-LN(2)/2))/(LN(2)/2)*V20*Y20*VLOOKUP('Données projet'!$B$9,Paramètres!$A$1:$I$89,3,0)*0.475*44/12</f>
        <v>#N/A</v>
      </c>
      <c r="AC20" s="24" t="e">
        <f t="shared" si="3"/>
        <v>#N/A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8.6</v>
      </c>
      <c r="AI20" s="14">
        <f>IF('Données projet'!$A$62&gt;35,AI19+AH20-AQ19,IF(A20&lt;'Données projet'!$A$62,$AF$205^A20,IF(A20='Données projet'!$A$62,'Données projet'!$B$62,AI19+AH20-AQ19)))</f>
        <v>54.2</v>
      </c>
      <c r="AJ20" s="14">
        <f>AI20*VLOOKUP('Données projet'!$B$10,Paramètres!$A$1:$I$89,3,0)*VLOOKUP('Données projet'!$B$10,Paramètres!$A$1:$I$89,5,0)</f>
        <v>47.349120000000006</v>
      </c>
      <c r="AK20" s="14">
        <f t="shared" si="35"/>
        <v>13.927003034591849</v>
      </c>
      <c r="AL20" s="22">
        <f t="shared" si="4"/>
        <v>106.72258095191415</v>
      </c>
      <c r="AM20" s="60">
        <f t="shared" si="5"/>
        <v>384.16702539635861</v>
      </c>
      <c r="AN20" s="60">
        <f ca="1">AVERAGE(OFFSET($AM$3,0,0,'Données projet'!$E$10+1,1))-AVERAGE(OFFSET($H$3,0,0,'Données projet'!$E$10+1,1))</f>
        <v>325.06345339097095</v>
      </c>
      <c r="AO20" s="60">
        <f t="shared" si="36"/>
        <v>318.90379036810754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0" t="e">
        <f t="shared" si="8"/>
        <v>#N/A</v>
      </c>
      <c r="BI20" s="60" t="e">
        <f ca="1">AVERAGE(OFFSET($BH$3,0,0,'Données projet'!$E$11+1,1))-AVERAGE(OFFSET($H$3,0,0,'Données projet'!$E$11+1,1))</f>
        <v>#N/A</v>
      </c>
      <c r="BJ20" s="60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0" t="e">
        <f t="shared" si="11"/>
        <v>#N/A</v>
      </c>
      <c r="CD20" s="60" t="e">
        <f ca="1">AVERAGE(OFFSET($CC$3,0,0,'Données projet'!$E$12+1,1))-AVERAGE(OFFSET($H$3,0,0,'Données projet'!$E$12+1,1))</f>
        <v>#N/A</v>
      </c>
      <c r="CE20" s="60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20.944718231959794</v>
      </c>
      <c r="CV20" s="14">
        <f t="shared" si="41"/>
        <v>6.7741297800648796</v>
      </c>
      <c r="CW20" s="22">
        <f t="shared" si="13"/>
        <v>48.276993620942967</v>
      </c>
      <c r="CX20" s="60">
        <f t="shared" si="14"/>
        <v>325.72143806538742</v>
      </c>
      <c r="CY20" s="60">
        <f ca="1">AVERAGE(OFFSET($CX$3,0,0,'Données projet'!$E$13+1,1))-AVERAGE(OFFSET($H$3,0,0,'Données projet'!$E$13+1,1))</f>
        <v>415.50509041799154</v>
      </c>
      <c r="CZ20" s="60">
        <f t="shared" si="42"/>
        <v>239.93573789765657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24.31083366209619</v>
      </c>
      <c r="DQ20" s="14">
        <f t="shared" si="43"/>
        <v>7.7276032052466093</v>
      </c>
      <c r="DR20" s="22">
        <f t="shared" si="16"/>
        <v>55.800277543955367</v>
      </c>
      <c r="DS20" s="60">
        <f t="shared" si="17"/>
        <v>333.24472198839982</v>
      </c>
      <c r="DT20" s="60">
        <f ca="1">AVERAGE(OFFSET($DS$3,0,0,'Données projet'!$E$14+1,1))-AVERAGE(OFFSET($H$3,0,0,'Données projet'!$E$14+1,1))</f>
        <v>475.47920969424894</v>
      </c>
      <c r="DU20" s="60">
        <f t="shared" si="44"/>
        <v>271.73544012419364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2.1</v>
      </c>
      <c r="EJ20" s="13">
        <f>IF('Données projet'!$A$192&gt;35,EJ19+EI20-ER19,IF(A20&lt;'Données projet'!$A$192,$EG$205^A20,IF(A20='Données projet'!$A$192,'Données projet'!$B$192,EJ19+EI20-ER19)))</f>
        <v>23.975181126327602</v>
      </c>
      <c r="EK20" s="18">
        <f>EJ20*VLOOKUP('Données projet'!$B$15,Paramètres!$A$1:$I$89,3,0)*VLOOKUP('Données projet'!$B$15,Paramètres!$A$1:$I$89,5,0)</f>
        <v>21.692743883101215</v>
      </c>
      <c r="EL20" s="14">
        <f t="shared" si="45"/>
        <v>6.98746341685115</v>
      </c>
      <c r="EM20" s="22">
        <f t="shared" si="19"/>
        <v>49.951361047417038</v>
      </c>
      <c r="EN20" s="60">
        <f t="shared" si="20"/>
        <v>327.39580549186149</v>
      </c>
      <c r="EO20" s="60">
        <f ca="1">AVERAGE(OFFSET($EN$3,0,0,'Données projet'!$E$15+1,1))-AVERAGE(OFFSET($H$3,0,0,'Données projet'!$E$15+1,1))</f>
        <v>428.8489304403459</v>
      </c>
      <c r="EP20" s="60">
        <f t="shared" si="46"/>
        <v>247.01165577562966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2.1</v>
      </c>
      <c r="FE20" s="13">
        <f>IF('Données projet'!$A$218&gt;35,FE19+FD20-FM19,IF(A20&lt;'Données projet'!$A$218,$FB$205^A20,IF(A20='Données projet'!$A$218,'Données projet'!$B$218,FE19+FD20-FM19)))</f>
        <v>23.975181126327602</v>
      </c>
      <c r="FF20" s="18">
        <f>FE20*VLOOKUP('Données projet'!$B$16,Paramètres!$A$1:$I$89,3,0)*VLOOKUP('Données projet'!$B$16,Paramètres!$A$1:$I$89,5,0)</f>
        <v>23.188795185384055</v>
      </c>
      <c r="FG20" s="14">
        <f t="shared" si="47"/>
        <v>7.4115982288884323</v>
      </c>
      <c r="FH20" s="22">
        <f t="shared" si="22"/>
        <v>53.29568519652458</v>
      </c>
      <c r="FI20" s="60">
        <f t="shared" si="23"/>
        <v>330.74012964096903</v>
      </c>
      <c r="FJ20" s="60">
        <f ca="1">AVERAGE(OFFSET($FI$3,0,0,'Données projet'!$E$16+1,1))-AVERAGE(OFFSET($H$3,0,0,'Données projet'!$E$16+1,1))</f>
        <v>455.50822833641354</v>
      </c>
      <c r="FK20" s="60">
        <f t="shared" si="48"/>
        <v>261.14722581688039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 t="e">
        <f>N21*VLOOKUP('Données projet'!$B$9,Paramètres!$A$1:$I$89,3,0)*VLOOKUP('Données projet'!$B$9,Paramètres!$A$1:$I$89,5,0)</f>
        <v>#N/A</v>
      </c>
      <c r="P21" s="14" t="e">
        <f t="shared" si="33"/>
        <v>#N/A</v>
      </c>
      <c r="Q21" s="22" t="e">
        <f t="shared" si="2"/>
        <v>#N/A</v>
      </c>
      <c r="R21" s="60" t="e">
        <f t="shared" si="0"/>
        <v>#N/A</v>
      </c>
      <c r="S21" s="60" t="e">
        <f ca="1">AVERAGE(OFFSET($R$3,0,0,'Données projet'!$E$9+1,1))-AVERAGE(OFFSET($H$3,0,0,'Données projet'!$E$9+1,1))</f>
        <v>#N/A</v>
      </c>
      <c r="T21" s="60" t="e">
        <f t="shared" si="34"/>
        <v>#N/A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 t="e">
        <f>EXP(-LN(2)/35)*Z20+(1-EXP(-LN(2)/35))/(LN(2)/35)*V21*W21*VLOOKUP('Données projet'!$B$9,Paramètres!$A$1:$I$89,3,0)*0.475*44/12</f>
        <v>#N/A</v>
      </c>
      <c r="AA21" s="23" t="e">
        <f>EXP(-LN(2)/25)*AA20+(1-EXP(-LN(2)/25))/(LN(2)/25)*Calculateur!V21*Calculateur!X21*VLOOKUP('Données projet'!$B$9,Paramètres!$A$1:$I$89,3,0)*0.475*44/12</f>
        <v>#N/A</v>
      </c>
      <c r="AB21" s="23" t="e">
        <f>EXP(-LN(2)/2)*AB20+(1-EXP(-LN(2)/2))/(LN(2)/2)*V21*Y21*VLOOKUP('Données projet'!$B$9,Paramètres!$A$1:$I$89,3,0)*0.475*44/12</f>
        <v>#N/A</v>
      </c>
      <c r="AC21" s="24" t="e">
        <f t="shared" si="3"/>
        <v>#N/A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8.6</v>
      </c>
      <c r="AI21" s="14">
        <f>IF('Données projet'!$A$62&gt;35,AI20+AH21-AQ20,IF(A21&lt;'Données projet'!$A$62,$AF$205^A21,IF(A21='Données projet'!$A$62,'Données projet'!$B$62,AI20+AH21-AQ20)))</f>
        <v>62.800000000000004</v>
      </c>
      <c r="AJ21" s="14">
        <f>AI21*VLOOKUP('Données projet'!$B$10,Paramètres!$A$1:$I$89,3,0)*VLOOKUP('Données projet'!$B$10,Paramètres!$A$1:$I$89,5,0)</f>
        <v>54.862080000000013</v>
      </c>
      <c r="AK21" s="14">
        <f t="shared" si="35"/>
        <v>15.862551380979047</v>
      </c>
      <c r="AL21" s="22">
        <f t="shared" si="4"/>
        <v>123.17873298853853</v>
      </c>
      <c r="AM21" s="60">
        <f t="shared" si="5"/>
        <v>401.8453996552052</v>
      </c>
      <c r="AN21" s="60">
        <f ca="1">AVERAGE(OFFSET($AM$3,0,0,'Données projet'!$E$10+1,1))-AVERAGE(OFFSET($H$3,0,0,'Données projet'!$E$10+1,1))</f>
        <v>325.06345339097095</v>
      </c>
      <c r="AO21" s="60">
        <f t="shared" si="36"/>
        <v>318.90379036810754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0" t="e">
        <f t="shared" si="8"/>
        <v>#N/A</v>
      </c>
      <c r="BI21" s="60" t="e">
        <f ca="1">AVERAGE(OFFSET($BH$3,0,0,'Données projet'!$E$11+1,1))-AVERAGE(OFFSET($H$3,0,0,'Données projet'!$E$11+1,1))</f>
        <v>#N/A</v>
      </c>
      <c r="BJ21" s="60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0" t="e">
        <f t="shared" si="11"/>
        <v>#N/A</v>
      </c>
      <c r="CD21" s="60" t="e">
        <f ca="1">AVERAGE(OFFSET($CC$3,0,0,'Données projet'!$E$12+1,1))-AVERAGE(OFFSET($H$3,0,0,'Données projet'!$E$12+1,1))</f>
        <v>#N/A</v>
      </c>
      <c r="CE21" s="60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25.248581665076358</v>
      </c>
      <c r="CV21" s="14">
        <f t="shared" si="41"/>
        <v>7.9904026799923065</v>
      </c>
      <c r="CW21" s="22">
        <f t="shared" si="13"/>
        <v>57.891231067661259</v>
      </c>
      <c r="CX21" s="60">
        <f t="shared" si="14"/>
        <v>336.55789773432792</v>
      </c>
      <c r="CY21" s="60">
        <f ca="1">AVERAGE(OFFSET($CX$3,0,0,'Données projet'!$E$13+1,1))-AVERAGE(OFFSET($H$3,0,0,'Données projet'!$E$13+1,1))</f>
        <v>415.50509041799154</v>
      </c>
      <c r="CZ21" s="60">
        <f t="shared" si="42"/>
        <v>239.93573789765657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29.306389432677911</v>
      </c>
      <c r="DQ21" s="14">
        <f t="shared" si="43"/>
        <v>9.1150691477493808</v>
      </c>
      <c r="DR21" s="22">
        <f t="shared" si="16"/>
        <v>66.917373694244205</v>
      </c>
      <c r="DS21" s="60">
        <f t="shared" si="17"/>
        <v>345.58404036091088</v>
      </c>
      <c r="DT21" s="60">
        <f ca="1">AVERAGE(OFFSET($DS$3,0,0,'Données projet'!$E$14+1,1))-AVERAGE(OFFSET($H$3,0,0,'Données projet'!$E$14+1,1))</f>
        <v>475.47920969424894</v>
      </c>
      <c r="DU21" s="60">
        <f t="shared" si="44"/>
        <v>271.73544012419364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2.1</v>
      </c>
      <c r="EJ21" s="13">
        <f>IF('Données projet'!$A$192&gt;35,EJ20+EI21-ER20,IF(A21&lt;'Données projet'!$A$192,$EG$205^A21,IF(A21='Données projet'!$A$192,'Données projet'!$B$192,EJ20+EI21-ER20)))</f>
        <v>28.901764726506816</v>
      </c>
      <c r="EK21" s="18">
        <f>EJ21*VLOOKUP('Données projet'!$B$15,Paramètres!$A$1:$I$89,3,0)*VLOOKUP('Données projet'!$B$15,Paramètres!$A$1:$I$89,5,0)</f>
        <v>26.150316724543362</v>
      </c>
      <c r="EL21" s="14">
        <f t="shared" si="45"/>
        <v>8.2420396752158016</v>
      </c>
      <c r="EM21" s="22">
        <f t="shared" si="19"/>
        <v>59.900020729580547</v>
      </c>
      <c r="EN21" s="60">
        <f t="shared" si="20"/>
        <v>338.56668739624723</v>
      </c>
      <c r="EO21" s="60">
        <f ca="1">AVERAGE(OFFSET($EN$3,0,0,'Données projet'!$E$15+1,1))-AVERAGE(OFFSET($H$3,0,0,'Données projet'!$E$15+1,1))</f>
        <v>428.8489304403459</v>
      </c>
      <c r="EP21" s="60">
        <f t="shared" si="46"/>
        <v>247.01165577562966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2.1</v>
      </c>
      <c r="FE21" s="13">
        <f>IF('Données projet'!$A$218&gt;35,FE20+FD21-FM20,IF(A21&lt;'Données projet'!$A$218,$FB$205^A21,IF(A21='Données projet'!$A$218,'Données projet'!$B$218,FE20+FD21-FM20)))</f>
        <v>28.901764726506816</v>
      </c>
      <c r="FF21" s="18">
        <f>FE21*VLOOKUP('Données projet'!$B$16,Paramètres!$A$1:$I$89,3,0)*VLOOKUP('Données projet'!$B$16,Paramètres!$A$1:$I$89,5,0)</f>
        <v>27.953786843477392</v>
      </c>
      <c r="FG21" s="14">
        <f t="shared" si="47"/>
        <v>8.7423265089215931</v>
      </c>
      <c r="FH21" s="22">
        <f t="shared" si="22"/>
        <v>63.912397422094891</v>
      </c>
      <c r="FI21" s="60">
        <f t="shared" si="23"/>
        <v>342.57906408876158</v>
      </c>
      <c r="FJ21" s="60">
        <f ca="1">AVERAGE(OFFSET($FI$3,0,0,'Données projet'!$E$16+1,1))-AVERAGE(OFFSET($H$3,0,0,'Données projet'!$E$16+1,1))</f>
        <v>455.50822833641354</v>
      </c>
      <c r="FK21" s="60">
        <f t="shared" si="48"/>
        <v>261.14722581688039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 t="e">
        <f>N22*VLOOKUP('Données projet'!$B$9,Paramètres!$A$1:$I$89,3,0)*VLOOKUP('Données projet'!$B$9,Paramètres!$A$1:$I$89,5,0)</f>
        <v>#N/A</v>
      </c>
      <c r="P22" s="14" t="e">
        <f t="shared" si="33"/>
        <v>#N/A</v>
      </c>
      <c r="Q22" s="22" t="e">
        <f t="shared" si="2"/>
        <v>#N/A</v>
      </c>
      <c r="R22" s="60" t="e">
        <f t="shared" si="0"/>
        <v>#N/A</v>
      </c>
      <c r="S22" s="60" t="e">
        <f ca="1">AVERAGE(OFFSET($R$3,0,0,'Données projet'!$E$9+1,1))-AVERAGE(OFFSET($H$3,0,0,'Données projet'!$E$9+1,1))</f>
        <v>#N/A</v>
      </c>
      <c r="T22" s="60" t="e">
        <f t="shared" si="34"/>
        <v>#N/A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 t="e">
        <f>EXP(-LN(2)/35)*Z21+(1-EXP(-LN(2)/35))/(LN(2)/35)*V22*W22*VLOOKUP('Données projet'!$B$9,Paramètres!$A$1:$I$89,3,0)*0.475*44/12</f>
        <v>#N/A</v>
      </c>
      <c r="AA22" s="23" t="e">
        <f>EXP(-LN(2)/25)*AA21+(1-EXP(-LN(2)/25))/(LN(2)/25)*Calculateur!V22*Calculateur!X22*VLOOKUP('Données projet'!$B$9,Paramètres!$A$1:$I$89,3,0)*0.475*44/12</f>
        <v>#N/A</v>
      </c>
      <c r="AB22" s="23" t="e">
        <f>EXP(-LN(2)/2)*AB21+(1-EXP(-LN(2)/2))/(LN(2)/2)*V22*Y22*VLOOKUP('Données projet'!$B$9,Paramètres!$A$1:$I$89,3,0)*0.475*44/12</f>
        <v>#N/A</v>
      </c>
      <c r="AC22" s="24" t="e">
        <f t="shared" si="3"/>
        <v>#N/A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8.6</v>
      </c>
      <c r="AI22" s="14">
        <f>IF('Données projet'!$A$62&gt;35,AI21+AH22-AQ21,IF(A22&lt;'Données projet'!$A$62,$AF$205^A22,IF(A22='Données projet'!$A$62,'Données projet'!$B$62,AI21+AH22-AQ21)))</f>
        <v>71.400000000000006</v>
      </c>
      <c r="AJ22" s="14">
        <f>AI22*VLOOKUP('Données projet'!$B$10,Paramètres!$A$1:$I$89,3,0)*VLOOKUP('Données projet'!$B$10,Paramètres!$A$1:$I$89,5,0)</f>
        <v>62.375040000000013</v>
      </c>
      <c r="AK22" s="14">
        <f t="shared" si="35"/>
        <v>17.767390213107426</v>
      </c>
      <c r="AL22" s="22">
        <f t="shared" si="4"/>
        <v>139.58139928782879</v>
      </c>
      <c r="AM22" s="60">
        <f t="shared" si="5"/>
        <v>419.47028817671765</v>
      </c>
      <c r="AN22" s="60">
        <f ca="1">AVERAGE(OFFSET($AM$3,0,0,'Données projet'!$E$10+1,1))-AVERAGE(OFFSET($H$3,0,0,'Données projet'!$E$10+1,1))</f>
        <v>325.06345339097095</v>
      </c>
      <c r="AO22" s="60">
        <f t="shared" si="36"/>
        <v>318.90379036810754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0" t="e">
        <f t="shared" si="8"/>
        <v>#N/A</v>
      </c>
      <c r="BI22" s="60" t="e">
        <f ca="1">AVERAGE(OFFSET($BH$3,0,0,'Données projet'!$E$11+1,1))-AVERAGE(OFFSET($H$3,0,0,'Données projet'!$E$11+1,1))</f>
        <v>#N/A</v>
      </c>
      <c r="BJ22" s="60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0" t="e">
        <f t="shared" si="11"/>
        <v>#N/A</v>
      </c>
      <c r="CD22" s="60" t="e">
        <f ca="1">AVERAGE(OFFSET($CC$3,0,0,'Données projet'!$E$12+1,1))-AVERAGE(OFFSET($H$3,0,0,'Données projet'!$E$12+1,1))</f>
        <v>#N/A</v>
      </c>
      <c r="CE22" s="60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30.436832285729924</v>
      </c>
      <c r="CV22" s="14">
        <f t="shared" si="41"/>
        <v>9.4250534107447788</v>
      </c>
      <c r="CW22" s="22">
        <f t="shared" si="13"/>
        <v>69.42611758802677</v>
      </c>
      <c r="CX22" s="60">
        <f t="shared" si="14"/>
        <v>349.31500647691564</v>
      </c>
      <c r="CY22" s="60">
        <f ca="1">AVERAGE(OFFSET($CX$3,0,0,'Données projet'!$E$13+1,1))-AVERAGE(OFFSET($H$3,0,0,'Données projet'!$E$13+1,1))</f>
        <v>415.50509041799154</v>
      </c>
      <c r="CZ22" s="60">
        <f t="shared" si="42"/>
        <v>239.93573789765657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35.328466045936516</v>
      </c>
      <c r="DQ22" s="14">
        <f t="shared" si="43"/>
        <v>10.751650073316766</v>
      </c>
      <c r="DR22" s="22">
        <f t="shared" si="16"/>
        <v>80.256202241032796</v>
      </c>
      <c r="DS22" s="60">
        <f t="shared" si="17"/>
        <v>360.14509112992164</v>
      </c>
      <c r="DT22" s="60">
        <f ca="1">AVERAGE(OFFSET($DS$3,0,0,'Données projet'!$E$14+1,1))-AVERAGE(OFFSET($H$3,0,0,'Données projet'!$E$14+1,1))</f>
        <v>475.47920969424894</v>
      </c>
      <c r="DU22" s="60">
        <f t="shared" si="44"/>
        <v>271.73544012419364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2.1</v>
      </c>
      <c r="EJ22" s="13">
        <f>IF('Données projet'!$A$192&gt;35,EJ21+EI22-ER21,IF(A22&lt;'Données projet'!$A$192,$EG$205^A22,IF(A22='Données projet'!$A$192,'Données projet'!$B$192,EJ21+EI22-ER21)))</f>
        <v>34.840696297767764</v>
      </c>
      <c r="EK22" s="18">
        <f>EJ22*VLOOKUP('Données projet'!$B$15,Paramètres!$A$1:$I$89,3,0)*VLOOKUP('Données projet'!$B$15,Paramètres!$A$1:$I$89,5,0)</f>
        <v>31.52386201022027</v>
      </c>
      <c r="EL22" s="14">
        <f t="shared" si="45"/>
        <v>9.7218710074397983</v>
      </c>
      <c r="EM22" s="22">
        <f t="shared" si="19"/>
        <v>71.836318339091292</v>
      </c>
      <c r="EN22" s="60">
        <f t="shared" si="20"/>
        <v>351.72520722798015</v>
      </c>
      <c r="EO22" s="60">
        <f ca="1">AVERAGE(OFFSET($EN$3,0,0,'Données projet'!$E$15+1,1))-AVERAGE(OFFSET($H$3,0,0,'Données projet'!$E$15+1,1))</f>
        <v>428.8489304403459</v>
      </c>
      <c r="EP22" s="60">
        <f t="shared" si="46"/>
        <v>247.01165577562966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2.1</v>
      </c>
      <c r="FE22" s="13">
        <f>IF('Données projet'!$A$218&gt;35,FE21+FD22-FM21,IF(A22&lt;'Données projet'!$A$218,$FB$205^A22,IF(A22='Données projet'!$A$218,'Données projet'!$B$218,FE21+FD22-FM21)))</f>
        <v>34.840696297767764</v>
      </c>
      <c r="FF22" s="18">
        <f>FE22*VLOOKUP('Données projet'!$B$16,Paramètres!$A$1:$I$89,3,0)*VLOOKUP('Données projet'!$B$16,Paramètres!$A$1:$I$89,5,0)</f>
        <v>33.697921459200977</v>
      </c>
      <c r="FG22" s="14">
        <f t="shared" si="47"/>
        <v>10.31198270984201</v>
      </c>
      <c r="FH22" s="22">
        <f t="shared" si="22"/>
        <v>76.650583094416518</v>
      </c>
      <c r="FI22" s="60">
        <f t="shared" si="23"/>
        <v>356.53947198330536</v>
      </c>
      <c r="FJ22" s="60">
        <f ca="1">AVERAGE(OFFSET($FI$3,0,0,'Données projet'!$E$16+1,1))-AVERAGE(OFFSET($H$3,0,0,'Données projet'!$E$16+1,1))</f>
        <v>455.50822833641354</v>
      </c>
      <c r="FK22" s="60">
        <f t="shared" si="48"/>
        <v>261.14722581688039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 t="e">
        <f>N23*VLOOKUP('Données projet'!$B$9,Paramètres!$A$1:$I$89,3,0)*VLOOKUP('Données projet'!$B$9,Paramètres!$A$1:$I$89,5,0)</f>
        <v>#N/A</v>
      </c>
      <c r="P23" s="14" t="e">
        <f t="shared" si="33"/>
        <v>#N/A</v>
      </c>
      <c r="Q23" s="22" t="e">
        <f t="shared" si="2"/>
        <v>#N/A</v>
      </c>
      <c r="R23" s="60" t="e">
        <f t="shared" si="0"/>
        <v>#N/A</v>
      </c>
      <c r="S23" s="60" t="e">
        <f ca="1">AVERAGE(OFFSET($R$3,0,0,'Données projet'!$E$9+1,1))-AVERAGE(OFFSET($H$3,0,0,'Données projet'!$E$9+1,1))</f>
        <v>#N/A</v>
      </c>
      <c r="T23" s="60" t="e">
        <f t="shared" si="34"/>
        <v>#N/A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 t="e">
        <f>EXP(-LN(2)/35)*Z22+(1-EXP(-LN(2)/35))/(LN(2)/35)*V23*W23*VLOOKUP('Données projet'!$B$9,Paramètres!$A$1:$I$89,3,0)*0.475*44/12</f>
        <v>#N/A</v>
      </c>
      <c r="AA23" s="23" t="e">
        <f>EXP(-LN(2)/25)*AA22+(1-EXP(-LN(2)/25))/(LN(2)/25)*Calculateur!V23*Calculateur!X23*VLOOKUP('Données projet'!$B$9,Paramètres!$A$1:$I$89,3,0)*0.475*44/12</f>
        <v>#N/A</v>
      </c>
      <c r="AB23" s="23" t="e">
        <f>EXP(-LN(2)/2)*AB22+(1-EXP(-LN(2)/2))/(LN(2)/2)*V23*Y23*VLOOKUP('Données projet'!$B$9,Paramètres!$A$1:$I$89,3,0)*0.475*44/12</f>
        <v>#N/A</v>
      </c>
      <c r="AC23" s="24" t="e">
        <f t="shared" si="3"/>
        <v>#N/A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80</v>
      </c>
      <c r="AG23" s="13">
        <f>VLOOKUP(A23,'Données projet'!$A$61:$I$81,9,0)</f>
        <v>8.6</v>
      </c>
      <c r="AH23" s="13">
        <f t="array" ref="AH23">INDEX(AG:AG,MIN(IF(ISNUMBER(AG23:AG219),ROW(AG23:AG219),"")))</f>
        <v>8.6</v>
      </c>
      <c r="AI23" s="14">
        <f>IF('Données projet'!$A$62&gt;35,AI22+AH23-AQ22,IF(A23&lt;'Données projet'!$A$62,$AF$205^A23,IF(A23='Données projet'!$A$62,'Données projet'!$B$62,AI22+AH23-AQ22)))</f>
        <v>80</v>
      </c>
      <c r="AJ23" s="14">
        <f>AI23*VLOOKUP('Données projet'!$B$10,Paramètres!$A$1:$I$89,3,0)*VLOOKUP('Données projet'!$B$10,Paramètres!$A$1:$I$89,5,0)</f>
        <v>69.888000000000005</v>
      </c>
      <c r="AK23" s="14">
        <f t="shared" si="35"/>
        <v>19.645641432461961</v>
      </c>
      <c r="AL23" s="22">
        <f t="shared" si="4"/>
        <v>155.93775882820458</v>
      </c>
      <c r="AM23" s="60">
        <f t="shared" si="5"/>
        <v>437.04886993931575</v>
      </c>
      <c r="AN23" s="60">
        <f ca="1">AVERAGE(OFFSET($AM$3,0,0,'Données projet'!$E$10+1,1))-AVERAGE(OFFSET($H$3,0,0,'Données projet'!$E$10+1,1))</f>
        <v>325.06345339097095</v>
      </c>
      <c r="AO23" s="60">
        <f t="shared" si="36"/>
        <v>318.90379036810754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43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0" t="e">
        <f t="shared" si="8"/>
        <v>#N/A</v>
      </c>
      <c r="BI23" s="60" t="e">
        <f ca="1">AVERAGE(OFFSET($BH$3,0,0,'Données projet'!$E$11+1,1))-AVERAGE(OFFSET($H$3,0,0,'Données projet'!$E$11+1,1))</f>
        <v>#N/A</v>
      </c>
      <c r="BJ23" s="60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0" t="e">
        <f t="shared" si="11"/>
        <v>#N/A</v>
      </c>
      <c r="CD23" s="60" t="e">
        <f ca="1">AVERAGE(OFFSET($CC$3,0,0,'Données projet'!$E$12+1,1))-AVERAGE(OFFSET($H$3,0,0,'Données projet'!$E$12+1,1))</f>
        <v>#N/A</v>
      </c>
      <c r="CE23" s="60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36.691200000000009</v>
      </c>
      <c r="CV23" s="14">
        <f t="shared" si="41"/>
        <v>11.117290999341371</v>
      </c>
      <c r="CW23" s="22">
        <f t="shared" si="13"/>
        <v>83.266455157186229</v>
      </c>
      <c r="CX23" s="60">
        <f t="shared" si="14"/>
        <v>364.37756626829736</v>
      </c>
      <c r="CY23" s="60">
        <f ca="1">AVERAGE(OFFSET($CX$3,0,0,'Données projet'!$E$13+1,1))-AVERAGE(OFFSET($H$3,0,0,'Données projet'!$E$13+1,1))</f>
        <v>415.50509041799154</v>
      </c>
      <c r="CZ23" s="60">
        <f t="shared" si="42"/>
        <v>239.93573789765657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42.588000000000001</v>
      </c>
      <c r="DQ23" s="14">
        <f t="shared" si="43"/>
        <v>12.682073764365764</v>
      </c>
      <c r="DR23" s="22">
        <f t="shared" si="16"/>
        <v>96.262045139603686</v>
      </c>
      <c r="DS23" s="60">
        <f t="shared" si="17"/>
        <v>377.37315625071483</v>
      </c>
      <c r="DT23" s="60">
        <f ca="1">AVERAGE(OFFSET($DS$3,0,0,'Données projet'!$E$14+1,1))-AVERAGE(OFFSET($H$3,0,0,'Données projet'!$E$14+1,1))</f>
        <v>475.47920969424894</v>
      </c>
      <c r="DU23" s="60">
        <f t="shared" si="44"/>
        <v>271.73544012419364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42</v>
      </c>
      <c r="EH23" s="13">
        <f>VLOOKUP(A23,'Données projet'!$A$191:$I$211,9,0)</f>
        <v>2.1</v>
      </c>
      <c r="EI23" s="13">
        <f t="array" ref="EI23">INDEX(EH:EH,MIN(IF(ISNUMBER(EH23:EH219),ROW(EH23:EH219),"")))</f>
        <v>2.1</v>
      </c>
      <c r="EJ23" s="13">
        <f>IF('Données projet'!$A$192&gt;35,EJ22+EI23-ER22,IF(A23&lt;'Données projet'!$A$192,$EG$205^A23,IF(A23='Données projet'!$A$192,'Données projet'!$B$192,EJ22+EI23-ER22)))</f>
        <v>42</v>
      </c>
      <c r="EK23" s="18">
        <f>EJ23*VLOOKUP('Données projet'!$B$15,Paramètres!$A$1:$I$89,3,0)*VLOOKUP('Données projet'!$B$15,Paramètres!$A$1:$I$89,5,0)</f>
        <v>38.001600000000003</v>
      </c>
      <c r="EL23" s="14">
        <f t="shared" si="45"/>
        <v>11.467401227090512</v>
      </c>
      <c r="EM23" s="22">
        <f t="shared" si="19"/>
        <v>86.158510470515978</v>
      </c>
      <c r="EN23" s="60">
        <f t="shared" si="20"/>
        <v>367.26962158162712</v>
      </c>
      <c r="EO23" s="60">
        <f ca="1">AVERAGE(OFFSET($EN$3,0,0,'Données projet'!$E$15+1,1))-AVERAGE(OFFSET($H$3,0,0,'Données projet'!$E$15+1,1))</f>
        <v>428.8489304403459</v>
      </c>
      <c r="EP23" s="60">
        <f t="shared" si="46"/>
        <v>247.01165577562966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42</v>
      </c>
      <c r="FC23" s="13">
        <f>VLOOKUP(A23,'Données projet'!$A$217:$I$237,9,0)</f>
        <v>2.1</v>
      </c>
      <c r="FD23" s="13">
        <f t="array" ref="FD23">INDEX(FC:FC,MIN(IF(ISNUMBER(FC23:FC219),ROW(FC23:FC219),"")))</f>
        <v>2.1</v>
      </c>
      <c r="FE23" s="13">
        <f>IF('Données projet'!$A$218&gt;35,FE22+FD23-FM22,IF(A23&lt;'Données projet'!$A$218,$FB$205^A23,IF(A23='Données projet'!$A$218,'Données projet'!$B$218,FE22+FD23-FM22)))</f>
        <v>42</v>
      </c>
      <c r="FF23" s="18">
        <f>FE23*VLOOKUP('Données projet'!$B$16,Paramètres!$A$1:$I$89,3,0)*VLOOKUP('Données projet'!$B$16,Paramètres!$A$1:$I$89,5,0)</f>
        <v>40.622399999999999</v>
      </c>
      <c r="FG23" s="14">
        <f t="shared" si="47"/>
        <v>12.163465560290264</v>
      </c>
      <c r="FH23" s="22">
        <f t="shared" si="22"/>
        <v>91.935382517505545</v>
      </c>
      <c r="FI23" s="60">
        <f t="shared" si="23"/>
        <v>373.0464936286167</v>
      </c>
      <c r="FJ23" s="60">
        <f ca="1">AVERAGE(OFFSET($FI$3,0,0,'Données projet'!$E$16+1,1))-AVERAGE(OFFSET($H$3,0,0,'Données projet'!$E$16+1,1))</f>
        <v>455.50822833641354</v>
      </c>
      <c r="FK23" s="60">
        <f t="shared" si="48"/>
        <v>261.14722581688039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 t="e">
        <f>N24*VLOOKUP('Données projet'!$B$9,Paramètres!$A$1:$I$89,3,0)*VLOOKUP('Données projet'!$B$9,Paramètres!$A$1:$I$89,5,0)</f>
        <v>#N/A</v>
      </c>
      <c r="P24" s="14" t="e">
        <f t="shared" si="33"/>
        <v>#N/A</v>
      </c>
      <c r="Q24" s="22" t="e">
        <f t="shared" si="2"/>
        <v>#N/A</v>
      </c>
      <c r="R24" s="60" t="e">
        <f t="shared" si="0"/>
        <v>#N/A</v>
      </c>
      <c r="S24" s="60" t="e">
        <f ca="1">AVERAGE(OFFSET($R$3,0,0,'Données projet'!$E$9+1,1))-AVERAGE(OFFSET($H$3,0,0,'Données projet'!$E$9+1,1))</f>
        <v>#N/A</v>
      </c>
      <c r="T24" s="60" t="e">
        <f t="shared" si="34"/>
        <v>#N/A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 t="e">
        <f>EXP(-LN(2)/35)*Z23+(1-EXP(-LN(2)/35))/(LN(2)/35)*V24*W24*VLOOKUP('Données projet'!$B$9,Paramètres!$A$1:$I$89,3,0)*0.475*44/12</f>
        <v>#N/A</v>
      </c>
      <c r="AA24" s="23" t="e">
        <f>EXP(-LN(2)/25)*AA23+(1-EXP(-LN(2)/25))/(LN(2)/25)*Calculateur!V24*Calculateur!X24*VLOOKUP('Données projet'!$B$9,Paramètres!$A$1:$I$89,3,0)*0.475*44/12</f>
        <v>#N/A</v>
      </c>
      <c r="AB24" s="23" t="e">
        <f>EXP(-LN(2)/2)*AB23+(1-EXP(-LN(2)/2))/(LN(2)/2)*V24*Y24*VLOOKUP('Données projet'!$B$9,Paramètres!$A$1:$I$89,3,0)*0.475*44/12</f>
        <v>#N/A</v>
      </c>
      <c r="AC24" s="24" t="e">
        <f t="shared" si="3"/>
        <v>#N/A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15.6</v>
      </c>
      <c r="AI24" s="14">
        <f>IF('Données projet'!$A$62&gt;35,AI23+AH24-AQ23,IF(A24&lt;'Données projet'!$A$62,$AF$205^A24,IF(A24='Données projet'!$A$62,'Données projet'!$B$62,AI23+AH24-AQ23)))</f>
        <v>52.599999999999994</v>
      </c>
      <c r="AJ24" s="14">
        <f>AI24*VLOOKUP('Données projet'!$B$10,Paramètres!$A$1:$I$89,3,0)*VLOOKUP('Données projet'!$B$10,Paramètres!$A$1:$I$89,5,0)</f>
        <v>45.951360000000001</v>
      </c>
      <c r="AK24" s="14">
        <f t="shared" si="35"/>
        <v>13.563098137964777</v>
      </c>
      <c r="AL24" s="22">
        <f t="shared" si="4"/>
        <v>103.65434792362198</v>
      </c>
      <c r="AM24" s="60">
        <f t="shared" si="5"/>
        <v>385.98768125695528</v>
      </c>
      <c r="AN24" s="60">
        <f ca="1">AVERAGE(OFFSET($AM$3,0,0,'Données projet'!$E$10+1,1))-AVERAGE(OFFSET($H$3,0,0,'Données projet'!$E$10+1,1))</f>
        <v>325.06345339097095</v>
      </c>
      <c r="AO24" s="60">
        <f t="shared" si="36"/>
        <v>318.90379036810754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0" t="e">
        <f t="shared" si="8"/>
        <v>#N/A</v>
      </c>
      <c r="BI24" s="60" t="e">
        <f ca="1">AVERAGE(OFFSET($BH$3,0,0,'Données projet'!$E$11+1,1))-AVERAGE(OFFSET($H$3,0,0,'Données projet'!$E$11+1,1))</f>
        <v>#N/A</v>
      </c>
      <c r="BJ24" s="60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0" t="e">
        <f t="shared" si="11"/>
        <v>#N/A</v>
      </c>
      <c r="CD24" s="60" t="e">
        <f ca="1">AVERAGE(OFFSET($CC$3,0,0,'Données projet'!$E$12+1,1))-AVERAGE(OFFSET($H$3,0,0,'Données projet'!$E$12+1,1))</f>
        <v>#N/A</v>
      </c>
      <c r="CE24" s="60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41.583360000000006</v>
      </c>
      <c r="CV24" s="14">
        <f t="shared" si="41"/>
        <v>12.417363769485888</v>
      </c>
      <c r="CW24" s="22">
        <f t="shared" si="13"/>
        <v>94.051260565187931</v>
      </c>
      <c r="CX24" s="60">
        <f t="shared" si="14"/>
        <v>376.38459389852125</v>
      </c>
      <c r="CY24" s="60">
        <f ca="1">AVERAGE(OFFSET($CX$3,0,0,'Données projet'!$E$13+1,1))-AVERAGE(OFFSET($H$3,0,0,'Données projet'!$E$13+1,1))</f>
        <v>415.50509041799154</v>
      </c>
      <c r="CZ24" s="60">
        <f t="shared" si="42"/>
        <v>239.93573789765657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48.266400000000004</v>
      </c>
      <c r="DQ24" s="14">
        <f t="shared" si="43"/>
        <v>14.165134590154434</v>
      </c>
      <c r="DR24" s="22">
        <f t="shared" si="16"/>
        <v>108.73492274451898</v>
      </c>
      <c r="DS24" s="60">
        <f t="shared" si="17"/>
        <v>391.06825607785231</v>
      </c>
      <c r="DT24" s="60">
        <f ca="1">AVERAGE(OFFSET($DS$3,0,0,'Données projet'!$E$14+1,1))-AVERAGE(OFFSET($H$3,0,0,'Données projet'!$E$14+1,1))</f>
        <v>475.47920969424894</v>
      </c>
      <c r="DU24" s="60">
        <f t="shared" si="44"/>
        <v>271.73544012419364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5.6</v>
      </c>
      <c r="EJ24" s="13">
        <f>IF('Données projet'!$A$192&gt;35,EJ23+EI24-ER23,IF(A24&lt;'Données projet'!$A$192,$EG$205^A24,IF(A24='Données projet'!$A$192,'Données projet'!$B$192,EJ23+EI24-ER23)))</f>
        <v>47.6</v>
      </c>
      <c r="EK24" s="18">
        <f>EJ24*VLOOKUP('Données projet'!$B$15,Paramètres!$A$1:$I$89,3,0)*VLOOKUP('Données projet'!$B$15,Paramètres!$A$1:$I$89,5,0)</f>
        <v>43.068480000000001</v>
      </c>
      <c r="EL24" s="14">
        <f t="shared" si="45"/>
        <v>12.808416415102187</v>
      </c>
      <c r="EM24" s="22">
        <f t="shared" si="19"/>
        <v>97.318927922969635</v>
      </c>
      <c r="EN24" s="60">
        <f t="shared" si="20"/>
        <v>379.65226125630295</v>
      </c>
      <c r="EO24" s="60">
        <f ca="1">AVERAGE(OFFSET($EN$3,0,0,'Données projet'!$E$15+1,1))-AVERAGE(OFFSET($H$3,0,0,'Données projet'!$E$15+1,1))</f>
        <v>428.8489304403459</v>
      </c>
      <c r="EP24" s="60">
        <f t="shared" si="46"/>
        <v>247.01165577562966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5.6</v>
      </c>
      <c r="FE24" s="13">
        <f>IF('Données projet'!$A$218&gt;35,FE23+FD24-FM23,IF(A24&lt;'Données projet'!$A$218,$FB$205^A24,IF(A24='Données projet'!$A$218,'Données projet'!$B$218,FE23+FD24-FM23)))</f>
        <v>47.6</v>
      </c>
      <c r="FF24" s="18">
        <f>FE24*VLOOKUP('Données projet'!$B$16,Paramètres!$A$1:$I$89,3,0)*VLOOKUP('Données projet'!$B$16,Paramètres!$A$1:$I$89,5,0)</f>
        <v>46.038720000000005</v>
      </c>
      <c r="FG24" s="14">
        <f t="shared" si="47"/>
        <v>13.585879560828786</v>
      </c>
      <c r="FH24" s="22">
        <f t="shared" si="22"/>
        <v>103.84617756844348</v>
      </c>
      <c r="FI24" s="60">
        <f t="shared" si="23"/>
        <v>386.17951090177678</v>
      </c>
      <c r="FJ24" s="60">
        <f ca="1">AVERAGE(OFFSET($FI$3,0,0,'Données projet'!$E$16+1,1))-AVERAGE(OFFSET($H$3,0,0,'Données projet'!$E$16+1,1))</f>
        <v>455.50822833641354</v>
      </c>
      <c r="FK24" s="60">
        <f t="shared" si="48"/>
        <v>261.14722581688039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 t="e">
        <f>N25*VLOOKUP('Données projet'!$B$9,Paramètres!$A$1:$I$89,3,0)*VLOOKUP('Données projet'!$B$9,Paramètres!$A$1:$I$89,5,0)</f>
        <v>#N/A</v>
      </c>
      <c r="P25" s="14" t="e">
        <f t="shared" si="33"/>
        <v>#N/A</v>
      </c>
      <c r="Q25" s="22" t="e">
        <f t="shared" si="2"/>
        <v>#N/A</v>
      </c>
      <c r="R25" s="60" t="e">
        <f t="shared" si="0"/>
        <v>#N/A</v>
      </c>
      <c r="S25" s="60" t="e">
        <f ca="1">AVERAGE(OFFSET($R$3,0,0,'Données projet'!$E$9+1,1))-AVERAGE(OFFSET($H$3,0,0,'Données projet'!$E$9+1,1))</f>
        <v>#N/A</v>
      </c>
      <c r="T25" s="60" t="e">
        <f t="shared" si="34"/>
        <v>#N/A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 t="e">
        <f>EXP(-LN(2)/35)*Z24+(1-EXP(-LN(2)/35))/(LN(2)/35)*V25*W25*VLOOKUP('Données projet'!$B$9,Paramètres!$A$1:$I$89,3,0)*0.475*44/12</f>
        <v>#N/A</v>
      </c>
      <c r="AA25" s="23" t="e">
        <f>EXP(-LN(2)/25)*AA24+(1-EXP(-LN(2)/25))/(LN(2)/25)*Calculateur!V25*Calculateur!X25*VLOOKUP('Données projet'!$B$9,Paramètres!$A$1:$I$89,3,0)*0.475*44/12</f>
        <v>#N/A</v>
      </c>
      <c r="AB25" s="23" t="e">
        <f>EXP(-LN(2)/2)*AB24+(1-EXP(-LN(2)/2))/(LN(2)/2)*V25*Y25*VLOOKUP('Données projet'!$B$9,Paramètres!$A$1:$I$89,3,0)*0.475*44/12</f>
        <v>#N/A</v>
      </c>
      <c r="AC25" s="24" t="e">
        <f t="shared" si="3"/>
        <v>#N/A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15.6</v>
      </c>
      <c r="AI25" s="14">
        <f>IF('Données projet'!$A$62&gt;35,AI24+AH25-AQ24,IF(A25&lt;'Données projet'!$A$62,$AF$205^A25,IF(A25='Données projet'!$A$62,'Données projet'!$B$62,AI24+AH25-AQ24)))</f>
        <v>68.199999999999989</v>
      </c>
      <c r="AJ25" s="14">
        <f>AI25*VLOOKUP('Données projet'!$B$10,Paramètres!$A$1:$I$89,3,0)*VLOOKUP('Données projet'!$B$10,Paramètres!$A$1:$I$89,5,0)</f>
        <v>59.579520000000002</v>
      </c>
      <c r="AK25" s="14">
        <f t="shared" si="35"/>
        <v>17.061915002029238</v>
      </c>
      <c r="AL25" s="22">
        <f t="shared" si="4"/>
        <v>133.48383262853426</v>
      </c>
      <c r="AM25" s="60">
        <f t="shared" si="5"/>
        <v>417.03938818408983</v>
      </c>
      <c r="AN25" s="60">
        <f ca="1">AVERAGE(OFFSET($AM$3,0,0,'Données projet'!$E$10+1,1))-AVERAGE(OFFSET($H$3,0,0,'Données projet'!$E$10+1,1))</f>
        <v>325.06345339097095</v>
      </c>
      <c r="AO25" s="60">
        <f t="shared" si="36"/>
        <v>318.90379036810754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0" t="e">
        <f t="shared" si="8"/>
        <v>#N/A</v>
      </c>
      <c r="BI25" s="60" t="e">
        <f ca="1">AVERAGE(OFFSET($BH$3,0,0,'Données projet'!$E$11+1,1))-AVERAGE(OFFSET($H$3,0,0,'Données projet'!$E$11+1,1))</f>
        <v>#N/A</v>
      </c>
      <c r="BJ25" s="60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0" t="e">
        <f t="shared" si="11"/>
        <v>#N/A</v>
      </c>
      <c r="CD25" s="60" t="e">
        <f ca="1">AVERAGE(OFFSET($CC$3,0,0,'Données projet'!$E$12+1,1))-AVERAGE(OFFSET($H$3,0,0,'Données projet'!$E$12+1,1))</f>
        <v>#N/A</v>
      </c>
      <c r="CE25" s="60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46.47552000000001</v>
      </c>
      <c r="CV25" s="14">
        <f t="shared" si="41"/>
        <v>13.699711418564323</v>
      </c>
      <c r="CW25" s="22">
        <f t="shared" si="13"/>
        <v>104.80519472066622</v>
      </c>
      <c r="CX25" s="60">
        <f t="shared" si="14"/>
        <v>388.36075027622178</v>
      </c>
      <c r="CY25" s="60">
        <f ca="1">AVERAGE(OFFSET($CX$3,0,0,'Données projet'!$E$13+1,1))-AVERAGE(OFFSET($H$3,0,0,'Données projet'!$E$13+1,1))</f>
        <v>415.50509041799154</v>
      </c>
      <c r="CZ25" s="60">
        <f t="shared" si="42"/>
        <v>239.93573789765657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53.944800000000008</v>
      </c>
      <c r="DQ25" s="14">
        <f t="shared" si="43"/>
        <v>15.627975445731321</v>
      </c>
      <c r="DR25" s="22">
        <f t="shared" si="16"/>
        <v>121.17258390131538</v>
      </c>
      <c r="DS25" s="60">
        <f t="shared" si="17"/>
        <v>404.72813945687091</v>
      </c>
      <c r="DT25" s="60">
        <f ca="1">AVERAGE(OFFSET($DS$3,0,0,'Données projet'!$E$14+1,1))-AVERAGE(OFFSET($H$3,0,0,'Données projet'!$E$14+1,1))</f>
        <v>475.47920969424894</v>
      </c>
      <c r="DU25" s="60">
        <f t="shared" si="44"/>
        <v>271.73544012419364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5.6</v>
      </c>
      <c r="EJ25" s="13">
        <f>IF('Données projet'!$A$192&gt;35,EJ24+EI25-ER24,IF(A25&lt;'Données projet'!$A$192,$EG$205^A25,IF(A25='Données projet'!$A$192,'Données projet'!$B$192,EJ24+EI25-ER24)))</f>
        <v>53.2</v>
      </c>
      <c r="EK25" s="18">
        <f>EJ25*VLOOKUP('Données projet'!$B$15,Paramètres!$A$1:$I$89,3,0)*VLOOKUP('Données projet'!$B$15,Paramètres!$A$1:$I$89,5,0)</f>
        <v>48.135359999999999</v>
      </c>
      <c r="EL25" s="14">
        <f t="shared" si="45"/>
        <v>14.131148275361113</v>
      </c>
      <c r="EM25" s="22">
        <f t="shared" si="19"/>
        <v>108.4475019129206</v>
      </c>
      <c r="EN25" s="60">
        <f t="shared" si="20"/>
        <v>392.00305746847613</v>
      </c>
      <c r="EO25" s="60">
        <f ca="1">AVERAGE(OFFSET($EN$3,0,0,'Données projet'!$E$15+1,1))-AVERAGE(OFFSET($H$3,0,0,'Données projet'!$E$15+1,1))</f>
        <v>428.8489304403459</v>
      </c>
      <c r="EP25" s="60">
        <f t="shared" si="46"/>
        <v>247.01165577562966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5.6</v>
      </c>
      <c r="FE25" s="13">
        <f>IF('Données projet'!$A$218&gt;35,FE24+FD25-FM24,IF(A25&lt;'Données projet'!$A$218,$FB$205^A25,IF(A25='Données projet'!$A$218,'Données projet'!$B$218,FE24+FD25-FM24)))</f>
        <v>53.2</v>
      </c>
      <c r="FF25" s="18">
        <f>FE25*VLOOKUP('Données projet'!$B$16,Paramètres!$A$1:$I$89,3,0)*VLOOKUP('Données projet'!$B$16,Paramètres!$A$1:$I$89,5,0)</f>
        <v>51.455040000000004</v>
      </c>
      <c r="FG25" s="14">
        <f t="shared" si="47"/>
        <v>14.988900446655085</v>
      </c>
      <c r="FH25" s="22">
        <f t="shared" si="22"/>
        <v>115.72319627792427</v>
      </c>
      <c r="FI25" s="60">
        <f t="shared" si="23"/>
        <v>399.27875183347982</v>
      </c>
      <c r="FJ25" s="60">
        <f ca="1">AVERAGE(OFFSET($FI$3,0,0,'Données projet'!$E$16+1,1))-AVERAGE(OFFSET($H$3,0,0,'Données projet'!$E$16+1,1))</f>
        <v>455.50822833641354</v>
      </c>
      <c r="FK25" s="60">
        <f t="shared" si="48"/>
        <v>261.14722581688039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 t="e">
        <f>N26*VLOOKUP('Données projet'!$B$9,Paramètres!$A$1:$I$89,3,0)*VLOOKUP('Données projet'!$B$9,Paramètres!$A$1:$I$89,5,0)</f>
        <v>#N/A</v>
      </c>
      <c r="P26" s="14" t="e">
        <f t="shared" si="33"/>
        <v>#N/A</v>
      </c>
      <c r="Q26" s="22" t="e">
        <f t="shared" si="2"/>
        <v>#N/A</v>
      </c>
      <c r="R26" s="60" t="e">
        <f t="shared" si="0"/>
        <v>#N/A</v>
      </c>
      <c r="S26" s="60" t="e">
        <f ca="1">AVERAGE(OFFSET($R$3,0,0,'Données projet'!$E$9+1,1))-AVERAGE(OFFSET($H$3,0,0,'Données projet'!$E$9+1,1))</f>
        <v>#N/A</v>
      </c>
      <c r="T26" s="60" t="e">
        <f t="shared" si="34"/>
        <v>#N/A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 t="e">
        <f>EXP(-LN(2)/35)*Z25+(1-EXP(-LN(2)/35))/(LN(2)/35)*V26*W26*VLOOKUP('Données projet'!$B$9,Paramètres!$A$1:$I$89,3,0)*0.475*44/12</f>
        <v>#N/A</v>
      </c>
      <c r="AA26" s="23" t="e">
        <f>EXP(-LN(2)/25)*AA25+(1-EXP(-LN(2)/25))/(LN(2)/25)*Calculateur!V26*Calculateur!X26*VLOOKUP('Données projet'!$B$9,Paramètres!$A$1:$I$89,3,0)*0.475*44/12</f>
        <v>#N/A</v>
      </c>
      <c r="AB26" s="23" t="e">
        <f>EXP(-LN(2)/2)*AB25+(1-EXP(-LN(2)/2))/(LN(2)/2)*V26*Y26*VLOOKUP('Données projet'!$B$9,Paramètres!$A$1:$I$89,3,0)*0.475*44/12</f>
        <v>#N/A</v>
      </c>
      <c r="AC26" s="24" t="e">
        <f t="shared" si="3"/>
        <v>#N/A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15.6</v>
      </c>
      <c r="AI26" s="14">
        <f>IF('Données projet'!$A$62&gt;35,AI25+AH26-AQ25,IF(A26&lt;'Données projet'!$A$62,$AF$205^A26,IF(A26='Données projet'!$A$62,'Données projet'!$B$62,AI25+AH26-AQ25)))</f>
        <v>83.799999999999983</v>
      </c>
      <c r="AJ26" s="14">
        <f>AI26*VLOOKUP('Données projet'!$B$10,Paramètres!$A$1:$I$89,3,0)*VLOOKUP('Données projet'!$B$10,Paramètres!$A$1:$I$89,5,0)</f>
        <v>73.207679999999996</v>
      </c>
      <c r="AK26" s="14">
        <f t="shared" si="35"/>
        <v>20.467948497146601</v>
      </c>
      <c r="AL26" s="22">
        <f t="shared" si="4"/>
        <v>163.1517196325303</v>
      </c>
      <c r="AM26" s="60">
        <f t="shared" si="5"/>
        <v>447.92949741030804</v>
      </c>
      <c r="AN26" s="60">
        <f ca="1">AVERAGE(OFFSET($AM$3,0,0,'Données projet'!$E$10+1,1))-AVERAGE(OFFSET($H$3,0,0,'Données projet'!$E$10+1,1))</f>
        <v>325.06345339097095</v>
      </c>
      <c r="AO26" s="60">
        <f t="shared" si="36"/>
        <v>318.90379036810754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0" t="e">
        <f t="shared" si="8"/>
        <v>#N/A</v>
      </c>
      <c r="BI26" s="60" t="e">
        <f ca="1">AVERAGE(OFFSET($BH$3,0,0,'Données projet'!$E$11+1,1))-AVERAGE(OFFSET($H$3,0,0,'Données projet'!$E$11+1,1))</f>
        <v>#N/A</v>
      </c>
      <c r="BJ26" s="60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0" t="e">
        <f t="shared" si="11"/>
        <v>#N/A</v>
      </c>
      <c r="CD26" s="60" t="e">
        <f ca="1">AVERAGE(OFFSET($CC$3,0,0,'Données projet'!$E$12+1,1))-AVERAGE(OFFSET($H$3,0,0,'Données projet'!$E$12+1,1))</f>
        <v>#N/A</v>
      </c>
      <c r="CE26" s="60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51.367680000000007</v>
      </c>
      <c r="CV26" s="14">
        <f t="shared" si="41"/>
        <v>14.966412327909154</v>
      </c>
      <c r="CW26" s="22">
        <f t="shared" si="13"/>
        <v>115.53187747110844</v>
      </c>
      <c r="CX26" s="60">
        <f t="shared" si="14"/>
        <v>400.3096552488862</v>
      </c>
      <c r="CY26" s="60">
        <f ca="1">AVERAGE(OFFSET($CX$3,0,0,'Données projet'!$E$13+1,1))-AVERAGE(OFFSET($H$3,0,0,'Données projet'!$E$13+1,1))</f>
        <v>415.50509041799154</v>
      </c>
      <c r="CZ26" s="60">
        <f t="shared" si="42"/>
        <v>239.93573789765657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59.623200000000011</v>
      </c>
      <c r="DQ26" s="14">
        <f t="shared" si="43"/>
        <v>17.072967249098898</v>
      </c>
      <c r="DR26" s="22">
        <f t="shared" si="16"/>
        <v>133.57915795884725</v>
      </c>
      <c r="DS26" s="60">
        <f t="shared" si="17"/>
        <v>418.35693573662502</v>
      </c>
      <c r="DT26" s="60">
        <f ca="1">AVERAGE(OFFSET($DS$3,0,0,'Données projet'!$E$14+1,1))-AVERAGE(OFFSET($H$3,0,0,'Données projet'!$E$14+1,1))</f>
        <v>475.47920969424894</v>
      </c>
      <c r="DU26" s="60">
        <f t="shared" si="44"/>
        <v>271.73544012419364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5.6</v>
      </c>
      <c r="EJ26" s="13">
        <f>IF('Données projet'!$A$192&gt;35,EJ25+EI26-ER25,IF(A26&lt;'Données projet'!$A$192,$EG$205^A26,IF(A26='Données projet'!$A$192,'Données projet'!$B$192,EJ25+EI26-ER25)))</f>
        <v>58.800000000000004</v>
      </c>
      <c r="EK26" s="18">
        <f>EJ26*VLOOKUP('Données projet'!$B$15,Paramètres!$A$1:$I$89,3,0)*VLOOKUP('Données projet'!$B$15,Paramètres!$A$1:$I$89,5,0)</f>
        <v>53.202240000000003</v>
      </c>
      <c r="EL26" s="14">
        <f t="shared" si="45"/>
        <v>15.437740642425908</v>
      </c>
      <c r="EM26" s="22">
        <f t="shared" si="19"/>
        <v>119.54796628555846</v>
      </c>
      <c r="EN26" s="60">
        <f t="shared" si="20"/>
        <v>404.32574406333623</v>
      </c>
      <c r="EO26" s="60">
        <f ca="1">AVERAGE(OFFSET($EN$3,0,0,'Données projet'!$E$15+1,1))-AVERAGE(OFFSET($H$3,0,0,'Données projet'!$E$15+1,1))</f>
        <v>428.8489304403459</v>
      </c>
      <c r="EP26" s="60">
        <f t="shared" si="46"/>
        <v>247.01165577562966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5.6</v>
      </c>
      <c r="FE26" s="13">
        <f>IF('Données projet'!$A$218&gt;35,FE25+FD26-FM25,IF(A26&lt;'Données projet'!$A$218,$FB$205^A26,IF(A26='Données projet'!$A$218,'Données projet'!$B$218,FE25+FD26-FM25)))</f>
        <v>58.800000000000004</v>
      </c>
      <c r="FF26" s="18">
        <f>FE26*VLOOKUP('Données projet'!$B$16,Paramètres!$A$1:$I$89,3,0)*VLOOKUP('Données projet'!$B$16,Paramètres!$A$1:$I$89,5,0)</f>
        <v>56.87136000000001</v>
      </c>
      <c r="FG26" s="14">
        <f t="shared" si="47"/>
        <v>16.374802181791551</v>
      </c>
      <c r="FH26" s="22">
        <f t="shared" si="22"/>
        <v>127.57039913328697</v>
      </c>
      <c r="FI26" s="60">
        <f t="shared" si="23"/>
        <v>412.34817691106474</v>
      </c>
      <c r="FJ26" s="60">
        <f ca="1">AVERAGE(OFFSET($FI$3,0,0,'Données projet'!$E$16+1,1))-AVERAGE(OFFSET($H$3,0,0,'Données projet'!$E$16+1,1))</f>
        <v>455.50822833641354</v>
      </c>
      <c r="FK26" s="60">
        <f t="shared" si="48"/>
        <v>261.14722581688039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 t="e">
        <f>N27*VLOOKUP('Données projet'!$B$9,Paramètres!$A$1:$I$89,3,0)*VLOOKUP('Données projet'!$B$9,Paramètres!$A$1:$I$89,5,0)</f>
        <v>#N/A</v>
      </c>
      <c r="P27" s="14" t="e">
        <f t="shared" si="33"/>
        <v>#N/A</v>
      </c>
      <c r="Q27" s="22" t="e">
        <f t="shared" si="2"/>
        <v>#N/A</v>
      </c>
      <c r="R27" s="60" t="e">
        <f t="shared" si="0"/>
        <v>#N/A</v>
      </c>
      <c r="S27" s="60" t="e">
        <f ca="1">AVERAGE(OFFSET($R$3,0,0,'Données projet'!$E$9+1,1))-AVERAGE(OFFSET($H$3,0,0,'Données projet'!$E$9+1,1))</f>
        <v>#N/A</v>
      </c>
      <c r="T27" s="60" t="e">
        <f t="shared" si="34"/>
        <v>#N/A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 t="e">
        <f>EXP(-LN(2)/35)*Z26+(1-EXP(-LN(2)/35))/(LN(2)/35)*V27*W27*VLOOKUP('Données projet'!$B$9,Paramètres!$A$1:$I$89,3,0)*0.475*44/12</f>
        <v>#N/A</v>
      </c>
      <c r="AA27" s="23" t="e">
        <f>EXP(-LN(2)/25)*AA26+(1-EXP(-LN(2)/25))/(LN(2)/25)*Calculateur!V27*Calculateur!X27*VLOOKUP('Données projet'!$B$9,Paramètres!$A$1:$I$89,3,0)*0.475*44/12</f>
        <v>#N/A</v>
      </c>
      <c r="AB27" s="23" t="e">
        <f>EXP(-LN(2)/2)*AB26+(1-EXP(-LN(2)/2))/(LN(2)/2)*V27*Y27*VLOOKUP('Données projet'!$B$9,Paramètres!$A$1:$I$89,3,0)*0.475*44/12</f>
        <v>#N/A</v>
      </c>
      <c r="AC27" s="24" t="e">
        <f t="shared" si="3"/>
        <v>#N/A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15.6</v>
      </c>
      <c r="AI27" s="14">
        <f>IF('Données projet'!$A$62&gt;35,AI26+AH27-AQ26,IF(A27&lt;'Données projet'!$A$62,$AF$205^A27,IF(A27='Données projet'!$A$62,'Données projet'!$B$62,AI26+AH27-AQ26)))</f>
        <v>99.399999999999977</v>
      </c>
      <c r="AJ27" s="14">
        <f>AI27*VLOOKUP('Données projet'!$B$10,Paramètres!$A$1:$I$89,3,0)*VLOOKUP('Données projet'!$B$10,Paramètres!$A$1:$I$89,5,0)</f>
        <v>86.83583999999999</v>
      </c>
      <c r="AK27" s="14">
        <f t="shared" si="35"/>
        <v>23.800523515695954</v>
      </c>
      <c r="AL27" s="22">
        <f t="shared" si="4"/>
        <v>192.69166645650375</v>
      </c>
      <c r="AM27" s="60">
        <f t="shared" si="5"/>
        <v>478.69166645650375</v>
      </c>
      <c r="AN27" s="60">
        <f ca="1">AVERAGE(OFFSET($AM$3,0,0,'Données projet'!$E$10+1,1))-AVERAGE(OFFSET($H$3,0,0,'Données projet'!$E$10+1,1))</f>
        <v>325.06345339097095</v>
      </c>
      <c r="AO27" s="60">
        <f t="shared" si="36"/>
        <v>318.90379036810754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0" t="e">
        <f t="shared" si="8"/>
        <v>#N/A</v>
      </c>
      <c r="BI27" s="60" t="e">
        <f ca="1">AVERAGE(OFFSET($BH$3,0,0,'Données projet'!$E$11+1,1))-AVERAGE(OFFSET($H$3,0,0,'Données projet'!$E$11+1,1))</f>
        <v>#N/A</v>
      </c>
      <c r="BJ27" s="60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0" t="e">
        <f t="shared" si="11"/>
        <v>#N/A</v>
      </c>
      <c r="CD27" s="60" t="e">
        <f ca="1">AVERAGE(OFFSET($CC$3,0,0,'Données projet'!$E$12+1,1))-AVERAGE(OFFSET($H$3,0,0,'Données projet'!$E$12+1,1))</f>
        <v>#N/A</v>
      </c>
      <c r="CE27" s="60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56.259840000000011</v>
      </c>
      <c r="CV27" s="14">
        <f t="shared" si="41"/>
        <v>16.219126200073092</v>
      </c>
      <c r="CW27" s="22">
        <f t="shared" si="13"/>
        <v>126.23419946512733</v>
      </c>
      <c r="CX27" s="60">
        <f t="shared" si="14"/>
        <v>412.23419946512735</v>
      </c>
      <c r="CY27" s="60">
        <f ca="1">AVERAGE(OFFSET($CX$3,0,0,'Données projet'!$E$13+1,1))-AVERAGE(OFFSET($H$3,0,0,'Données projet'!$E$13+1,1))</f>
        <v>415.50509041799154</v>
      </c>
      <c r="CZ27" s="60">
        <f t="shared" si="42"/>
        <v>239.93573789765657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65.301600000000008</v>
      </c>
      <c r="DQ27" s="14">
        <f t="shared" si="43"/>
        <v>18.502003309535596</v>
      </c>
      <c r="DR27" s="22">
        <f t="shared" si="16"/>
        <v>145.95794243077449</v>
      </c>
      <c r="DS27" s="60">
        <f t="shared" si="17"/>
        <v>431.95794243077449</v>
      </c>
      <c r="DT27" s="60">
        <f ca="1">AVERAGE(OFFSET($DS$3,0,0,'Données projet'!$E$14+1,1))-AVERAGE(OFFSET($H$3,0,0,'Données projet'!$E$14+1,1))</f>
        <v>475.47920969424894</v>
      </c>
      <c r="DU27" s="60">
        <f t="shared" si="44"/>
        <v>271.73544012419364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5.6</v>
      </c>
      <c r="EJ27" s="13">
        <f>IF('Données projet'!$A$192&gt;35,EJ26+EI27-ER26,IF(A27&lt;'Données projet'!$A$192,$EG$205^A27,IF(A27='Données projet'!$A$192,'Données projet'!$B$192,EJ26+EI27-ER26)))</f>
        <v>64.400000000000006</v>
      </c>
      <c r="EK27" s="18">
        <f>EJ27*VLOOKUP('Données projet'!$B$15,Paramètres!$A$1:$I$89,3,0)*VLOOKUP('Données projet'!$B$15,Paramètres!$A$1:$I$89,5,0)</f>
        <v>58.269120000000008</v>
      </c>
      <c r="EL27" s="14">
        <f t="shared" si="45"/>
        <v>16.729905486873804</v>
      </c>
      <c r="EM27" s="22">
        <f t="shared" si="19"/>
        <v>130.62330272297189</v>
      </c>
      <c r="EN27" s="60">
        <f t="shared" si="20"/>
        <v>416.62330272297186</v>
      </c>
      <c r="EO27" s="60">
        <f ca="1">AVERAGE(OFFSET($EN$3,0,0,'Données projet'!$E$15+1,1))-AVERAGE(OFFSET($H$3,0,0,'Données projet'!$E$15+1,1))</f>
        <v>428.8489304403459</v>
      </c>
      <c r="EP27" s="60">
        <f t="shared" si="46"/>
        <v>247.01165577562966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5.6</v>
      </c>
      <c r="FE27" s="13">
        <f>IF('Données projet'!$A$218&gt;35,FE26+FD27-FM26,IF(A27&lt;'Données projet'!$A$218,$FB$205^A27,IF(A27='Données projet'!$A$218,'Données projet'!$B$218,FE26+FD27-FM26)))</f>
        <v>64.400000000000006</v>
      </c>
      <c r="FF27" s="18">
        <f>FE27*VLOOKUP('Données projet'!$B$16,Paramètres!$A$1:$I$89,3,0)*VLOOKUP('Données projet'!$B$16,Paramètres!$A$1:$I$89,5,0)</f>
        <v>62.287680000000009</v>
      </c>
      <c r="FG27" s="14">
        <f t="shared" si="47"/>
        <v>17.745400652396182</v>
      </c>
      <c r="FH27" s="22">
        <f t="shared" si="22"/>
        <v>139.39094880292336</v>
      </c>
      <c r="FI27" s="60">
        <f t="shared" si="23"/>
        <v>425.39094880292339</v>
      </c>
      <c r="FJ27" s="60">
        <f ca="1">AVERAGE(OFFSET($FI$3,0,0,'Données projet'!$E$16+1,1))-AVERAGE(OFFSET($H$3,0,0,'Données projet'!$E$16+1,1))</f>
        <v>455.50822833641354</v>
      </c>
      <c r="FK27" s="60">
        <f t="shared" si="48"/>
        <v>261.14722581688039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 t="e">
        <f>N28*VLOOKUP('Données projet'!$B$9,Paramètres!$A$1:$I$89,3,0)*VLOOKUP('Données projet'!$B$9,Paramètres!$A$1:$I$89,5,0)</f>
        <v>#N/A</v>
      </c>
      <c r="P28" s="14" t="e">
        <f t="shared" si="33"/>
        <v>#N/A</v>
      </c>
      <c r="Q28" s="22" t="e">
        <f t="shared" si="2"/>
        <v>#N/A</v>
      </c>
      <c r="R28" s="60" t="e">
        <f t="shared" si="0"/>
        <v>#N/A</v>
      </c>
      <c r="S28" s="60" t="e">
        <f ca="1">AVERAGE(OFFSET($R$3,0,0,'Données projet'!$E$9+1,1))-AVERAGE(OFFSET($H$3,0,0,'Données projet'!$E$9+1,1))</f>
        <v>#N/A</v>
      </c>
      <c r="T28" s="60" t="e">
        <f t="shared" si="34"/>
        <v>#N/A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 t="e">
        <f>EXP(-LN(2)/35)*Z27+(1-EXP(-LN(2)/35))/(LN(2)/35)*V28*W28*VLOOKUP('Données projet'!$B$9,Paramètres!$A$1:$I$89,3,0)*0.475*44/12</f>
        <v>#N/A</v>
      </c>
      <c r="AA28" s="23" t="e">
        <f>EXP(-LN(2)/25)*AA27+(1-EXP(-LN(2)/25))/(LN(2)/25)*Calculateur!V28*Calculateur!X28*VLOOKUP('Données projet'!$B$9,Paramètres!$A$1:$I$89,3,0)*0.475*44/12</f>
        <v>#N/A</v>
      </c>
      <c r="AB28" s="23" t="e">
        <f>EXP(-LN(2)/2)*AB27+(1-EXP(-LN(2)/2))/(LN(2)/2)*V28*Y28*VLOOKUP('Données projet'!$B$9,Paramètres!$A$1:$I$89,3,0)*0.475*44/12</f>
        <v>#N/A</v>
      </c>
      <c r="AC28" s="24" t="e">
        <f t="shared" si="3"/>
        <v>#N/A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115</v>
      </c>
      <c r="AG28" s="13">
        <f>VLOOKUP(A28,'Données projet'!$A$61:$I$81,9,0)</f>
        <v>15.6</v>
      </c>
      <c r="AH28" s="13">
        <f t="array" ref="AH28">INDEX(AG:AG,MIN(IF(ISNUMBER(AG28:AG224),ROW(AG28:AG224),"")))</f>
        <v>15.6</v>
      </c>
      <c r="AI28" s="14">
        <f>IF('Données projet'!$A$62&gt;35,AI27+AH28-AQ27,IF(A28&lt;'Données projet'!$A$62,$AF$205^A28,IF(A28='Données projet'!$A$62,'Données projet'!$B$62,AI27+AH28-AQ27)))</f>
        <v>114.99999999999997</v>
      </c>
      <c r="AJ28" s="14">
        <f>AI28*VLOOKUP('Données projet'!$B$10,Paramètres!$A$1:$I$89,3,0)*VLOOKUP('Données projet'!$B$10,Paramètres!$A$1:$I$89,5,0)</f>
        <v>100.46399999999998</v>
      </c>
      <c r="AK28" s="14">
        <f t="shared" si="35"/>
        <v>27.072509349827456</v>
      </c>
      <c r="AL28" s="22">
        <f t="shared" si="4"/>
        <v>222.12608711761615</v>
      </c>
      <c r="AM28" s="60">
        <f t="shared" si="5"/>
        <v>509.34830933983835</v>
      </c>
      <c r="AN28" s="60">
        <f ca="1">AVERAGE(OFFSET($AM$3,0,0,'Données projet'!$E$10+1,1))-AVERAGE(OFFSET($H$3,0,0,'Données projet'!$E$10+1,1))</f>
        <v>325.06345339097095</v>
      </c>
      <c r="AO28" s="60">
        <f t="shared" si="36"/>
        <v>318.90379036810754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0" t="e">
        <f t="shared" si="8"/>
        <v>#N/A</v>
      </c>
      <c r="BI28" s="60" t="e">
        <f ca="1">AVERAGE(OFFSET($BH$3,0,0,'Données projet'!$E$11+1,1))-AVERAGE(OFFSET($H$3,0,0,'Données projet'!$E$11+1,1))</f>
        <v>#N/A</v>
      </c>
      <c r="BJ28" s="60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0" t="e">
        <f t="shared" si="11"/>
        <v>#N/A</v>
      </c>
      <c r="CD28" s="60" t="e">
        <f ca="1">AVERAGE(OFFSET($CC$3,0,0,'Données projet'!$E$12+1,1))-AVERAGE(OFFSET($H$3,0,0,'Données projet'!$E$12+1,1))</f>
        <v>#N/A</v>
      </c>
      <c r="CE28" s="60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61.152000000000008</v>
      </c>
      <c r="CV28" s="14">
        <f t="shared" si="41"/>
        <v>17.459207591071255</v>
      </c>
      <c r="CW28" s="22">
        <f t="shared" si="13"/>
        <v>136.91451988778243</v>
      </c>
      <c r="CX28" s="60">
        <f t="shared" si="14"/>
        <v>424.13674211000466</v>
      </c>
      <c r="CY28" s="60">
        <f ca="1">AVERAGE(OFFSET($CX$3,0,0,'Données projet'!$E$13+1,1))-AVERAGE(OFFSET($H$3,0,0,'Données projet'!$E$13+1,1))</f>
        <v>415.50509041799154</v>
      </c>
      <c r="CZ28" s="60">
        <f t="shared" si="42"/>
        <v>239.93573789765657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70.98</v>
      </c>
      <c r="DQ28" s="14">
        <f t="shared" si="43"/>
        <v>19.916628839746853</v>
      </c>
      <c r="DR28" s="22">
        <f t="shared" si="16"/>
        <v>158.31162856255909</v>
      </c>
      <c r="DS28" s="60">
        <f t="shared" si="17"/>
        <v>445.53385078478129</v>
      </c>
      <c r="DT28" s="60">
        <f ca="1">AVERAGE(OFFSET($DS$3,0,0,'Données projet'!$E$14+1,1))-AVERAGE(OFFSET($H$3,0,0,'Données projet'!$E$14+1,1))</f>
        <v>475.47920969424894</v>
      </c>
      <c r="DU28" s="60">
        <f t="shared" si="44"/>
        <v>271.73544012419364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70</v>
      </c>
      <c r="EH28" s="13">
        <f>VLOOKUP(A28,'Données projet'!$A$191:$I$211,9,0)</f>
        <v>5.6</v>
      </c>
      <c r="EI28" s="13">
        <f t="array" ref="EI28">INDEX(EH:EH,MIN(IF(ISNUMBER(EH28:EH224),ROW(EH28:EH224),"")))</f>
        <v>5.6</v>
      </c>
      <c r="EJ28" s="13">
        <f>IF('Données projet'!$A$192&gt;35,EJ27+EI28-ER27,IF(A28&lt;'Données projet'!$A$192,$EG$205^A28,IF(A28='Données projet'!$A$192,'Données projet'!$B$192,EJ27+EI28-ER27)))</f>
        <v>70</v>
      </c>
      <c r="EK28" s="18">
        <f>EJ28*VLOOKUP('Données projet'!$B$15,Paramètres!$A$1:$I$89,3,0)*VLOOKUP('Données projet'!$B$15,Paramètres!$A$1:$I$89,5,0)</f>
        <v>63.335999999999991</v>
      </c>
      <c r="EL28" s="14">
        <f t="shared" si="45"/>
        <v>18.009040022946227</v>
      </c>
      <c r="EM28" s="22">
        <f t="shared" si="19"/>
        <v>141.67594470663133</v>
      </c>
      <c r="EN28" s="60">
        <f t="shared" si="20"/>
        <v>428.89816692885358</v>
      </c>
      <c r="EO28" s="60">
        <f ca="1">AVERAGE(OFFSET($EN$3,0,0,'Données projet'!$E$15+1,1))-AVERAGE(OFFSET($H$3,0,0,'Données projet'!$E$15+1,1))</f>
        <v>428.8489304403459</v>
      </c>
      <c r="EP28" s="60">
        <f t="shared" si="46"/>
        <v>247.01165577562966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70</v>
      </c>
      <c r="FC28" s="13">
        <f>VLOOKUP(A28,'Données projet'!$A$217:$I$237,9,0)</f>
        <v>5.6</v>
      </c>
      <c r="FD28" s="13">
        <f t="array" ref="FD28">INDEX(FC:FC,MIN(IF(ISNUMBER(FC28:FC224),ROW(FC28:FC224),"")))</f>
        <v>5.6</v>
      </c>
      <c r="FE28" s="13">
        <f>IF('Données projet'!$A$218&gt;35,FE27+FD28-FM27,IF(A28&lt;'Données projet'!$A$218,$FB$205^A28,IF(A28='Données projet'!$A$218,'Données projet'!$B$218,FE27+FD28-FM27)))</f>
        <v>70</v>
      </c>
      <c r="FF28" s="18">
        <f>FE28*VLOOKUP('Données projet'!$B$16,Paramètres!$A$1:$I$89,3,0)*VLOOKUP('Données projet'!$B$16,Paramètres!$A$1:$I$89,5,0)</f>
        <v>67.703999999999994</v>
      </c>
      <c r="FG28" s="14">
        <f t="shared" si="47"/>
        <v>19.102177882771514</v>
      </c>
      <c r="FH28" s="22">
        <f t="shared" si="22"/>
        <v>151.18742647916039</v>
      </c>
      <c r="FI28" s="60">
        <f t="shared" si="23"/>
        <v>438.40964870138259</v>
      </c>
      <c r="FJ28" s="60">
        <f ca="1">AVERAGE(OFFSET($FI$3,0,0,'Données projet'!$E$16+1,1))-AVERAGE(OFFSET($H$3,0,0,'Données projet'!$E$16+1,1))</f>
        <v>455.50822833641354</v>
      </c>
      <c r="FK28" s="60">
        <f t="shared" si="48"/>
        <v>261.14722581688039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 t="e">
        <f>N29*VLOOKUP('Données projet'!$B$9,Paramètres!$A$1:$I$89,3,0)*VLOOKUP('Données projet'!$B$9,Paramètres!$A$1:$I$89,5,0)</f>
        <v>#N/A</v>
      </c>
      <c r="P29" s="14" t="e">
        <f t="shared" si="33"/>
        <v>#N/A</v>
      </c>
      <c r="Q29" s="22" t="e">
        <f t="shared" si="2"/>
        <v>#N/A</v>
      </c>
      <c r="R29" s="60" t="e">
        <f t="shared" si="0"/>
        <v>#N/A</v>
      </c>
      <c r="S29" s="60" t="e">
        <f ca="1">AVERAGE(OFFSET($R$3,0,0,'Données projet'!$E$9+1,1))-AVERAGE(OFFSET($H$3,0,0,'Données projet'!$E$9+1,1))</f>
        <v>#N/A</v>
      </c>
      <c r="T29" s="60" t="e">
        <f t="shared" si="34"/>
        <v>#N/A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 t="e">
        <f>EXP(-LN(2)/35)*Z28+(1-EXP(-LN(2)/35))/(LN(2)/35)*V29*W29*VLOOKUP('Données projet'!$B$9,Paramètres!$A$1:$I$89,3,0)*0.475*44/12</f>
        <v>#N/A</v>
      </c>
      <c r="AA29" s="23" t="e">
        <f>EXP(-LN(2)/25)*AA28+(1-EXP(-LN(2)/25))/(LN(2)/25)*Calculateur!V29*Calculateur!X29*VLOOKUP('Données projet'!$B$9,Paramètres!$A$1:$I$89,3,0)*0.475*44/12</f>
        <v>#N/A</v>
      </c>
      <c r="AB29" s="23" t="e">
        <f>EXP(-LN(2)/2)*AB28+(1-EXP(-LN(2)/2))/(LN(2)/2)*V29*Y29*VLOOKUP('Données projet'!$B$9,Paramètres!$A$1:$I$89,3,0)*0.475*44/12</f>
        <v>#N/A</v>
      </c>
      <c r="AC29" s="24" t="e">
        <f t="shared" si="3"/>
        <v>#N/A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6.4</v>
      </c>
      <c r="AI29" s="14">
        <f>IF('Données projet'!$A$62&gt;35,AI28+AH29-AQ28,IF(A29&lt;'Données projet'!$A$62,$AF$205^A29,IF(A29='Données projet'!$A$62,'Données projet'!$B$62,AI28+AH29-AQ28)))</f>
        <v>121.39999999999998</v>
      </c>
      <c r="AJ29" s="14">
        <f>AI29*VLOOKUP('Données projet'!$B$10,Paramètres!$A$1:$I$89,3,0)*VLOOKUP('Données projet'!$B$10,Paramètres!$A$1:$I$89,5,0)</f>
        <v>106.05503999999999</v>
      </c>
      <c r="AK29" s="14">
        <f t="shared" si="35"/>
        <v>28.399554817794122</v>
      </c>
      <c r="AL29" s="22">
        <f t="shared" si="4"/>
        <v>234.17508597432473</v>
      </c>
      <c r="AM29" s="60">
        <f t="shared" si="5"/>
        <v>522.61953041876916</v>
      </c>
      <c r="AN29" s="60">
        <f ca="1">AVERAGE(OFFSET($AM$3,0,0,'Données projet'!$E$10+1,1))-AVERAGE(OFFSET($H$3,0,0,'Données projet'!$E$10+1,1))</f>
        <v>325.06345339097095</v>
      </c>
      <c r="AO29" s="60">
        <f t="shared" si="36"/>
        <v>318.90379036810754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0" t="e">
        <f t="shared" si="8"/>
        <v>#N/A</v>
      </c>
      <c r="BI29" s="60" t="e">
        <f ca="1">AVERAGE(OFFSET($BH$3,0,0,'Données projet'!$E$11+1,1))-AVERAGE(OFFSET($H$3,0,0,'Données projet'!$E$11+1,1))</f>
        <v>#N/A</v>
      </c>
      <c r="BJ29" s="60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0" t="e">
        <f t="shared" si="11"/>
        <v>#N/A</v>
      </c>
      <c r="CD29" s="60" t="e">
        <f ca="1">AVERAGE(OFFSET($CC$3,0,0,'Données projet'!$E$12+1,1))-AVERAGE(OFFSET($H$3,0,0,'Données projet'!$E$12+1,1))</f>
        <v>#N/A</v>
      </c>
      <c r="CE29" s="60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67.267200000000003</v>
      </c>
      <c r="CV29" s="14">
        <f t="shared" si="41"/>
        <v>18.993242158132926</v>
      </c>
      <c r="CW29" s="22">
        <f t="shared" si="13"/>
        <v>150.23693675874819</v>
      </c>
      <c r="CX29" s="60">
        <f t="shared" si="14"/>
        <v>438.68138120319264</v>
      </c>
      <c r="CY29" s="60">
        <f ca="1">AVERAGE(OFFSET($CX$3,0,0,'Données projet'!$E$13+1,1))-AVERAGE(OFFSET($H$3,0,0,'Données projet'!$E$13+1,1))</f>
        <v>415.50509041799154</v>
      </c>
      <c r="CZ29" s="60">
        <f t="shared" si="42"/>
        <v>239.93573789765657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77</v>
      </c>
      <c r="DP29" s="18">
        <f>DO29*VLOOKUP('Données projet'!$B$14,Paramètres!$A$1:$I$89,3,0)*VLOOKUP('Données projet'!$B$14,Paramètres!$A$1:$I$89,5,0)</f>
        <v>78.078000000000003</v>
      </c>
      <c r="DQ29" s="14">
        <f t="shared" si="43"/>
        <v>21.666582091642084</v>
      </c>
      <c r="DR29" s="22">
        <f t="shared" si="16"/>
        <v>173.72181380960993</v>
      </c>
      <c r="DS29" s="60">
        <f t="shared" si="17"/>
        <v>462.16625825405436</v>
      </c>
      <c r="DT29" s="60">
        <f ca="1">AVERAGE(OFFSET($DS$3,0,0,'Données projet'!$E$14+1,1))-AVERAGE(OFFSET($H$3,0,0,'Données projet'!$E$14+1,1))</f>
        <v>475.47920969424894</v>
      </c>
      <c r="DU29" s="60">
        <f t="shared" si="44"/>
        <v>271.73544012419364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</v>
      </c>
      <c r="EJ29" s="13">
        <f>IF('Données projet'!$A$192&gt;35,EJ28+EI29-ER28,IF(A29&lt;'Données projet'!$A$192,$EG$205^A29,IF(A29='Données projet'!$A$192,'Données projet'!$B$192,EJ28+EI29-ER28)))</f>
        <v>77</v>
      </c>
      <c r="EK29" s="18">
        <f>EJ29*VLOOKUP('Données projet'!$B$15,Paramètres!$A$1:$I$89,3,0)*VLOOKUP('Données projet'!$B$15,Paramètres!$A$1:$I$89,5,0)</f>
        <v>69.669600000000003</v>
      </c>
      <c r="EL29" s="14">
        <f t="shared" si="45"/>
        <v>19.591385027476957</v>
      </c>
      <c r="EM29" s="22">
        <f t="shared" si="19"/>
        <v>155.46288225618903</v>
      </c>
      <c r="EN29" s="60">
        <f t="shared" si="20"/>
        <v>443.90732670063346</v>
      </c>
      <c r="EO29" s="60">
        <f ca="1">AVERAGE(OFFSET($EN$3,0,0,'Données projet'!$E$15+1,1))-AVERAGE(OFFSET($H$3,0,0,'Données projet'!$E$15+1,1))</f>
        <v>428.8489304403459</v>
      </c>
      <c r="EP29" s="60">
        <f t="shared" si="46"/>
        <v>247.01165577562966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7</v>
      </c>
      <c r="FE29" s="13">
        <f>IF('Données projet'!$A$218&gt;35,FE28+FD29-FM28,IF(A29&lt;'Données projet'!$A$218,$FB$205^A29,IF(A29='Données projet'!$A$218,'Données projet'!$B$218,FE28+FD29-FM28)))</f>
        <v>77</v>
      </c>
      <c r="FF29" s="18">
        <f>FE29*VLOOKUP('Données projet'!$B$16,Paramètres!$A$1:$I$89,3,0)*VLOOKUP('Données projet'!$B$16,Paramètres!$A$1:$I$89,5,0)</f>
        <v>74.474400000000003</v>
      </c>
      <c r="FG29" s="14">
        <f t="shared" si="47"/>
        <v>20.780570274034375</v>
      </c>
      <c r="FH29" s="22">
        <f t="shared" si="22"/>
        <v>165.90240656060988</v>
      </c>
      <c r="FI29" s="60">
        <f t="shared" si="23"/>
        <v>454.3468510050543</v>
      </c>
      <c r="FJ29" s="60">
        <f ca="1">AVERAGE(OFFSET($FI$3,0,0,'Données projet'!$E$16+1,1))-AVERAGE(OFFSET($H$3,0,0,'Données projet'!$E$16+1,1))</f>
        <v>455.50822833641354</v>
      </c>
      <c r="FK29" s="60">
        <f t="shared" si="48"/>
        <v>261.14722581688039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 t="e">
        <f>N30*VLOOKUP('Données projet'!$B$9,Paramètres!$A$1:$I$89,3,0)*VLOOKUP('Données projet'!$B$9,Paramètres!$A$1:$I$89,5,0)</f>
        <v>#N/A</v>
      </c>
      <c r="P30" s="14" t="e">
        <f t="shared" si="33"/>
        <v>#N/A</v>
      </c>
      <c r="Q30" s="22" t="e">
        <f t="shared" si="2"/>
        <v>#N/A</v>
      </c>
      <c r="R30" s="60" t="e">
        <f t="shared" si="0"/>
        <v>#N/A</v>
      </c>
      <c r="S30" s="60" t="e">
        <f ca="1">AVERAGE(OFFSET($R$3,0,0,'Données projet'!$E$9+1,1))-AVERAGE(OFFSET($H$3,0,0,'Données projet'!$E$9+1,1))</f>
        <v>#N/A</v>
      </c>
      <c r="T30" s="60" t="e">
        <f t="shared" si="34"/>
        <v>#N/A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 t="e">
        <f>EXP(-LN(2)/35)*Z29+(1-EXP(-LN(2)/35))/(LN(2)/35)*V30*W30*VLOOKUP('Données projet'!$B$9,Paramètres!$A$1:$I$89,3,0)*0.475*44/12</f>
        <v>#N/A</v>
      </c>
      <c r="AA30" s="23" t="e">
        <f>EXP(-LN(2)/25)*AA29+(1-EXP(-LN(2)/25))/(LN(2)/25)*Calculateur!V30*Calculateur!X30*VLOOKUP('Données projet'!$B$9,Paramètres!$A$1:$I$89,3,0)*0.475*44/12</f>
        <v>#N/A</v>
      </c>
      <c r="AB30" s="23" t="e">
        <f>EXP(-LN(2)/2)*AB29+(1-EXP(-LN(2)/2))/(LN(2)/2)*V30*Y30*VLOOKUP('Données projet'!$B$9,Paramètres!$A$1:$I$89,3,0)*0.475*44/12</f>
        <v>#N/A</v>
      </c>
      <c r="AC30" s="24" t="e">
        <f t="shared" si="3"/>
        <v>#N/A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6.4</v>
      </c>
      <c r="AI30" s="14">
        <f>IF('Données projet'!$A$62&gt;35,AI29+AH30-AQ29,IF(A30&lt;'Données projet'!$A$62,$AF$205^A30,IF(A30='Données projet'!$A$62,'Données projet'!$B$62,AI29+AH30-AQ29)))</f>
        <v>127.79999999999998</v>
      </c>
      <c r="AJ30" s="14">
        <f>AI30*VLOOKUP('Données projet'!$B$10,Paramètres!$A$1:$I$89,3,0)*VLOOKUP('Données projet'!$B$10,Paramètres!$A$1:$I$89,5,0)</f>
        <v>111.64608</v>
      </c>
      <c r="AK30" s="14">
        <f t="shared" si="35"/>
        <v>29.718477955114288</v>
      </c>
      <c r="AL30" s="22">
        <f t="shared" si="4"/>
        <v>246.2099384384907</v>
      </c>
      <c r="AM30" s="60">
        <f t="shared" si="5"/>
        <v>535.87660510515741</v>
      </c>
      <c r="AN30" s="60">
        <f ca="1">AVERAGE(OFFSET($AM$3,0,0,'Données projet'!$E$10+1,1))-AVERAGE(OFFSET($H$3,0,0,'Données projet'!$E$10+1,1))</f>
        <v>325.06345339097095</v>
      </c>
      <c r="AO30" s="60">
        <f t="shared" si="36"/>
        <v>318.90379036810754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0" t="e">
        <f t="shared" si="8"/>
        <v>#N/A</v>
      </c>
      <c r="BI30" s="60" t="e">
        <f ca="1">AVERAGE(OFFSET($BH$3,0,0,'Données projet'!$E$11+1,1))-AVERAGE(OFFSET($H$3,0,0,'Données projet'!$E$11+1,1))</f>
        <v>#N/A</v>
      </c>
      <c r="BJ30" s="60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0" t="e">
        <f t="shared" si="11"/>
        <v>#N/A</v>
      </c>
      <c r="CD30" s="60" t="e">
        <f ca="1">AVERAGE(OFFSET($CC$3,0,0,'Données projet'!$E$12+1,1))-AVERAGE(OFFSET($H$3,0,0,'Données projet'!$E$12+1,1))</f>
        <v>#N/A</v>
      </c>
      <c r="CE30" s="60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73.382400000000018</v>
      </c>
      <c r="CV30" s="14">
        <f t="shared" si="41"/>
        <v>20.511105942035552</v>
      </c>
      <c r="CW30" s="22">
        <f t="shared" si="13"/>
        <v>163.53118951571196</v>
      </c>
      <c r="CX30" s="60">
        <f t="shared" si="14"/>
        <v>453.19785618237864</v>
      </c>
      <c r="CY30" s="60">
        <f ca="1">AVERAGE(OFFSET($CX$3,0,0,'Données projet'!$E$13+1,1))-AVERAGE(OFFSET($H$3,0,0,'Données projet'!$E$13+1,1))</f>
        <v>415.50509041799154</v>
      </c>
      <c r="CZ30" s="60">
        <f t="shared" si="42"/>
        <v>239.93573789765657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84</v>
      </c>
      <c r="DP30" s="18">
        <f>DO30*VLOOKUP('Données projet'!$B$14,Paramètres!$A$1:$I$89,3,0)*VLOOKUP('Données projet'!$B$14,Paramètres!$A$1:$I$89,5,0)</f>
        <v>85.176000000000002</v>
      </c>
      <c r="DQ30" s="14">
        <f t="shared" si="43"/>
        <v>23.398088487656441</v>
      </c>
      <c r="DR30" s="22">
        <f t="shared" si="16"/>
        <v>189.09987078266829</v>
      </c>
      <c r="DS30" s="60">
        <f t="shared" si="17"/>
        <v>478.76653744933498</v>
      </c>
      <c r="DT30" s="60">
        <f ca="1">AVERAGE(OFFSET($DS$3,0,0,'Données projet'!$E$14+1,1))-AVERAGE(OFFSET($H$3,0,0,'Données projet'!$E$14+1,1))</f>
        <v>475.47920969424894</v>
      </c>
      <c r="DU30" s="60">
        <f t="shared" si="44"/>
        <v>271.73544012419364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</v>
      </c>
      <c r="EJ30" s="13">
        <f>IF('Données projet'!$A$192&gt;35,EJ29+EI30-ER29,IF(A30&lt;'Données projet'!$A$192,$EG$205^A30,IF(A30='Données projet'!$A$192,'Données projet'!$B$192,EJ29+EI30-ER29)))</f>
        <v>84</v>
      </c>
      <c r="EK30" s="18">
        <f>EJ30*VLOOKUP('Données projet'!$B$15,Paramètres!$A$1:$I$89,3,0)*VLOOKUP('Données projet'!$B$15,Paramètres!$A$1:$I$89,5,0)</f>
        <v>76.003200000000007</v>
      </c>
      <c r="EL30" s="14">
        <f t="shared" si="45"/>
        <v>21.157049992000456</v>
      </c>
      <c r="EM30" s="22">
        <f t="shared" si="19"/>
        <v>169.22076873606747</v>
      </c>
      <c r="EN30" s="60">
        <f t="shared" si="20"/>
        <v>458.88743540273413</v>
      </c>
      <c r="EO30" s="60">
        <f ca="1">AVERAGE(OFFSET($EN$3,0,0,'Données projet'!$E$15+1,1))-AVERAGE(OFFSET($H$3,0,0,'Données projet'!$E$15+1,1))</f>
        <v>428.8489304403459</v>
      </c>
      <c r="EP30" s="60">
        <f t="shared" si="46"/>
        <v>247.01165577562966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7</v>
      </c>
      <c r="FE30" s="13">
        <f>IF('Données projet'!$A$218&gt;35,FE29+FD30-FM29,IF(A30&lt;'Données projet'!$A$218,$FB$205^A30,IF(A30='Données projet'!$A$218,'Données projet'!$B$218,FE29+FD30-FM29)))</f>
        <v>84</v>
      </c>
      <c r="FF30" s="18">
        <f>FE30*VLOOKUP('Données projet'!$B$16,Paramètres!$A$1:$I$89,3,0)*VLOOKUP('Données projet'!$B$16,Paramètres!$A$1:$I$89,5,0)</f>
        <v>81.244799999999998</v>
      </c>
      <c r="FG30" s="14">
        <f t="shared" si="47"/>
        <v>22.441270156928962</v>
      </c>
      <c r="FH30" s="22">
        <f t="shared" si="22"/>
        <v>180.58657218998462</v>
      </c>
      <c r="FI30" s="60">
        <f t="shared" si="23"/>
        <v>470.25323885665131</v>
      </c>
      <c r="FJ30" s="60">
        <f ca="1">AVERAGE(OFFSET($FI$3,0,0,'Données projet'!$E$16+1,1))-AVERAGE(OFFSET($H$3,0,0,'Données projet'!$E$16+1,1))</f>
        <v>455.50822833641354</v>
      </c>
      <c r="FK30" s="60">
        <f t="shared" si="48"/>
        <v>261.14722581688039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 t="e">
        <f>N31*VLOOKUP('Données projet'!$B$9,Paramètres!$A$1:$I$89,3,0)*VLOOKUP('Données projet'!$B$9,Paramètres!$A$1:$I$89,5,0)</f>
        <v>#N/A</v>
      </c>
      <c r="P31" s="14" t="e">
        <f t="shared" si="33"/>
        <v>#N/A</v>
      </c>
      <c r="Q31" s="22" t="e">
        <f t="shared" si="2"/>
        <v>#N/A</v>
      </c>
      <c r="R31" s="60" t="e">
        <f t="shared" si="0"/>
        <v>#N/A</v>
      </c>
      <c r="S31" s="60" t="e">
        <f ca="1">AVERAGE(OFFSET($R$3,0,0,'Données projet'!$E$9+1,1))-AVERAGE(OFFSET($H$3,0,0,'Données projet'!$E$9+1,1))</f>
        <v>#N/A</v>
      </c>
      <c r="T31" s="60" t="e">
        <f t="shared" si="34"/>
        <v>#N/A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 t="e">
        <f>EXP(-LN(2)/35)*Z30+(1-EXP(-LN(2)/35))/(LN(2)/35)*V31*W31*VLOOKUP('Données projet'!$B$9,Paramètres!$A$1:$I$89,3,0)*0.475*44/12</f>
        <v>#N/A</v>
      </c>
      <c r="AA31" s="23" t="e">
        <f>EXP(-LN(2)/25)*AA30+(1-EXP(-LN(2)/25))/(LN(2)/25)*Calculateur!V31*Calculateur!X31*VLOOKUP('Données projet'!$B$9,Paramètres!$A$1:$I$89,3,0)*0.475*44/12</f>
        <v>#N/A</v>
      </c>
      <c r="AB31" s="23" t="e">
        <f>EXP(-LN(2)/2)*AB30+(1-EXP(-LN(2)/2))/(LN(2)/2)*V31*Y31*VLOOKUP('Données projet'!$B$9,Paramètres!$A$1:$I$89,3,0)*0.475*44/12</f>
        <v>#N/A</v>
      </c>
      <c r="AC31" s="24" t="e">
        <f t="shared" si="3"/>
        <v>#N/A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6.4</v>
      </c>
      <c r="AI31" s="14">
        <f>IF('Données projet'!$A$62&gt;35,AI30+AH31-AQ30,IF(A31&lt;'Données projet'!$A$62,$AF$205^A31,IF(A31='Données projet'!$A$62,'Données projet'!$B$62,AI30+AH31-AQ30)))</f>
        <v>134.19999999999999</v>
      </c>
      <c r="AJ31" s="14">
        <f>AI31*VLOOKUP('Données projet'!$B$10,Paramètres!$A$1:$I$89,3,0)*VLOOKUP('Données projet'!$B$10,Paramètres!$A$1:$I$89,5,0)</f>
        <v>117.23712</v>
      </c>
      <c r="AK31" s="14">
        <f t="shared" si="35"/>
        <v>31.029731926851227</v>
      </c>
      <c r="AL31" s="22">
        <f t="shared" si="4"/>
        <v>258.23143377259925</v>
      </c>
      <c r="AM31" s="60">
        <f t="shared" si="5"/>
        <v>549.1203226614881</v>
      </c>
      <c r="AN31" s="60">
        <f ca="1">AVERAGE(OFFSET($AM$3,0,0,'Données projet'!$E$10+1,1))-AVERAGE(OFFSET($H$3,0,0,'Données projet'!$E$10+1,1))</f>
        <v>325.06345339097095</v>
      </c>
      <c r="AO31" s="60">
        <f t="shared" si="36"/>
        <v>318.90379036810754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0" t="e">
        <f t="shared" si="8"/>
        <v>#N/A</v>
      </c>
      <c r="BI31" s="60" t="e">
        <f ca="1">AVERAGE(OFFSET($BH$3,0,0,'Données projet'!$E$11+1,1))-AVERAGE(OFFSET($H$3,0,0,'Données projet'!$E$11+1,1))</f>
        <v>#N/A</v>
      </c>
      <c r="BJ31" s="60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0" t="e">
        <f t="shared" si="11"/>
        <v>#N/A</v>
      </c>
      <c r="CD31" s="60" t="e">
        <f ca="1">AVERAGE(OFFSET($CC$3,0,0,'Données projet'!$E$12+1,1))-AVERAGE(OFFSET($H$3,0,0,'Données projet'!$E$12+1,1))</f>
        <v>#N/A</v>
      </c>
      <c r="CE31" s="60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79.49760000000002</v>
      </c>
      <c r="CV31" s="14">
        <f t="shared" si="41"/>
        <v>22.014299714245357</v>
      </c>
      <c r="CW31" s="22">
        <f t="shared" si="13"/>
        <v>176.79989200231068</v>
      </c>
      <c r="CX31" s="60">
        <f t="shared" si="14"/>
        <v>467.68878089119954</v>
      </c>
      <c r="CY31" s="60">
        <f ca="1">AVERAGE(OFFSET($CX$3,0,0,'Données projet'!$E$13+1,1))-AVERAGE(OFFSET($H$3,0,0,'Données projet'!$E$13+1,1))</f>
        <v>415.50509041799154</v>
      </c>
      <c r="CZ31" s="60">
        <f t="shared" si="42"/>
        <v>239.93573789765657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91</v>
      </c>
      <c r="DP31" s="18">
        <f>DO31*VLOOKUP('Données projet'!$B$14,Paramètres!$A$1:$I$89,3,0)*VLOOKUP('Données projet'!$B$14,Paramètres!$A$1:$I$89,5,0)</f>
        <v>92.274000000000001</v>
      </c>
      <c r="DQ31" s="14">
        <f t="shared" si="43"/>
        <v>25.112860036087575</v>
      </c>
      <c r="DR31" s="22">
        <f t="shared" si="16"/>
        <v>204.4487812295192</v>
      </c>
      <c r="DS31" s="60">
        <f t="shared" si="17"/>
        <v>495.33767011840803</v>
      </c>
      <c r="DT31" s="60">
        <f ca="1">AVERAGE(OFFSET($DS$3,0,0,'Données projet'!$E$14+1,1))-AVERAGE(OFFSET($H$3,0,0,'Données projet'!$E$14+1,1))</f>
        <v>475.47920969424894</v>
      </c>
      <c r="DU31" s="60">
        <f t="shared" si="44"/>
        <v>271.73544012419364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</v>
      </c>
      <c r="EJ31" s="13">
        <f>IF('Données projet'!$A$192&gt;35,EJ30+EI31-ER30,IF(A31&lt;'Données projet'!$A$192,$EG$205^A31,IF(A31='Données projet'!$A$192,'Données projet'!$B$192,EJ30+EI31-ER30)))</f>
        <v>91</v>
      </c>
      <c r="EK31" s="18">
        <f>EJ31*VLOOKUP('Données projet'!$B$15,Paramètres!$A$1:$I$89,3,0)*VLOOKUP('Données projet'!$B$15,Paramètres!$A$1:$I$89,5,0)</f>
        <v>82.336799999999997</v>
      </c>
      <c r="EL31" s="14">
        <f t="shared" si="45"/>
        <v>22.707582950885364</v>
      </c>
      <c r="EM31" s="22">
        <f t="shared" si="19"/>
        <v>182.95230030612535</v>
      </c>
      <c r="EN31" s="60">
        <f t="shared" si="20"/>
        <v>473.84118919501418</v>
      </c>
      <c r="EO31" s="60">
        <f ca="1">AVERAGE(OFFSET($EN$3,0,0,'Données projet'!$E$15+1,1))-AVERAGE(OFFSET($H$3,0,0,'Données projet'!$E$15+1,1))</f>
        <v>428.8489304403459</v>
      </c>
      <c r="EP31" s="60">
        <f t="shared" si="46"/>
        <v>247.01165577562966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7</v>
      </c>
      <c r="FE31" s="13">
        <f>IF('Données projet'!$A$218&gt;35,FE30+FD31-FM30,IF(A31&lt;'Données projet'!$A$218,$FB$205^A31,IF(A31='Données projet'!$A$218,'Données projet'!$B$218,FE30+FD31-FM30)))</f>
        <v>91</v>
      </c>
      <c r="FF31" s="18">
        <f>FE31*VLOOKUP('Données projet'!$B$16,Paramètres!$A$1:$I$89,3,0)*VLOOKUP('Données projet'!$B$16,Paramètres!$A$1:$I$89,5,0)</f>
        <v>88.015200000000007</v>
      </c>
      <c r="FG31" s="14">
        <f t="shared" si="47"/>
        <v>24.085919530575829</v>
      </c>
      <c r="FH31" s="22">
        <f t="shared" si="22"/>
        <v>195.24278318241954</v>
      </c>
      <c r="FI31" s="60">
        <f t="shared" si="23"/>
        <v>486.1316720713084</v>
      </c>
      <c r="FJ31" s="60">
        <f ca="1">AVERAGE(OFFSET($FI$3,0,0,'Données projet'!$E$16+1,1))-AVERAGE(OFFSET($H$3,0,0,'Données projet'!$E$16+1,1))</f>
        <v>455.50822833641354</v>
      </c>
      <c r="FK31" s="60">
        <f t="shared" si="48"/>
        <v>261.14722581688039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 t="e">
        <f>N32*VLOOKUP('Données projet'!$B$9,Paramètres!$A$1:$I$89,3,0)*VLOOKUP('Données projet'!$B$9,Paramètres!$A$1:$I$89,5,0)</f>
        <v>#N/A</v>
      </c>
      <c r="P32" s="14" t="e">
        <f t="shared" si="33"/>
        <v>#N/A</v>
      </c>
      <c r="Q32" s="22" t="e">
        <f t="shared" si="2"/>
        <v>#N/A</v>
      </c>
      <c r="R32" s="60" t="e">
        <f t="shared" si="0"/>
        <v>#N/A</v>
      </c>
      <c r="S32" s="60" t="e">
        <f ca="1">AVERAGE(OFFSET($R$3,0,0,'Données projet'!$E$9+1,1))-AVERAGE(OFFSET($H$3,0,0,'Données projet'!$E$9+1,1))</f>
        <v>#N/A</v>
      </c>
      <c r="T32" s="60" t="e">
        <f t="shared" si="34"/>
        <v>#N/A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 t="e">
        <f>EXP(-LN(2)/35)*Z31+(1-EXP(-LN(2)/35))/(LN(2)/35)*V32*W32*VLOOKUP('Données projet'!$B$9,Paramètres!$A$1:$I$89,3,0)*0.475*44/12</f>
        <v>#N/A</v>
      </c>
      <c r="AA32" s="23" t="e">
        <f>EXP(-LN(2)/25)*AA31+(1-EXP(-LN(2)/25))/(LN(2)/25)*Calculateur!V32*Calculateur!X32*VLOOKUP('Données projet'!$B$9,Paramètres!$A$1:$I$89,3,0)*0.475*44/12</f>
        <v>#N/A</v>
      </c>
      <c r="AB32" s="23" t="e">
        <f>EXP(-LN(2)/2)*AB31+(1-EXP(-LN(2)/2))/(LN(2)/2)*V32*Y32*VLOOKUP('Données projet'!$B$9,Paramètres!$A$1:$I$89,3,0)*0.475*44/12</f>
        <v>#N/A</v>
      </c>
      <c r="AC32" s="24" t="e">
        <f t="shared" si="3"/>
        <v>#N/A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6.4</v>
      </c>
      <c r="AI32" s="14">
        <f>IF('Données projet'!$A$62&gt;35,AI31+AH32-AQ31,IF(A32&lt;'Données projet'!$A$62,$AF$205^A32,IF(A32='Données projet'!$A$62,'Données projet'!$B$62,AI31+AH32-AQ31)))</f>
        <v>140.6</v>
      </c>
      <c r="AJ32" s="14">
        <f>AI32*VLOOKUP('Données projet'!$B$10,Paramètres!$A$1:$I$89,3,0)*VLOOKUP('Données projet'!$B$10,Paramètres!$A$1:$I$89,5,0)</f>
        <v>122.82816000000001</v>
      </c>
      <c r="AK32" s="14">
        <f t="shared" si="35"/>
        <v>32.333724232859048</v>
      </c>
      <c r="AL32" s="22">
        <f t="shared" si="4"/>
        <v>270.24028170556284</v>
      </c>
      <c r="AM32" s="60">
        <f t="shared" si="5"/>
        <v>562.35139281667398</v>
      </c>
      <c r="AN32" s="60">
        <f ca="1">AVERAGE(OFFSET($AM$3,0,0,'Données projet'!$E$10+1,1))-AVERAGE(OFFSET($H$3,0,0,'Données projet'!$E$10+1,1))</f>
        <v>325.06345339097095</v>
      </c>
      <c r="AO32" s="60">
        <f t="shared" si="36"/>
        <v>318.90379036810754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0" t="e">
        <f t="shared" si="8"/>
        <v>#N/A</v>
      </c>
      <c r="BI32" s="60" t="e">
        <f ca="1">AVERAGE(OFFSET($BH$3,0,0,'Données projet'!$E$11+1,1))-AVERAGE(OFFSET($H$3,0,0,'Données projet'!$E$11+1,1))</f>
        <v>#N/A</v>
      </c>
      <c r="BJ32" s="60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0" t="e">
        <f t="shared" si="11"/>
        <v>#N/A</v>
      </c>
      <c r="CD32" s="60" t="e">
        <f ca="1">AVERAGE(OFFSET($CC$3,0,0,'Données projet'!$E$12+1,1))-AVERAGE(OFFSET($H$3,0,0,'Données projet'!$E$12+1,1))</f>
        <v>#N/A</v>
      </c>
      <c r="CE32" s="60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85.612800000000007</v>
      </c>
      <c r="CV32" s="14">
        <f t="shared" si="41"/>
        <v>23.504080242391282</v>
      </c>
      <c r="CW32" s="22">
        <f t="shared" si="13"/>
        <v>190.04523308883151</v>
      </c>
      <c r="CX32" s="60">
        <f t="shared" si="14"/>
        <v>482.15634419994262</v>
      </c>
      <c r="CY32" s="60">
        <f ca="1">AVERAGE(OFFSET($CX$3,0,0,'Données projet'!$E$13+1,1))-AVERAGE(OFFSET($H$3,0,0,'Données projet'!$E$13+1,1))</f>
        <v>415.50509041799154</v>
      </c>
      <c r="CZ32" s="60">
        <f t="shared" si="42"/>
        <v>239.93573789765657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98</v>
      </c>
      <c r="DP32" s="18">
        <f>DO32*VLOOKUP('Données projet'!$B$14,Paramètres!$A$1:$I$89,3,0)*VLOOKUP('Données projet'!$B$14,Paramètres!$A$1:$I$89,5,0)</f>
        <v>99.372000000000014</v>
      </c>
      <c r="DQ32" s="14">
        <f t="shared" si="43"/>
        <v>26.812330397327713</v>
      </c>
      <c r="DR32" s="22">
        <f t="shared" si="16"/>
        <v>219.7710421086791</v>
      </c>
      <c r="DS32" s="60">
        <f t="shared" si="17"/>
        <v>511.88215321979021</v>
      </c>
      <c r="DT32" s="60">
        <f ca="1">AVERAGE(OFFSET($DS$3,0,0,'Données projet'!$E$14+1,1))-AVERAGE(OFFSET($H$3,0,0,'Données projet'!$E$14+1,1))</f>
        <v>475.47920969424894</v>
      </c>
      <c r="DU32" s="60">
        <f t="shared" si="44"/>
        <v>271.73544012419364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</v>
      </c>
      <c r="EJ32" s="13">
        <f>IF('Données projet'!$A$192&gt;35,EJ31+EI32-ER31,IF(A32&lt;'Données projet'!$A$192,$EG$205^A32,IF(A32='Données projet'!$A$192,'Données projet'!$B$192,EJ31+EI32-ER31)))</f>
        <v>98</v>
      </c>
      <c r="EK32" s="18">
        <f>EJ32*VLOOKUP('Données projet'!$B$15,Paramètres!$A$1:$I$89,3,0)*VLOOKUP('Données projet'!$B$15,Paramètres!$A$1:$I$89,5,0)</f>
        <v>88.670400000000001</v>
      </c>
      <c r="EL32" s="14">
        <f t="shared" si="45"/>
        <v>24.244280250395512</v>
      </c>
      <c r="EM32" s="22">
        <f t="shared" si="19"/>
        <v>196.65973476943884</v>
      </c>
      <c r="EN32" s="60">
        <f t="shared" si="20"/>
        <v>488.77084588054998</v>
      </c>
      <c r="EO32" s="60">
        <f ca="1">AVERAGE(OFFSET($EN$3,0,0,'Données projet'!$E$15+1,1))-AVERAGE(OFFSET($H$3,0,0,'Données projet'!$E$15+1,1))</f>
        <v>428.8489304403459</v>
      </c>
      <c r="EP32" s="60">
        <f t="shared" si="46"/>
        <v>247.01165577562966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7</v>
      </c>
      <c r="FE32" s="13">
        <f>IF('Données projet'!$A$218&gt;35,FE31+FD32-FM31,IF(A32&lt;'Données projet'!$A$218,$FB$205^A32,IF(A32='Données projet'!$A$218,'Données projet'!$B$218,FE31+FD32-FM31)))</f>
        <v>98</v>
      </c>
      <c r="FF32" s="18">
        <f>FE32*VLOOKUP('Données projet'!$B$16,Paramètres!$A$1:$I$89,3,0)*VLOOKUP('Données projet'!$B$16,Paramètres!$A$1:$I$89,5,0)</f>
        <v>94.785600000000002</v>
      </c>
      <c r="FG32" s="14">
        <f t="shared" si="47"/>
        <v>25.715893428674526</v>
      </c>
      <c r="FH32" s="22">
        <f t="shared" si="22"/>
        <v>209.87343438827483</v>
      </c>
      <c r="FI32" s="60">
        <f t="shared" si="23"/>
        <v>501.98454549938594</v>
      </c>
      <c r="FJ32" s="60">
        <f ca="1">AVERAGE(OFFSET($FI$3,0,0,'Données projet'!$E$16+1,1))-AVERAGE(OFFSET($H$3,0,0,'Données projet'!$E$16+1,1))</f>
        <v>455.50822833641354</v>
      </c>
      <c r="FK32" s="60">
        <f t="shared" si="48"/>
        <v>261.14722581688039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 t="e">
        <f>N33*VLOOKUP('Données projet'!$B$9,Paramètres!$A$1:$I$89,3,0)*VLOOKUP('Données projet'!$B$9,Paramètres!$A$1:$I$89,5,0)</f>
        <v>#N/A</v>
      </c>
      <c r="P33" s="14" t="e">
        <f t="shared" si="33"/>
        <v>#N/A</v>
      </c>
      <c r="Q33" s="22" t="e">
        <f t="shared" si="2"/>
        <v>#N/A</v>
      </c>
      <c r="R33" s="60" t="e">
        <f t="shared" si="0"/>
        <v>#N/A</v>
      </c>
      <c r="S33" s="60" t="e">
        <f ca="1">AVERAGE(OFFSET($R$3,0,0,'Données projet'!$E$9+1,1))-AVERAGE(OFFSET($H$3,0,0,'Données projet'!$E$9+1,1))</f>
        <v>#N/A</v>
      </c>
      <c r="T33" s="60" t="e">
        <f t="shared" si="34"/>
        <v>#N/A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 t="e">
        <f>EXP(-LN(2)/35)*Z32+(1-EXP(-LN(2)/35))/(LN(2)/35)*V33*W33*VLOOKUP('Données projet'!$B$9,Paramètres!$A$1:$I$89,3,0)*0.475*44/12</f>
        <v>#N/A</v>
      </c>
      <c r="AA33" s="23" t="e">
        <f>EXP(-LN(2)/25)*AA32+(1-EXP(-LN(2)/25))/(LN(2)/25)*Calculateur!V33*Calculateur!X33*VLOOKUP('Données projet'!$B$9,Paramètres!$A$1:$I$89,3,0)*0.475*44/12</f>
        <v>#N/A</v>
      </c>
      <c r="AB33" s="23" t="e">
        <f>EXP(-LN(2)/2)*AB32+(1-EXP(-LN(2)/2))/(LN(2)/2)*V33*Y33*VLOOKUP('Données projet'!$B$9,Paramètres!$A$1:$I$89,3,0)*0.475*44/12</f>
        <v>#N/A</v>
      </c>
      <c r="AC33" s="24" t="e">
        <f t="shared" si="3"/>
        <v>#N/A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147</v>
      </c>
      <c r="AG33" s="13">
        <f>VLOOKUP(A33,'Données projet'!$A$61:$I$81,9,0)</f>
        <v>6.4</v>
      </c>
      <c r="AH33" s="13">
        <f t="array" ref="AH33">INDEX(AG:AG,MIN(IF(ISNUMBER(AG33:AG229),ROW(AG33:AG229),"")))</f>
        <v>6.4</v>
      </c>
      <c r="AI33" s="14">
        <f>IF('Données projet'!$A$62&gt;35,AI32+AH33-AQ32,IF(A33&lt;'Données projet'!$A$62,$AF$205^A33,IF(A33='Données projet'!$A$62,'Données projet'!$B$62,AI32+AH33-AQ32)))</f>
        <v>147</v>
      </c>
      <c r="AJ33" s="14">
        <f>AI33*VLOOKUP('Données projet'!$B$10,Paramètres!$A$1:$I$89,3,0)*VLOOKUP('Données projet'!$B$10,Paramètres!$A$1:$I$89,5,0)</f>
        <v>128.41920000000002</v>
      </c>
      <c r="AK33" s="14">
        <f t="shared" si="35"/>
        <v>33.630823177860762</v>
      </c>
      <c r="AL33" s="22">
        <f t="shared" si="4"/>
        <v>282.23712370144091</v>
      </c>
      <c r="AM33" s="60">
        <f t="shared" si="5"/>
        <v>575.57045703477422</v>
      </c>
      <c r="AN33" s="60">
        <f ca="1">AVERAGE(OFFSET($AM$3,0,0,'Données projet'!$E$10+1,1))-AVERAGE(OFFSET($H$3,0,0,'Données projet'!$E$10+1,1))</f>
        <v>325.06345339097095</v>
      </c>
      <c r="AO33" s="60">
        <f t="shared" si="36"/>
        <v>318.90379036810754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56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0" t="e">
        <f t="shared" si="8"/>
        <v>#N/A</v>
      </c>
      <c r="BI33" s="60" t="e">
        <f ca="1">AVERAGE(OFFSET($BH$3,0,0,'Données projet'!$E$11+1,1))-AVERAGE(OFFSET($H$3,0,0,'Données projet'!$E$11+1,1))</f>
        <v>#N/A</v>
      </c>
      <c r="BJ33" s="60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0" t="e">
        <f t="shared" si="11"/>
        <v>#N/A</v>
      </c>
      <c r="CD33" s="60" t="e">
        <f ca="1">AVERAGE(OFFSET($CC$3,0,0,'Données projet'!$E$12+1,1))-AVERAGE(OFFSET($H$3,0,0,'Données projet'!$E$12+1,1))</f>
        <v>#N/A</v>
      </c>
      <c r="CE33" s="60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91.728000000000009</v>
      </c>
      <c r="CV33" s="14">
        <f t="shared" si="41"/>
        <v>24.981514582386563</v>
      </c>
      <c r="CW33" s="22">
        <f t="shared" si="13"/>
        <v>203.26907123098991</v>
      </c>
      <c r="CX33" s="60">
        <f t="shared" si="14"/>
        <v>496.60240456432325</v>
      </c>
      <c r="CY33" s="60">
        <f ca="1">AVERAGE(OFFSET($CX$3,0,0,'Données projet'!$E$13+1,1))-AVERAGE(OFFSET($H$3,0,0,'Données projet'!$E$13+1,1))</f>
        <v>415.50509041799154</v>
      </c>
      <c r="CZ33" s="60">
        <f t="shared" si="42"/>
        <v>239.93573789765657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105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105</v>
      </c>
      <c r="DP33" s="18">
        <f>DO33*VLOOKUP('Données projet'!$B$14,Paramètres!$A$1:$I$89,3,0)*VLOOKUP('Données projet'!$B$14,Paramètres!$A$1:$I$89,5,0)</f>
        <v>106.47</v>
      </c>
      <c r="DQ33" s="14">
        <f t="shared" si="43"/>
        <v>28.49771681771891</v>
      </c>
      <c r="DR33" s="22">
        <f t="shared" si="16"/>
        <v>235.06877345752704</v>
      </c>
      <c r="DS33" s="60">
        <f t="shared" si="17"/>
        <v>528.40210679086033</v>
      </c>
      <c r="DT33" s="60">
        <f ca="1">AVERAGE(OFFSET($DS$3,0,0,'Données projet'!$E$14+1,1))-AVERAGE(OFFSET($H$3,0,0,'Données projet'!$E$14+1,1))</f>
        <v>475.47920969424894</v>
      </c>
      <c r="DU33" s="60">
        <f t="shared" si="44"/>
        <v>271.73544012419364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105</v>
      </c>
      <c r="EH33" s="13">
        <f>VLOOKUP(A33,'Données projet'!$A$191:$I$211,9,0)</f>
        <v>7</v>
      </c>
      <c r="EI33" s="13">
        <f t="array" ref="EI33">INDEX(EH:EH,MIN(IF(ISNUMBER(EH33:EH229),ROW(EH33:EH229),"")))</f>
        <v>7</v>
      </c>
      <c r="EJ33" s="13">
        <f>IF('Données projet'!$A$192&gt;35,EJ32+EI33-ER32,IF(A33&lt;'Données projet'!$A$192,$EG$205^A33,IF(A33='Données projet'!$A$192,'Données projet'!$B$192,EJ32+EI33-ER32)))</f>
        <v>105</v>
      </c>
      <c r="EK33" s="18">
        <f>EJ33*VLOOKUP('Données projet'!$B$15,Paramètres!$A$1:$I$89,3,0)*VLOOKUP('Données projet'!$B$15,Paramètres!$A$1:$I$89,5,0)</f>
        <v>95.004000000000005</v>
      </c>
      <c r="EL33" s="14">
        <f t="shared" si="45"/>
        <v>25.768242550600785</v>
      </c>
      <c r="EM33" s="22">
        <f t="shared" si="19"/>
        <v>210.34498910896306</v>
      </c>
      <c r="EN33" s="60">
        <f t="shared" si="20"/>
        <v>503.67832244229635</v>
      </c>
      <c r="EO33" s="60">
        <f ca="1">AVERAGE(OFFSET($EN$3,0,0,'Données projet'!$E$15+1,1))-AVERAGE(OFFSET($H$3,0,0,'Données projet'!$E$15+1,1))</f>
        <v>428.8489304403459</v>
      </c>
      <c r="EP33" s="60">
        <f t="shared" si="46"/>
        <v>247.01165577562966</v>
      </c>
      <c r="EQ33" s="16">
        <f>IF(ISNA(VLOOKUP(A33,'Données projet'!$A$191:$I$211,3,0)),0,VLOOKUP(A33,'Données projet'!$A$191:$I$211,3,0))</f>
        <v>1</v>
      </c>
      <c r="ER33" s="16">
        <f>IF(ISNA(VLOOKUP(A33,'Données projet'!$A$191:$I$211,4,0)),0,VLOOKUP(A33,'Données projet'!$A$191:$I$211,4,0))</f>
        <v>29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105</v>
      </c>
      <c r="FC33" s="13">
        <f>VLOOKUP(A33,'Données projet'!$A$217:$I$237,9,0)</f>
        <v>7</v>
      </c>
      <c r="FD33" s="13">
        <f t="array" ref="FD33">INDEX(FC:FC,MIN(IF(ISNUMBER(FC33:FC229),ROW(FC33:FC229),"")))</f>
        <v>7</v>
      </c>
      <c r="FE33" s="13">
        <f>IF('Données projet'!$A$218&gt;35,FE32+FD33-FM32,IF(A33&lt;'Données projet'!$A$218,$FB$205^A33,IF(A33='Données projet'!$A$218,'Données projet'!$B$218,FE32+FD33-FM32)))</f>
        <v>105</v>
      </c>
      <c r="FF33" s="18">
        <f>FE33*VLOOKUP('Données projet'!$B$16,Paramètres!$A$1:$I$89,3,0)*VLOOKUP('Données projet'!$B$16,Paramètres!$A$1:$I$89,5,0)</f>
        <v>101.556</v>
      </c>
      <c r="FG33" s="14">
        <f t="shared" si="47"/>
        <v>27.332359320696909</v>
      </c>
      <c r="FH33" s="22">
        <f t="shared" si="22"/>
        <v>224.48055915021379</v>
      </c>
      <c r="FI33" s="60">
        <f t="shared" si="23"/>
        <v>517.81389248354708</v>
      </c>
      <c r="FJ33" s="60">
        <f ca="1">AVERAGE(OFFSET($FI$3,0,0,'Données projet'!$E$16+1,1))-AVERAGE(OFFSET($H$3,0,0,'Données projet'!$E$16+1,1))</f>
        <v>455.50822833641354</v>
      </c>
      <c r="FK33" s="60">
        <f t="shared" si="48"/>
        <v>261.14722581688039</v>
      </c>
      <c r="FL33" s="16">
        <f>IF(ISNA(VLOOKUP(A33,'Données projet'!$A$217:$I$237,3,0)),0,VLOOKUP(A33,'Données projet'!$A$217:$I$237,3,0))</f>
        <v>1</v>
      </c>
      <c r="FM33" s="16">
        <f>IF(ISNA(VLOOKUP(A33,'Données projet'!$A$217:$I$237,4,0)),0,VLOOKUP(A33,'Données projet'!$A$217:$I$237,4,0))</f>
        <v>29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 t="e">
        <f>N34*VLOOKUP('Données projet'!$B$9,Paramètres!$A$1:$I$89,3,0)*VLOOKUP('Données projet'!$B$9,Paramètres!$A$1:$I$89,5,0)</f>
        <v>#N/A</v>
      </c>
      <c r="P34" s="14" t="e">
        <f t="shared" si="33"/>
        <v>#N/A</v>
      </c>
      <c r="Q34" s="22" t="e">
        <f t="shared" si="2"/>
        <v>#N/A</v>
      </c>
      <c r="R34" s="60" t="e">
        <f t="shared" si="0"/>
        <v>#N/A</v>
      </c>
      <c r="S34" s="60" t="e">
        <f ca="1">AVERAGE(OFFSET($R$3,0,0,'Données projet'!$E$9+1,1))-AVERAGE(OFFSET($H$3,0,0,'Données projet'!$E$9+1,1))</f>
        <v>#N/A</v>
      </c>
      <c r="T34" s="60" t="e">
        <f t="shared" si="34"/>
        <v>#N/A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 t="e">
        <f>EXP(-LN(2)/35)*Z33+(1-EXP(-LN(2)/35))/(LN(2)/35)*V34*W34*VLOOKUP('Données projet'!$B$9,Paramètres!$A$1:$I$89,3,0)*0.475*44/12</f>
        <v>#N/A</v>
      </c>
      <c r="AA34" s="23" t="e">
        <f>EXP(-LN(2)/25)*AA33+(1-EXP(-LN(2)/25))/(LN(2)/25)*Calculateur!V34*Calculateur!X34*VLOOKUP('Données projet'!$B$9,Paramètres!$A$1:$I$89,3,0)*0.475*44/12</f>
        <v>#N/A</v>
      </c>
      <c r="AB34" s="23" t="e">
        <f>EXP(-LN(2)/2)*AB33+(1-EXP(-LN(2)/2))/(LN(2)/2)*V34*Y34*VLOOKUP('Données projet'!$B$9,Paramètres!$A$1:$I$89,3,0)*0.475*44/12</f>
        <v>#N/A</v>
      </c>
      <c r="AC34" s="24" t="e">
        <f t="shared" si="3"/>
        <v>#N/A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16.2</v>
      </c>
      <c r="AI34" s="14">
        <f>IF('Données projet'!$A$62&gt;35,AI33+AH34-AQ33,IF(A34&lt;'Données projet'!$A$62,$AF$205^A34,IF(A34='Données projet'!$A$62,'Données projet'!$B$62,AI33+AH34-AQ33)))</f>
        <v>107.19999999999999</v>
      </c>
      <c r="AJ34" s="14">
        <f>AI34*VLOOKUP('Données projet'!$B$10,Paramètres!$A$1:$I$89,3,0)*VLOOKUP('Données projet'!$B$10,Paramètres!$A$1:$I$89,5,0)</f>
        <v>93.649919999999995</v>
      </c>
      <c r="AK34" s="14">
        <f t="shared" si="35"/>
        <v>25.443450816014074</v>
      </c>
      <c r="AL34" s="22">
        <f t="shared" si="4"/>
        <v>207.42095417122448</v>
      </c>
      <c r="AM34" s="60">
        <f t="shared" si="5"/>
        <v>500.75428750455779</v>
      </c>
      <c r="AN34" s="60">
        <f ca="1">AVERAGE(OFFSET($AM$3,0,0,'Données projet'!$E$10+1,1))-AVERAGE(OFFSET($H$3,0,0,'Données projet'!$E$10+1,1))</f>
        <v>325.06345339097095</v>
      </c>
      <c r="AO34" s="60">
        <f t="shared" si="36"/>
        <v>318.90379036810754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0" t="e">
        <f t="shared" si="8"/>
        <v>#N/A</v>
      </c>
      <c r="BI34" s="60" t="e">
        <f ca="1">AVERAGE(OFFSET($BH$3,0,0,'Données projet'!$E$11+1,1))-AVERAGE(OFFSET($H$3,0,0,'Données projet'!$E$11+1,1))</f>
        <v>#N/A</v>
      </c>
      <c r="BJ34" s="60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0" t="e">
        <f t="shared" si="11"/>
        <v>#N/A</v>
      </c>
      <c r="CD34" s="60" t="e">
        <f ca="1">AVERAGE(OFFSET($CC$3,0,0,'Données projet'!$E$12+1,1))-AVERAGE(OFFSET($H$3,0,0,'Données projet'!$E$12+1,1))</f>
        <v>#N/A</v>
      </c>
      <c r="CE34" s="60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73.382400000000018</v>
      </c>
      <c r="CV34" s="14">
        <f t="shared" si="41"/>
        <v>20.511105942035552</v>
      </c>
      <c r="CW34" s="22">
        <f t="shared" si="13"/>
        <v>163.53118951571196</v>
      </c>
      <c r="CX34" s="60">
        <f t="shared" si="14"/>
        <v>456.86452284904527</v>
      </c>
      <c r="CY34" s="60">
        <f ca="1">AVERAGE(OFFSET($CX$3,0,0,'Données projet'!$E$13+1,1))-AVERAGE(OFFSET($H$3,0,0,'Données projet'!$E$13+1,1))</f>
        <v>415.50509041799154</v>
      </c>
      <c r="CZ34" s="60">
        <f t="shared" si="42"/>
        <v>239.93573789765657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84</v>
      </c>
      <c r="DP34" s="18">
        <f>DO34*VLOOKUP('Données projet'!$B$14,Paramètres!$A$1:$I$89,3,0)*VLOOKUP('Données projet'!$B$14,Paramètres!$A$1:$I$89,5,0)</f>
        <v>85.176000000000002</v>
      </c>
      <c r="DQ34" s="14">
        <f t="shared" si="43"/>
        <v>23.398088487656441</v>
      </c>
      <c r="DR34" s="22">
        <f t="shared" si="16"/>
        <v>189.09987078266829</v>
      </c>
      <c r="DS34" s="60">
        <f t="shared" si="17"/>
        <v>482.4332041160016</v>
      </c>
      <c r="DT34" s="60">
        <f ca="1">AVERAGE(OFFSET($DS$3,0,0,'Données projet'!$E$14+1,1))-AVERAGE(OFFSET($H$3,0,0,'Données projet'!$E$14+1,1))</f>
        <v>475.47920969424894</v>
      </c>
      <c r="DU34" s="60">
        <f t="shared" si="44"/>
        <v>271.73544012419364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</v>
      </c>
      <c r="EJ34" s="13">
        <f>IF('Données projet'!$A$192&gt;35,EJ33+EI34-ER33,IF(A34&lt;'Données projet'!$A$192,$EG$205^A34,IF(A34='Données projet'!$A$192,'Données projet'!$B$192,EJ33+EI34-ER33)))</f>
        <v>84</v>
      </c>
      <c r="EK34" s="18">
        <f>EJ34*VLOOKUP('Données projet'!$B$15,Paramètres!$A$1:$I$89,3,0)*VLOOKUP('Données projet'!$B$15,Paramètres!$A$1:$I$89,5,0)</f>
        <v>76.003200000000007</v>
      </c>
      <c r="EL34" s="14">
        <f t="shared" si="45"/>
        <v>21.157049992000456</v>
      </c>
      <c r="EM34" s="22">
        <f t="shared" si="19"/>
        <v>169.22076873606747</v>
      </c>
      <c r="EN34" s="60">
        <f t="shared" si="20"/>
        <v>462.55410206940076</v>
      </c>
      <c r="EO34" s="60">
        <f ca="1">AVERAGE(OFFSET($EN$3,0,0,'Données projet'!$E$15+1,1))-AVERAGE(OFFSET($H$3,0,0,'Données projet'!$E$15+1,1))</f>
        <v>428.8489304403459</v>
      </c>
      <c r="EP34" s="60">
        <f t="shared" si="46"/>
        <v>247.01165577562966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</v>
      </c>
      <c r="FE34" s="13">
        <f>IF('Données projet'!$A$218&gt;35,FE33+FD34-FM33,IF(A34&lt;'Données projet'!$A$218,$FB$205^A34,IF(A34='Données projet'!$A$218,'Données projet'!$B$218,FE33+FD34-FM33)))</f>
        <v>84</v>
      </c>
      <c r="FF34" s="18">
        <f>FE34*VLOOKUP('Données projet'!$B$16,Paramètres!$A$1:$I$89,3,0)*VLOOKUP('Données projet'!$B$16,Paramètres!$A$1:$I$89,5,0)</f>
        <v>81.244799999999998</v>
      </c>
      <c r="FG34" s="14">
        <f t="shared" si="47"/>
        <v>22.441270156928962</v>
      </c>
      <c r="FH34" s="22">
        <f t="shared" si="22"/>
        <v>180.58657218998462</v>
      </c>
      <c r="FI34" s="60">
        <f t="shared" si="23"/>
        <v>473.91990552331794</v>
      </c>
      <c r="FJ34" s="60">
        <f ca="1">AVERAGE(OFFSET($FI$3,0,0,'Données projet'!$E$16+1,1))-AVERAGE(OFFSET($H$3,0,0,'Données projet'!$E$16+1,1))</f>
        <v>455.50822833641354</v>
      </c>
      <c r="FK34" s="60">
        <f t="shared" si="48"/>
        <v>261.14722581688039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 t="e">
        <f>N35*VLOOKUP('Données projet'!$B$9,Paramètres!$A$1:$I$89,3,0)*VLOOKUP('Données projet'!$B$9,Paramètres!$A$1:$I$89,5,0)</f>
        <v>#N/A</v>
      </c>
      <c r="P35" s="14" t="e">
        <f t="shared" si="33"/>
        <v>#N/A</v>
      </c>
      <c r="Q35" s="22" t="e">
        <f t="shared" ref="Q35:Q66" si="53">(O35+P35)*0.475*44/12</f>
        <v>#N/A</v>
      </c>
      <c r="R35" s="60" t="e">
        <f t="shared" si="0"/>
        <v>#N/A</v>
      </c>
      <c r="S35" s="60" t="e">
        <f ca="1">AVERAGE(OFFSET($R$3,0,0,'Données projet'!$E$9+1,1))-AVERAGE(OFFSET($H$3,0,0,'Données projet'!$E$9+1,1))</f>
        <v>#N/A</v>
      </c>
      <c r="T35" s="60" t="e">
        <f t="shared" si="34"/>
        <v>#N/A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 t="e">
        <f>EXP(-LN(2)/35)*Z34+(1-EXP(-LN(2)/35))/(LN(2)/35)*V35*W35*VLOOKUP('Données projet'!$B$9,Paramètres!$A$1:$I$89,3,0)*0.475*44/12</f>
        <v>#N/A</v>
      </c>
      <c r="AA35" s="23" t="e">
        <f>EXP(-LN(2)/25)*AA34+(1-EXP(-LN(2)/25))/(LN(2)/25)*Calculateur!V35*Calculateur!X35*VLOOKUP('Données projet'!$B$9,Paramètres!$A$1:$I$89,3,0)*0.475*44/12</f>
        <v>#N/A</v>
      </c>
      <c r="AB35" s="23" t="e">
        <f>EXP(-LN(2)/2)*AB34+(1-EXP(-LN(2)/2))/(LN(2)/2)*V35*Y35*VLOOKUP('Données projet'!$B$9,Paramètres!$A$1:$I$89,3,0)*0.475*44/12</f>
        <v>#N/A</v>
      </c>
      <c r="AC35" s="24" t="e">
        <f t="shared" si="3"/>
        <v>#N/A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16.2</v>
      </c>
      <c r="AI35" s="14">
        <f>IF('Données projet'!$A$62&gt;35,AI34+AH35-AQ34,IF(A35&lt;'Données projet'!$A$62,$AF$205^A35,IF(A35='Données projet'!$A$62,'Données projet'!$B$62,AI34+AH35-AQ34)))</f>
        <v>123.39999999999999</v>
      </c>
      <c r="AJ35" s="14">
        <f>AI35*VLOOKUP('Données projet'!$B$10,Paramètres!$A$1:$I$89,3,0)*VLOOKUP('Données projet'!$B$10,Paramètres!$A$1:$I$89,5,0)</f>
        <v>107.80224</v>
      </c>
      <c r="AK35" s="14">
        <f t="shared" si="35"/>
        <v>28.812568533501945</v>
      </c>
      <c r="AL35" s="22">
        <f t="shared" si="4"/>
        <v>237.93745819584922</v>
      </c>
      <c r="AM35" s="60">
        <f t="shared" si="5"/>
        <v>531.27079152918259</v>
      </c>
      <c r="AN35" s="60">
        <f ca="1">AVERAGE(OFFSET($AM$3,0,0,'Données projet'!$E$10+1,1))-AVERAGE(OFFSET($H$3,0,0,'Données projet'!$E$10+1,1))</f>
        <v>325.06345339097095</v>
      </c>
      <c r="AO35" s="60">
        <f t="shared" si="36"/>
        <v>318.90379036810754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0" t="e">
        <f t="shared" si="8"/>
        <v>#N/A</v>
      </c>
      <c r="BI35" s="60" t="e">
        <f ca="1">AVERAGE(OFFSET($BH$3,0,0,'Données projet'!$E$11+1,1))-AVERAGE(OFFSET($H$3,0,0,'Données projet'!$E$11+1,1))</f>
        <v>#N/A</v>
      </c>
      <c r="BJ35" s="60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0" t="e">
        <f t="shared" si="11"/>
        <v>#N/A</v>
      </c>
      <c r="CD35" s="60" t="e">
        <f ca="1">AVERAGE(OFFSET($CC$3,0,0,'Données projet'!$E$12+1,1))-AVERAGE(OFFSET($H$3,0,0,'Données projet'!$E$12+1,1))</f>
        <v>#N/A</v>
      </c>
      <c r="CE35" s="60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80.371200000000002</v>
      </c>
      <c r="CV35" s="14">
        <f t="shared" si="41"/>
        <v>22.22791999099082</v>
      </c>
      <c r="CW35" s="22">
        <f t="shared" si="13"/>
        <v>178.69346731764233</v>
      </c>
      <c r="CX35" s="60">
        <f t="shared" si="14"/>
        <v>472.02680065097564</v>
      </c>
      <c r="CY35" s="60">
        <f ca="1">AVERAGE(OFFSET($CX$3,0,0,'Données projet'!$E$13+1,1))-AVERAGE(OFFSET($H$3,0,0,'Données projet'!$E$13+1,1))</f>
        <v>415.50509041799154</v>
      </c>
      <c r="CZ35" s="60">
        <f t="shared" si="42"/>
        <v>239.93573789765657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92</v>
      </c>
      <c r="DP35" s="18">
        <f>DO35*VLOOKUP('Données projet'!$B$14,Paramètres!$A$1:$I$89,3,0)*VLOOKUP('Données projet'!$B$14,Paramètres!$A$1:$I$89,5,0)</f>
        <v>93.288000000000011</v>
      </c>
      <c r="DQ35" s="14">
        <f t="shared" si="43"/>
        <v>25.356547829040977</v>
      </c>
      <c r="DR35" s="22">
        <f t="shared" si="16"/>
        <v>206.63925413557971</v>
      </c>
      <c r="DS35" s="60">
        <f t="shared" si="17"/>
        <v>499.97258746891305</v>
      </c>
      <c r="DT35" s="60">
        <f ca="1">AVERAGE(OFFSET($DS$3,0,0,'Données projet'!$E$14+1,1))-AVERAGE(OFFSET($H$3,0,0,'Données projet'!$E$14+1,1))</f>
        <v>475.47920969424894</v>
      </c>
      <c r="DU35" s="60">
        <f t="shared" si="44"/>
        <v>271.73544012419364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</v>
      </c>
      <c r="EJ35" s="13">
        <f>IF('Données projet'!$A$192&gt;35,EJ34+EI35-ER34,IF(A35&lt;'Données projet'!$A$192,$EG$205^A35,IF(A35='Données projet'!$A$192,'Données projet'!$B$192,EJ34+EI35-ER34)))</f>
        <v>92</v>
      </c>
      <c r="EK35" s="18">
        <f>EJ35*VLOOKUP('Données projet'!$B$15,Paramètres!$A$1:$I$89,3,0)*VLOOKUP('Données projet'!$B$15,Paramètres!$A$1:$I$89,5,0)</f>
        <v>83.241600000000005</v>
      </c>
      <c r="EL35" s="14">
        <f t="shared" si="45"/>
        <v>22.927930643846508</v>
      </c>
      <c r="EM35" s="22">
        <f t="shared" si="19"/>
        <v>184.91193253803269</v>
      </c>
      <c r="EN35" s="60">
        <f t="shared" si="20"/>
        <v>478.24526587136597</v>
      </c>
      <c r="EO35" s="60">
        <f ca="1">AVERAGE(OFFSET($EN$3,0,0,'Données projet'!$E$15+1,1))-AVERAGE(OFFSET($H$3,0,0,'Données projet'!$E$15+1,1))</f>
        <v>428.8489304403459</v>
      </c>
      <c r="EP35" s="60">
        <f t="shared" si="46"/>
        <v>247.01165577562966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</v>
      </c>
      <c r="FE35" s="13">
        <f>IF('Données projet'!$A$218&gt;35,FE34+FD35-FM34,IF(A35&lt;'Données projet'!$A$218,$FB$205^A35,IF(A35='Données projet'!$A$218,'Données projet'!$B$218,FE34+FD35-FM34)))</f>
        <v>92</v>
      </c>
      <c r="FF35" s="18">
        <f>FE35*VLOOKUP('Données projet'!$B$16,Paramètres!$A$1:$I$89,3,0)*VLOOKUP('Données projet'!$B$16,Paramètres!$A$1:$I$89,5,0)</f>
        <v>88.982399999999998</v>
      </c>
      <c r="FG35" s="14">
        <f t="shared" si="47"/>
        <v>24.31964219550628</v>
      </c>
      <c r="FH35" s="22">
        <f t="shared" si="22"/>
        <v>197.3343901571734</v>
      </c>
      <c r="FI35" s="60">
        <f t="shared" si="23"/>
        <v>490.66772349050672</v>
      </c>
      <c r="FJ35" s="60">
        <f ca="1">AVERAGE(OFFSET($FI$3,0,0,'Données projet'!$E$16+1,1))-AVERAGE(OFFSET($H$3,0,0,'Données projet'!$E$16+1,1))</f>
        <v>455.50822833641354</v>
      </c>
      <c r="FK35" s="60">
        <f t="shared" si="48"/>
        <v>261.14722581688039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 t="e">
        <f>N36*VLOOKUP('Données projet'!$B$9,Paramètres!$A$1:$I$89,3,0)*VLOOKUP('Données projet'!$B$9,Paramètres!$A$1:$I$89,5,0)</f>
        <v>#N/A</v>
      </c>
      <c r="P36" s="14" t="e">
        <f t="shared" si="33"/>
        <v>#N/A</v>
      </c>
      <c r="Q36" s="22" t="e">
        <f t="shared" si="53"/>
        <v>#N/A</v>
      </c>
      <c r="R36" s="60" t="e">
        <f t="shared" si="0"/>
        <v>#N/A</v>
      </c>
      <c r="S36" s="60" t="e">
        <f ca="1">AVERAGE(OFFSET($R$3,0,0,'Données projet'!$E$9+1,1))-AVERAGE(OFFSET($H$3,0,0,'Données projet'!$E$9+1,1))</f>
        <v>#N/A</v>
      </c>
      <c r="T36" s="60" t="e">
        <f t="shared" si="34"/>
        <v>#N/A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 t="e">
        <f>EXP(-LN(2)/35)*Z35+(1-EXP(-LN(2)/35))/(LN(2)/35)*V36*W36*VLOOKUP('Données projet'!$B$9,Paramètres!$A$1:$I$89,3,0)*0.475*44/12</f>
        <v>#N/A</v>
      </c>
      <c r="AA36" s="23" t="e">
        <f>EXP(-LN(2)/25)*AA35+(1-EXP(-LN(2)/25))/(LN(2)/25)*Calculateur!V36*Calculateur!X36*VLOOKUP('Données projet'!$B$9,Paramètres!$A$1:$I$89,3,0)*0.475*44/12</f>
        <v>#N/A</v>
      </c>
      <c r="AB36" s="23" t="e">
        <f>EXP(-LN(2)/2)*AB35+(1-EXP(-LN(2)/2))/(LN(2)/2)*V36*Y36*VLOOKUP('Données projet'!$B$9,Paramètres!$A$1:$I$89,3,0)*0.475*44/12</f>
        <v>#N/A</v>
      </c>
      <c r="AC36" s="24" t="e">
        <f t="shared" si="3"/>
        <v>#N/A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16.2</v>
      </c>
      <c r="AI36" s="14">
        <f>IF('Données projet'!$A$62&gt;35,AI35+AH36-AQ35,IF(A36&lt;'Données projet'!$A$62,$AF$205^A36,IF(A36='Données projet'!$A$62,'Données projet'!$B$62,AI35+AH36-AQ35)))</f>
        <v>139.6</v>
      </c>
      <c r="AJ36" s="14">
        <f>AI36*VLOOKUP('Données projet'!$B$10,Paramètres!$A$1:$I$89,3,0)*VLOOKUP('Données projet'!$B$10,Paramètres!$A$1:$I$89,5,0)</f>
        <v>121.95456</v>
      </c>
      <c r="AK36" s="14">
        <f t="shared" si="35"/>
        <v>32.130438767300902</v>
      </c>
      <c r="AL36" s="22">
        <f t="shared" si="4"/>
        <v>268.36470618638242</v>
      </c>
      <c r="AM36" s="60">
        <f t="shared" si="5"/>
        <v>561.69803951971573</v>
      </c>
      <c r="AN36" s="60">
        <f ca="1">AVERAGE(OFFSET($AM$3,0,0,'Données projet'!$E$10+1,1))-AVERAGE(OFFSET($H$3,0,0,'Données projet'!$E$10+1,1))</f>
        <v>325.06345339097095</v>
      </c>
      <c r="AO36" s="60">
        <f t="shared" si="36"/>
        <v>318.90379036810754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0" t="e">
        <f t="shared" si="8"/>
        <v>#N/A</v>
      </c>
      <c r="BI36" s="60" t="e">
        <f ca="1">AVERAGE(OFFSET($BH$3,0,0,'Données projet'!$E$11+1,1))-AVERAGE(OFFSET($H$3,0,0,'Données projet'!$E$11+1,1))</f>
        <v>#N/A</v>
      </c>
      <c r="BJ36" s="60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0" t="e">
        <f t="shared" si="11"/>
        <v>#N/A</v>
      </c>
      <c r="CD36" s="60" t="e">
        <f ca="1">AVERAGE(OFFSET($CC$3,0,0,'Données projet'!$E$12+1,1))-AVERAGE(OFFSET($H$3,0,0,'Données projet'!$E$12+1,1))</f>
        <v>#N/A</v>
      </c>
      <c r="CE36" s="60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87.360000000000014</v>
      </c>
      <c r="CV36" s="14">
        <f t="shared" si="41"/>
        <v>23.927421530185931</v>
      </c>
      <c r="CW36" s="22">
        <f t="shared" si="13"/>
        <v>193.82559249840719</v>
      </c>
      <c r="CX36" s="60">
        <f t="shared" si="14"/>
        <v>487.15892583174048</v>
      </c>
      <c r="CY36" s="60">
        <f ca="1">AVERAGE(OFFSET($CX$3,0,0,'Données projet'!$E$13+1,1))-AVERAGE(OFFSET($H$3,0,0,'Données projet'!$E$13+1,1))</f>
        <v>415.50509041799154</v>
      </c>
      <c r="CZ36" s="60">
        <f t="shared" si="42"/>
        <v>239.93573789765657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100</v>
      </c>
      <c r="DP36" s="18">
        <f>DO36*VLOOKUP('Données projet'!$B$14,Paramètres!$A$1:$I$89,3,0)*VLOOKUP('Données projet'!$B$14,Paramètres!$A$1:$I$89,5,0)</f>
        <v>101.4</v>
      </c>
      <c r="DQ36" s="14">
        <f t="shared" si="43"/>
        <v>27.295257887453797</v>
      </c>
      <c r="DR36" s="22">
        <f t="shared" si="16"/>
        <v>224.14424082064872</v>
      </c>
      <c r="DS36" s="60">
        <f t="shared" si="17"/>
        <v>517.477574153982</v>
      </c>
      <c r="DT36" s="60">
        <f ca="1">AVERAGE(OFFSET($DS$3,0,0,'Données projet'!$E$14+1,1))-AVERAGE(OFFSET($H$3,0,0,'Données projet'!$E$14+1,1))</f>
        <v>475.47920969424894</v>
      </c>
      <c r="DU36" s="60">
        <f t="shared" si="44"/>
        <v>271.73544012419364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</v>
      </c>
      <c r="EJ36" s="13">
        <f>IF('Données projet'!$A$192&gt;35,EJ35+EI36-ER35,IF(A36&lt;'Données projet'!$A$192,$EG$205^A36,IF(A36='Données projet'!$A$192,'Données projet'!$B$192,EJ35+EI36-ER35)))</f>
        <v>100</v>
      </c>
      <c r="EK36" s="18">
        <f>EJ36*VLOOKUP('Données projet'!$B$15,Paramètres!$A$1:$I$89,3,0)*VLOOKUP('Données projet'!$B$15,Paramètres!$A$1:$I$89,5,0)</f>
        <v>90.47999999999999</v>
      </c>
      <c r="EL36" s="14">
        <f t="shared" si="45"/>
        <v>24.680953573367994</v>
      </c>
      <c r="EM36" s="22">
        <f t="shared" si="19"/>
        <v>200.57199414028256</v>
      </c>
      <c r="EN36" s="60">
        <f t="shared" si="20"/>
        <v>493.9053274736159</v>
      </c>
      <c r="EO36" s="60">
        <f ca="1">AVERAGE(OFFSET($EN$3,0,0,'Données projet'!$E$15+1,1))-AVERAGE(OFFSET($H$3,0,0,'Données projet'!$E$15+1,1))</f>
        <v>428.8489304403459</v>
      </c>
      <c r="EP36" s="60">
        <f t="shared" si="46"/>
        <v>247.01165577562966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</v>
      </c>
      <c r="FE36" s="13">
        <f>IF('Données projet'!$A$218&gt;35,FE35+FD36-FM35,IF(A36&lt;'Données projet'!$A$218,$FB$205^A36,IF(A36='Données projet'!$A$218,'Données projet'!$B$218,FE35+FD36-FM35)))</f>
        <v>100</v>
      </c>
      <c r="FF36" s="18">
        <f>FE36*VLOOKUP('Données projet'!$B$16,Paramètres!$A$1:$I$89,3,0)*VLOOKUP('Données projet'!$B$16,Paramètres!$A$1:$I$89,5,0)</f>
        <v>96.72</v>
      </c>
      <c r="FG36" s="14">
        <f t="shared" si="47"/>
        <v>26.179072558792139</v>
      </c>
      <c r="FH36" s="22">
        <f t="shared" si="22"/>
        <v>214.04921803989632</v>
      </c>
      <c r="FI36" s="60">
        <f t="shared" si="23"/>
        <v>507.3825513732296</v>
      </c>
      <c r="FJ36" s="60">
        <f ca="1">AVERAGE(OFFSET($FI$3,0,0,'Données projet'!$E$16+1,1))-AVERAGE(OFFSET($H$3,0,0,'Données projet'!$E$16+1,1))</f>
        <v>455.50822833641354</v>
      </c>
      <c r="FK36" s="60">
        <f t="shared" si="48"/>
        <v>261.14722581688039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 t="e">
        <f>N37*VLOOKUP('Données projet'!$B$9,Paramètres!$A$1:$I$89,3,0)*VLOOKUP('Données projet'!$B$9,Paramètres!$A$1:$I$89,5,0)</f>
        <v>#N/A</v>
      </c>
      <c r="P37" s="14" t="e">
        <f t="shared" si="33"/>
        <v>#N/A</v>
      </c>
      <c r="Q37" s="22" t="e">
        <f t="shared" si="53"/>
        <v>#N/A</v>
      </c>
      <c r="R37" s="60" t="e">
        <f t="shared" si="0"/>
        <v>#N/A</v>
      </c>
      <c r="S37" s="60" t="e">
        <f ca="1">AVERAGE(OFFSET($R$3,0,0,'Données projet'!$E$9+1,1))-AVERAGE(OFFSET($H$3,0,0,'Données projet'!$E$9+1,1))</f>
        <v>#N/A</v>
      </c>
      <c r="T37" s="60" t="e">
        <f t="shared" si="34"/>
        <v>#N/A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 t="e">
        <f>EXP(-LN(2)/35)*Z36+(1-EXP(-LN(2)/35))/(LN(2)/35)*V37*W37*VLOOKUP('Données projet'!$B$9,Paramètres!$A$1:$I$89,3,0)*0.475*44/12</f>
        <v>#N/A</v>
      </c>
      <c r="AA37" s="23" t="e">
        <f>EXP(-LN(2)/25)*AA36+(1-EXP(-LN(2)/25))/(LN(2)/25)*Calculateur!V37*Calculateur!X37*VLOOKUP('Données projet'!$B$9,Paramètres!$A$1:$I$89,3,0)*0.475*44/12</f>
        <v>#N/A</v>
      </c>
      <c r="AB37" s="23" t="e">
        <f>EXP(-LN(2)/2)*AB36+(1-EXP(-LN(2)/2))/(LN(2)/2)*V37*Y37*VLOOKUP('Données projet'!$B$9,Paramètres!$A$1:$I$89,3,0)*0.475*44/12</f>
        <v>#N/A</v>
      </c>
      <c r="AC37" s="24" t="e">
        <f t="shared" si="3"/>
        <v>#N/A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16.2</v>
      </c>
      <c r="AI37" s="14">
        <f>IF('Données projet'!$A$62&gt;35,AI36+AH37-AQ36,IF(A37&lt;'Données projet'!$A$62,$AF$205^A37,IF(A37='Données projet'!$A$62,'Données projet'!$B$62,AI36+AH37-AQ36)))</f>
        <v>155.79999999999998</v>
      </c>
      <c r="AJ37" s="14">
        <f>AI37*VLOOKUP('Données projet'!$B$10,Paramètres!$A$1:$I$89,3,0)*VLOOKUP('Données projet'!$B$10,Paramètres!$A$1:$I$89,5,0)</f>
        <v>136.10688000000002</v>
      </c>
      <c r="AK37" s="14">
        <f t="shared" si="35"/>
        <v>35.40368780391627</v>
      </c>
      <c r="AL37" s="22">
        <f t="shared" si="4"/>
        <v>298.71423892515418</v>
      </c>
      <c r="AM37" s="60">
        <f t="shared" si="5"/>
        <v>592.04757225848743</v>
      </c>
      <c r="AN37" s="60">
        <f ca="1">AVERAGE(OFFSET($AM$3,0,0,'Données projet'!$E$10+1,1))-AVERAGE(OFFSET($H$3,0,0,'Données projet'!$E$10+1,1))</f>
        <v>325.06345339097095</v>
      </c>
      <c r="AO37" s="60">
        <f t="shared" si="36"/>
        <v>318.90379036810754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0" t="e">
        <f t="shared" si="8"/>
        <v>#N/A</v>
      </c>
      <c r="BI37" s="60" t="e">
        <f ca="1">AVERAGE(OFFSET($BH$3,0,0,'Données projet'!$E$11+1,1))-AVERAGE(OFFSET($H$3,0,0,'Données projet'!$E$11+1,1))</f>
        <v>#N/A</v>
      </c>
      <c r="BJ37" s="60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0" t="e">
        <f t="shared" si="11"/>
        <v>#N/A</v>
      </c>
      <c r="CD37" s="60" t="e">
        <f ca="1">AVERAGE(OFFSET($CC$3,0,0,'Données projet'!$E$12+1,1))-AVERAGE(OFFSET($H$3,0,0,'Données projet'!$E$12+1,1))</f>
        <v>#N/A</v>
      </c>
      <c r="CE37" s="60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94.348800000000011</v>
      </c>
      <c r="CV37" s="14">
        <f t="shared" si="41"/>
        <v>25.611153022386461</v>
      </c>
      <c r="CW37" s="22">
        <f t="shared" si="13"/>
        <v>208.93025151398976</v>
      </c>
      <c r="CX37" s="60">
        <f t="shared" si="14"/>
        <v>502.26358484732305</v>
      </c>
      <c r="CY37" s="60">
        <f ca="1">AVERAGE(OFFSET($CX$3,0,0,'Données projet'!$E$13+1,1))-AVERAGE(OFFSET($H$3,0,0,'Données projet'!$E$13+1,1))</f>
        <v>415.50509041799154</v>
      </c>
      <c r="CZ37" s="60">
        <f t="shared" si="42"/>
        <v>239.93573789765657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108</v>
      </c>
      <c r="DP37" s="18">
        <f>DO37*VLOOKUP('Données projet'!$B$14,Paramètres!$A$1:$I$89,3,0)*VLOOKUP('Données projet'!$B$14,Paramètres!$A$1:$I$89,5,0)</f>
        <v>109.51200000000001</v>
      </c>
      <c r="DQ37" s="14">
        <f t="shared" si="43"/>
        <v>29.215978230632555</v>
      </c>
      <c r="DR37" s="22">
        <f t="shared" si="16"/>
        <v>241.61789541835174</v>
      </c>
      <c r="DS37" s="60">
        <f t="shared" si="17"/>
        <v>534.95122875168499</v>
      </c>
      <c r="DT37" s="60">
        <f ca="1">AVERAGE(OFFSET($DS$3,0,0,'Données projet'!$E$14+1,1))-AVERAGE(OFFSET($H$3,0,0,'Données projet'!$E$14+1,1))</f>
        <v>475.47920969424894</v>
      </c>
      <c r="DU37" s="60">
        <f t="shared" si="44"/>
        <v>271.73544012419364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</v>
      </c>
      <c r="EJ37" s="13">
        <f>IF('Données projet'!$A$192&gt;35,EJ36+EI37-ER36,IF(A37&lt;'Données projet'!$A$192,$EG$205^A37,IF(A37='Données projet'!$A$192,'Données projet'!$B$192,EJ36+EI37-ER36)))</f>
        <v>108</v>
      </c>
      <c r="EK37" s="18">
        <f>EJ37*VLOOKUP('Données projet'!$B$15,Paramètres!$A$1:$I$89,3,0)*VLOOKUP('Données projet'!$B$15,Paramètres!$A$1:$I$89,5,0)</f>
        <v>97.718399999999988</v>
      </c>
      <c r="EL37" s="14">
        <f t="shared" si="45"/>
        <v>26.417709819192194</v>
      </c>
      <c r="EM37" s="22">
        <f t="shared" si="19"/>
        <v>216.20372460175972</v>
      </c>
      <c r="EN37" s="60">
        <f t="shared" si="20"/>
        <v>509.537057935093</v>
      </c>
      <c r="EO37" s="60">
        <f ca="1">AVERAGE(OFFSET($EN$3,0,0,'Données projet'!$E$15+1,1))-AVERAGE(OFFSET($H$3,0,0,'Données projet'!$E$15+1,1))</f>
        <v>428.8489304403459</v>
      </c>
      <c r="EP37" s="60">
        <f t="shared" si="46"/>
        <v>247.01165577562966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</v>
      </c>
      <c r="FE37" s="13">
        <f>IF('Données projet'!$A$218&gt;35,FE36+FD37-FM36,IF(A37&lt;'Données projet'!$A$218,$FB$205^A37,IF(A37='Données projet'!$A$218,'Données projet'!$B$218,FE36+FD37-FM36)))</f>
        <v>108</v>
      </c>
      <c r="FF37" s="18">
        <f>FE37*VLOOKUP('Données projet'!$B$16,Paramètres!$A$1:$I$89,3,0)*VLOOKUP('Données projet'!$B$16,Paramètres!$A$1:$I$89,5,0)</f>
        <v>104.4576</v>
      </c>
      <c r="FG37" s="14">
        <f t="shared" si="47"/>
        <v>28.021248860498272</v>
      </c>
      <c r="FH37" s="22">
        <f t="shared" si="22"/>
        <v>230.73399509870114</v>
      </c>
      <c r="FI37" s="60">
        <f t="shared" si="23"/>
        <v>524.0673284320344</v>
      </c>
      <c r="FJ37" s="60">
        <f ca="1">AVERAGE(OFFSET($FI$3,0,0,'Données projet'!$E$16+1,1))-AVERAGE(OFFSET($H$3,0,0,'Données projet'!$E$16+1,1))</f>
        <v>455.50822833641354</v>
      </c>
      <c r="FK37" s="60">
        <f t="shared" si="48"/>
        <v>261.14722581688039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 t="e">
        <f>N38*VLOOKUP('Données projet'!$B$9,Paramètres!$A$1:$I$89,3,0)*VLOOKUP('Données projet'!$B$9,Paramètres!$A$1:$I$89,5,0)</f>
        <v>#N/A</v>
      </c>
      <c r="P38" s="14" t="e">
        <f t="shared" si="33"/>
        <v>#N/A</v>
      </c>
      <c r="Q38" s="22" t="e">
        <f t="shared" si="53"/>
        <v>#N/A</v>
      </c>
      <c r="R38" s="60" t="e">
        <f t="shared" si="0"/>
        <v>#N/A</v>
      </c>
      <c r="S38" s="60" t="e">
        <f ca="1">AVERAGE(OFFSET($R$3,0,0,'Données projet'!$E$9+1,1))-AVERAGE(OFFSET($H$3,0,0,'Données projet'!$E$9+1,1))</f>
        <v>#N/A</v>
      </c>
      <c r="T38" s="60" t="e">
        <f t="shared" si="34"/>
        <v>#N/A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 t="e">
        <f>EXP(-LN(2)/35)*Z37+(1-EXP(-LN(2)/35))/(LN(2)/35)*V38*W38*VLOOKUP('Données projet'!$B$9,Paramètres!$A$1:$I$89,3,0)*0.475*44/12</f>
        <v>#N/A</v>
      </c>
      <c r="AA38" s="23" t="e">
        <f>EXP(-LN(2)/25)*AA37+(1-EXP(-LN(2)/25))/(LN(2)/25)*Calculateur!V38*Calculateur!X38*VLOOKUP('Données projet'!$B$9,Paramètres!$A$1:$I$89,3,0)*0.475*44/12</f>
        <v>#N/A</v>
      </c>
      <c r="AB38" s="23" t="e">
        <f>EXP(-LN(2)/2)*AB37+(1-EXP(-LN(2)/2))/(LN(2)/2)*V38*Y38*VLOOKUP('Données projet'!$B$9,Paramètres!$A$1:$I$89,3,0)*0.475*44/12</f>
        <v>#N/A</v>
      </c>
      <c r="AC38" s="24" t="e">
        <f t="shared" si="3"/>
        <v>#N/A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172</v>
      </c>
      <c r="AG38" s="13">
        <f>VLOOKUP(A38,'Données projet'!$A$61:$I$81,9,0)</f>
        <v>16.2</v>
      </c>
      <c r="AH38" s="13">
        <f t="array" ref="AH38">INDEX(AG:AG,MIN(IF(ISNUMBER(AG38:AG234),ROW(AG38:AG234),"")))</f>
        <v>16.2</v>
      </c>
      <c r="AI38" s="14">
        <f>IF('Données projet'!$A$62&gt;35,AI37+AH38-AQ37,IF(A38&lt;'Données projet'!$A$62,$AF$205^A38,IF(A38='Données projet'!$A$62,'Données projet'!$B$62,AI37+AH38-AQ37)))</f>
        <v>171.99999999999997</v>
      </c>
      <c r="AJ38" s="14">
        <f>AI38*VLOOKUP('Données projet'!$B$10,Paramètres!$A$1:$I$89,3,0)*VLOOKUP('Données projet'!$B$10,Paramètres!$A$1:$I$89,5,0)</f>
        <v>150.25919999999999</v>
      </c>
      <c r="AK38" s="14">
        <f t="shared" si="35"/>
        <v>38.637483830798729</v>
      </c>
      <c r="AL38" s="22">
        <f t="shared" si="4"/>
        <v>328.99505767197445</v>
      </c>
      <c r="AM38" s="60">
        <f t="shared" si="5"/>
        <v>622.32839100530782</v>
      </c>
      <c r="AN38" s="60">
        <f ca="1">AVERAGE(OFFSET($AM$3,0,0,'Données projet'!$E$10+1,1))-AVERAGE(OFFSET($H$3,0,0,'Données projet'!$E$10+1,1))</f>
        <v>325.06345339097095</v>
      </c>
      <c r="AO38" s="60">
        <f t="shared" si="36"/>
        <v>318.90379036810754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0" t="e">
        <f t="shared" si="8"/>
        <v>#N/A</v>
      </c>
      <c r="BI38" s="60" t="e">
        <f ca="1">AVERAGE(OFFSET($BH$3,0,0,'Données projet'!$E$11+1,1))-AVERAGE(OFFSET($H$3,0,0,'Données projet'!$E$11+1,1))</f>
        <v>#N/A</v>
      </c>
      <c r="BJ38" s="60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0" t="e">
        <f t="shared" si="11"/>
        <v>#N/A</v>
      </c>
      <c r="CD38" s="60" t="e">
        <f ca="1">AVERAGE(OFFSET($CC$3,0,0,'Données projet'!$E$12+1,1))-AVERAGE(OFFSET($H$3,0,0,'Données projet'!$E$12+1,1))</f>
        <v>#N/A</v>
      </c>
      <c r="CE38" s="60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101.33760000000001</v>
      </c>
      <c r="CV38" s="14">
        <f t="shared" si="41"/>
        <v>27.280415454305565</v>
      </c>
      <c r="CW38" s="22">
        <f t="shared" si="13"/>
        <v>224.00971024958221</v>
      </c>
      <c r="CX38" s="60">
        <f t="shared" si="14"/>
        <v>517.34304358291547</v>
      </c>
      <c r="CY38" s="60">
        <f ca="1">AVERAGE(OFFSET($CX$3,0,0,'Données projet'!$E$13+1,1))-AVERAGE(OFFSET($H$3,0,0,'Données projet'!$E$13+1,1))</f>
        <v>415.50509041799154</v>
      </c>
      <c r="CZ38" s="60">
        <f t="shared" si="42"/>
        <v>239.93573789765657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116</v>
      </c>
      <c r="DP38" s="18">
        <f>DO38*VLOOKUP('Données projet'!$B$14,Paramètres!$A$1:$I$89,3,0)*VLOOKUP('Données projet'!$B$14,Paramètres!$A$1:$I$89,5,0)</f>
        <v>117.62400000000001</v>
      </c>
      <c r="DQ38" s="14">
        <f t="shared" si="43"/>
        <v>31.120192961985413</v>
      </c>
      <c r="DR38" s="22">
        <f t="shared" si="16"/>
        <v>259.06280274212457</v>
      </c>
      <c r="DS38" s="60">
        <f t="shared" si="17"/>
        <v>552.39613607545789</v>
      </c>
      <c r="DT38" s="60">
        <f ca="1">AVERAGE(OFFSET($DS$3,0,0,'Données projet'!$E$14+1,1))-AVERAGE(OFFSET($H$3,0,0,'Données projet'!$E$14+1,1))</f>
        <v>475.47920969424894</v>
      </c>
      <c r="DU38" s="60">
        <f t="shared" si="44"/>
        <v>271.73544012419364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116</v>
      </c>
      <c r="EH38" s="13">
        <f>VLOOKUP(A38,'Données projet'!$A$191:$I$211,9,0)</f>
        <v>8</v>
      </c>
      <c r="EI38" s="13">
        <f t="array" ref="EI38">INDEX(EH:EH,MIN(IF(ISNUMBER(EH38:EH234),ROW(EH38:EH234),"")))</f>
        <v>8</v>
      </c>
      <c r="EJ38" s="13">
        <f>IF('Données projet'!$A$192&gt;35,EJ37+EI38-ER37,IF(A38&lt;'Données projet'!$A$192,$EG$205^A38,IF(A38='Données projet'!$A$192,'Données projet'!$B$192,EJ37+EI38-ER37)))</f>
        <v>116</v>
      </c>
      <c r="EK38" s="18">
        <f>EJ38*VLOOKUP('Données projet'!$B$15,Paramètres!$A$1:$I$89,3,0)*VLOOKUP('Données projet'!$B$15,Paramètres!$A$1:$I$89,5,0)</f>
        <v>104.9568</v>
      </c>
      <c r="EL38" s="14">
        <f t="shared" si="45"/>
        <v>28.139541339232373</v>
      </c>
      <c r="EM38" s="22">
        <f t="shared" si="19"/>
        <v>231.8094611658297</v>
      </c>
      <c r="EN38" s="60">
        <f t="shared" si="20"/>
        <v>525.14279449916307</v>
      </c>
      <c r="EO38" s="60">
        <f ca="1">AVERAGE(OFFSET($EN$3,0,0,'Données projet'!$E$15+1,1))-AVERAGE(OFFSET($H$3,0,0,'Données projet'!$E$15+1,1))</f>
        <v>428.8489304403459</v>
      </c>
      <c r="EP38" s="60">
        <f t="shared" si="46"/>
        <v>247.01165577562966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116</v>
      </c>
      <c r="FC38" s="13">
        <f>VLOOKUP(A38,'Données projet'!$A$217:$I$237,9,0)</f>
        <v>8</v>
      </c>
      <c r="FD38" s="13">
        <f t="array" ref="FD38">INDEX(FC:FC,MIN(IF(ISNUMBER(FC38:FC234),ROW(FC38:FC234),"")))</f>
        <v>8</v>
      </c>
      <c r="FE38" s="13">
        <f>IF('Données projet'!$A$218&gt;35,FE37+FD38-FM37,IF(A38&lt;'Données projet'!$A$218,$FB$205^A38,IF(A38='Données projet'!$A$218,'Données projet'!$B$218,FE37+FD38-FM37)))</f>
        <v>116</v>
      </c>
      <c r="FF38" s="18">
        <f>FE38*VLOOKUP('Données projet'!$B$16,Paramètres!$A$1:$I$89,3,0)*VLOOKUP('Données projet'!$B$16,Paramètres!$A$1:$I$89,5,0)</f>
        <v>112.1952</v>
      </c>
      <c r="FG38" s="14">
        <f t="shared" si="47"/>
        <v>29.847594514573263</v>
      </c>
      <c r="FH38" s="22">
        <f t="shared" si="22"/>
        <v>247.39120044621509</v>
      </c>
      <c r="FI38" s="60">
        <f t="shared" si="23"/>
        <v>540.72453377954844</v>
      </c>
      <c r="FJ38" s="60">
        <f ca="1">AVERAGE(OFFSET($FI$3,0,0,'Données projet'!$E$16+1,1))-AVERAGE(OFFSET($H$3,0,0,'Données projet'!$E$16+1,1))</f>
        <v>455.50822833641354</v>
      </c>
      <c r="FK38" s="60">
        <f t="shared" si="48"/>
        <v>261.14722581688039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 t="e">
        <f>N39*VLOOKUP('Données projet'!$B$9,Paramètres!$A$1:$I$89,3,0)*VLOOKUP('Données projet'!$B$9,Paramètres!$A$1:$I$89,5,0)</f>
        <v>#N/A</v>
      </c>
      <c r="P39" s="14" t="e">
        <f t="shared" si="33"/>
        <v>#N/A</v>
      </c>
      <c r="Q39" s="22" t="e">
        <f t="shared" si="53"/>
        <v>#N/A</v>
      </c>
      <c r="R39" s="60" t="e">
        <f t="shared" si="0"/>
        <v>#N/A</v>
      </c>
      <c r="S39" s="60" t="e">
        <f ca="1">AVERAGE(OFFSET($R$3,0,0,'Données projet'!$E$9+1,1))-AVERAGE(OFFSET($H$3,0,0,'Données projet'!$E$9+1,1))</f>
        <v>#N/A</v>
      </c>
      <c r="T39" s="60" t="e">
        <f t="shared" si="34"/>
        <v>#N/A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 t="e">
        <f>EXP(-LN(2)/35)*Z38+(1-EXP(-LN(2)/35))/(LN(2)/35)*V39*W39*VLOOKUP('Données projet'!$B$9,Paramètres!$A$1:$I$89,3,0)*0.475*44/12</f>
        <v>#N/A</v>
      </c>
      <c r="AA39" s="23" t="e">
        <f>EXP(-LN(2)/25)*AA38+(1-EXP(-LN(2)/25))/(LN(2)/25)*Calculateur!V39*Calculateur!X39*VLOOKUP('Données projet'!$B$9,Paramètres!$A$1:$I$89,3,0)*0.475*44/12</f>
        <v>#N/A</v>
      </c>
      <c r="AB39" s="23" t="e">
        <f>EXP(-LN(2)/2)*AB38+(1-EXP(-LN(2)/2))/(LN(2)/2)*V39*Y39*VLOOKUP('Données projet'!$B$9,Paramètres!$A$1:$I$89,3,0)*0.475*44/12</f>
        <v>#N/A</v>
      </c>
      <c r="AC39" s="24" t="e">
        <f t="shared" si="3"/>
        <v>#N/A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</v>
      </c>
      <c r="AI39" s="14">
        <f>IF('Données projet'!$A$62&gt;35,AI38+AH39-AQ38,IF(A39&lt;'Données projet'!$A$62,$AF$205^A39,IF(A39='Données projet'!$A$62,'Données projet'!$B$62,AI38+AH39-AQ38)))</f>
        <v>175.99999999999997</v>
      </c>
      <c r="AJ39" s="14">
        <f>AI39*VLOOKUP('Données projet'!$B$10,Paramètres!$A$1:$I$89,3,0)*VLOOKUP('Données projet'!$B$10,Paramètres!$A$1:$I$89,5,0)</f>
        <v>153.75359999999998</v>
      </c>
      <c r="AK39" s="14">
        <f t="shared" si="35"/>
        <v>39.430373774012359</v>
      </c>
      <c r="AL39" s="22">
        <f t="shared" si="4"/>
        <v>336.46208765640478</v>
      </c>
      <c r="AM39" s="60">
        <f t="shared" si="5"/>
        <v>629.79542098973809</v>
      </c>
      <c r="AN39" s="60">
        <f ca="1">AVERAGE(OFFSET($AM$3,0,0,'Données projet'!$E$10+1,1))-AVERAGE(OFFSET($H$3,0,0,'Données projet'!$E$10+1,1))</f>
        <v>325.06345339097095</v>
      </c>
      <c r="AO39" s="60">
        <f t="shared" si="36"/>
        <v>318.90379036810754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0" t="e">
        <f t="shared" si="8"/>
        <v>#N/A</v>
      </c>
      <c r="BI39" s="60" t="e">
        <f ca="1">AVERAGE(OFFSET($BH$3,0,0,'Données projet'!$E$11+1,1))-AVERAGE(OFFSET($H$3,0,0,'Données projet'!$E$11+1,1))</f>
        <v>#N/A</v>
      </c>
      <c r="BJ39" s="60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0" t="e">
        <f t="shared" si="11"/>
        <v>#N/A</v>
      </c>
      <c r="CD39" s="60" t="e">
        <f ca="1">AVERAGE(OFFSET($CC$3,0,0,'Données projet'!$E$12+1,1))-AVERAGE(OFFSET($H$3,0,0,'Données projet'!$E$12+1,1))</f>
        <v>#N/A</v>
      </c>
      <c r="CE39" s="60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108.67584000000002</v>
      </c>
      <c r="CV39" s="14">
        <f t="shared" si="41"/>
        <v>29.018782587859434</v>
      </c>
      <c r="CW39" s="22">
        <f t="shared" si="13"/>
        <v>239.81813434052185</v>
      </c>
      <c r="CX39" s="60">
        <f t="shared" si="14"/>
        <v>533.15146767385522</v>
      </c>
      <c r="CY39" s="60">
        <f ca="1">AVERAGE(OFFSET($CX$3,0,0,'Données projet'!$E$13+1,1))-AVERAGE(OFFSET($H$3,0,0,'Données projet'!$E$13+1,1))</f>
        <v>415.50509041799154</v>
      </c>
      <c r="CZ39" s="60">
        <f t="shared" si="42"/>
        <v>239.93573789765657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124.4</v>
      </c>
      <c r="DP39" s="18">
        <f>DO39*VLOOKUP('Données projet'!$B$14,Paramètres!$A$1:$I$89,3,0)*VLOOKUP('Données projet'!$B$14,Paramètres!$A$1:$I$89,5,0)</f>
        <v>126.1416</v>
      </c>
      <c r="DQ39" s="14">
        <f t="shared" si="43"/>
        <v>33.10323903126482</v>
      </c>
      <c r="DR39" s="22">
        <f t="shared" si="16"/>
        <v>277.35142797945286</v>
      </c>
      <c r="DS39" s="60">
        <f t="shared" si="17"/>
        <v>570.68476131278612</v>
      </c>
      <c r="DT39" s="60">
        <f ca="1">AVERAGE(OFFSET($DS$3,0,0,'Données projet'!$E$14+1,1))-AVERAGE(OFFSET($H$3,0,0,'Données projet'!$E$14+1,1))</f>
        <v>475.47920969424894</v>
      </c>
      <c r="DU39" s="60">
        <f t="shared" si="44"/>
        <v>271.73544012419364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8.4</v>
      </c>
      <c r="EJ39" s="13">
        <f>IF('Données projet'!$A$192&gt;35,EJ38+EI39-ER38,IF(A39&lt;'Données projet'!$A$192,$EG$205^A39,IF(A39='Données projet'!$A$192,'Données projet'!$B$192,EJ38+EI39-ER38)))</f>
        <v>124.4</v>
      </c>
      <c r="EK39" s="18">
        <f>EJ39*VLOOKUP('Données projet'!$B$15,Paramètres!$A$1:$I$89,3,0)*VLOOKUP('Données projet'!$B$15,Paramètres!$A$1:$I$89,5,0)</f>
        <v>112.55712000000001</v>
      </c>
      <c r="EL39" s="14">
        <f t="shared" si="45"/>
        <v>29.932653834140599</v>
      </c>
      <c r="EM39" s="22">
        <f t="shared" si="19"/>
        <v>248.16968942779488</v>
      </c>
      <c r="EN39" s="60">
        <f t="shared" si="20"/>
        <v>541.50302276112825</v>
      </c>
      <c r="EO39" s="60">
        <f ca="1">AVERAGE(OFFSET($EN$3,0,0,'Données projet'!$E$15+1,1))-AVERAGE(OFFSET($H$3,0,0,'Données projet'!$E$15+1,1))</f>
        <v>428.8489304403459</v>
      </c>
      <c r="EP39" s="60">
        <f t="shared" si="46"/>
        <v>247.01165577562966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8.4</v>
      </c>
      <c r="FE39" s="13">
        <f>IF('Données projet'!$A$218&gt;35,FE38+FD39-FM38,IF(A39&lt;'Données projet'!$A$218,$FB$205^A39,IF(A39='Données projet'!$A$218,'Données projet'!$B$218,FE38+FD39-FM38)))</f>
        <v>124.4</v>
      </c>
      <c r="FF39" s="18">
        <f>FE39*VLOOKUP('Données projet'!$B$16,Paramètres!$A$1:$I$89,3,0)*VLOOKUP('Données projet'!$B$16,Paramètres!$A$1:$I$89,5,0)</f>
        <v>120.31968000000001</v>
      </c>
      <c r="FG39" s="14">
        <f t="shared" si="47"/>
        <v>31.74954785566829</v>
      </c>
      <c r="FH39" s="22">
        <f t="shared" si="22"/>
        <v>264.85390518195555</v>
      </c>
      <c r="FI39" s="60">
        <f t="shared" si="23"/>
        <v>558.18723851528887</v>
      </c>
      <c r="FJ39" s="60">
        <f ca="1">AVERAGE(OFFSET($FI$3,0,0,'Données projet'!$E$16+1,1))-AVERAGE(OFFSET($H$3,0,0,'Données projet'!$E$16+1,1))</f>
        <v>455.50822833641354</v>
      </c>
      <c r="FK39" s="60">
        <f t="shared" si="48"/>
        <v>261.14722581688039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 t="e">
        <f>N40*VLOOKUP('Données projet'!$B$9,Paramètres!$A$1:$I$89,3,0)*VLOOKUP('Données projet'!$B$9,Paramètres!$A$1:$I$89,5,0)</f>
        <v>#N/A</v>
      </c>
      <c r="P40" s="14" t="e">
        <f t="shared" si="33"/>
        <v>#N/A</v>
      </c>
      <c r="Q40" s="22" t="e">
        <f t="shared" si="53"/>
        <v>#N/A</v>
      </c>
      <c r="R40" s="60" t="e">
        <f t="shared" si="0"/>
        <v>#N/A</v>
      </c>
      <c r="S40" s="60" t="e">
        <f ca="1">AVERAGE(OFFSET($R$3,0,0,'Données projet'!$E$9+1,1))-AVERAGE(OFFSET($H$3,0,0,'Données projet'!$E$9+1,1))</f>
        <v>#N/A</v>
      </c>
      <c r="T40" s="60" t="e">
        <f t="shared" si="34"/>
        <v>#N/A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 t="e">
        <f>EXP(-LN(2)/35)*Z39+(1-EXP(-LN(2)/35))/(LN(2)/35)*V40*W40*VLOOKUP('Données projet'!$B$9,Paramètres!$A$1:$I$89,3,0)*0.475*44/12</f>
        <v>#N/A</v>
      </c>
      <c r="AA40" s="23" t="e">
        <f>EXP(-LN(2)/25)*AA39+(1-EXP(-LN(2)/25))/(LN(2)/25)*Calculateur!V40*Calculateur!X40*VLOOKUP('Données projet'!$B$9,Paramètres!$A$1:$I$89,3,0)*0.475*44/12</f>
        <v>#N/A</v>
      </c>
      <c r="AB40" s="23" t="e">
        <f>EXP(-LN(2)/2)*AB39+(1-EXP(-LN(2)/2))/(LN(2)/2)*V40*Y40*VLOOKUP('Données projet'!$B$9,Paramètres!$A$1:$I$89,3,0)*0.475*44/12</f>
        <v>#N/A</v>
      </c>
      <c r="AC40" s="24" t="e">
        <f t="shared" si="3"/>
        <v>#N/A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</v>
      </c>
      <c r="AI40" s="14">
        <f>IF('Données projet'!$A$62&gt;35,AI39+AH40-AQ39,IF(A40&lt;'Données projet'!$A$62,$AF$205^A40,IF(A40='Données projet'!$A$62,'Données projet'!$B$62,AI39+AH40-AQ39)))</f>
        <v>179.99999999999997</v>
      </c>
      <c r="AJ40" s="14">
        <f>AI40*VLOOKUP('Données projet'!$B$10,Paramètres!$A$1:$I$89,3,0)*VLOOKUP('Données projet'!$B$10,Paramètres!$A$1:$I$89,5,0)</f>
        <v>157.24799999999999</v>
      </c>
      <c r="AK40" s="14">
        <f t="shared" si="35"/>
        <v>40.22116874434861</v>
      </c>
      <c r="AL40" s="22">
        <f t="shared" si="4"/>
        <v>343.92546889640715</v>
      </c>
      <c r="AM40" s="60">
        <f t="shared" si="5"/>
        <v>637.25880222974047</v>
      </c>
      <c r="AN40" s="60">
        <f ca="1">AVERAGE(OFFSET($AM$3,0,0,'Données projet'!$E$10+1,1))-AVERAGE(OFFSET($H$3,0,0,'Données projet'!$E$10+1,1))</f>
        <v>325.06345339097095</v>
      </c>
      <c r="AO40" s="60">
        <f t="shared" si="36"/>
        <v>318.90379036810754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0" t="e">
        <f t="shared" si="8"/>
        <v>#N/A</v>
      </c>
      <c r="BI40" s="60" t="e">
        <f ca="1">AVERAGE(OFFSET($BH$3,0,0,'Données projet'!$E$11+1,1))-AVERAGE(OFFSET($H$3,0,0,'Données projet'!$E$11+1,1))</f>
        <v>#N/A</v>
      </c>
      <c r="BJ40" s="60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0" t="e">
        <f t="shared" si="11"/>
        <v>#N/A</v>
      </c>
      <c r="CD40" s="60" t="e">
        <f ca="1">AVERAGE(OFFSET($CC$3,0,0,'Données projet'!$E$12+1,1))-AVERAGE(OFFSET($H$3,0,0,'Données projet'!$E$12+1,1))</f>
        <v>#N/A</v>
      </c>
      <c r="CE40" s="60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116.01408000000002</v>
      </c>
      <c r="CV40" s="14">
        <f t="shared" si="41"/>
        <v>30.743529123865123</v>
      </c>
      <c r="CW40" s="22">
        <f t="shared" si="13"/>
        <v>255.60283589073177</v>
      </c>
      <c r="CX40" s="60">
        <f t="shared" si="14"/>
        <v>548.93616922406511</v>
      </c>
      <c r="CY40" s="60">
        <f ca="1">AVERAGE(OFFSET($CX$3,0,0,'Données projet'!$E$13+1,1))-AVERAGE(OFFSET($H$3,0,0,'Données projet'!$E$13+1,1))</f>
        <v>415.50509041799154</v>
      </c>
      <c r="CZ40" s="60">
        <f t="shared" si="42"/>
        <v>239.93573789765657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132.80000000000001</v>
      </c>
      <c r="DP40" s="18">
        <f>DO40*VLOOKUP('Données projet'!$B$14,Paramètres!$A$1:$I$89,3,0)*VLOOKUP('Données projet'!$B$14,Paramètres!$A$1:$I$89,5,0)</f>
        <v>134.65920000000003</v>
      </c>
      <c r="DQ40" s="14">
        <f t="shared" si="43"/>
        <v>35.07074737441733</v>
      </c>
      <c r="DR40" s="22">
        <f t="shared" si="16"/>
        <v>295.61299167711019</v>
      </c>
      <c r="DS40" s="60">
        <f t="shared" si="17"/>
        <v>588.9463250104435</v>
      </c>
      <c r="DT40" s="60">
        <f ca="1">AVERAGE(OFFSET($DS$3,0,0,'Données projet'!$E$14+1,1))-AVERAGE(OFFSET($H$3,0,0,'Données projet'!$E$14+1,1))</f>
        <v>475.47920969424894</v>
      </c>
      <c r="DU40" s="60">
        <f t="shared" si="44"/>
        <v>271.73544012419364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8.4</v>
      </c>
      <c r="EJ40" s="13">
        <f>IF('Données projet'!$A$192&gt;35,EJ39+EI40-ER39,IF(A40&lt;'Données projet'!$A$192,$EG$205^A40,IF(A40='Données projet'!$A$192,'Données projet'!$B$192,EJ39+EI40-ER39)))</f>
        <v>132.80000000000001</v>
      </c>
      <c r="EK40" s="18">
        <f>EJ40*VLOOKUP('Données projet'!$B$15,Paramètres!$A$1:$I$89,3,0)*VLOOKUP('Données projet'!$B$15,Paramètres!$A$1:$I$89,5,0)</f>
        <v>120.15744000000001</v>
      </c>
      <c r="EL40" s="14">
        <f t="shared" si="45"/>
        <v>31.711716786129845</v>
      </c>
      <c r="EM40" s="22">
        <f t="shared" si="19"/>
        <v>264.50544806917611</v>
      </c>
      <c r="EN40" s="60">
        <f t="shared" si="20"/>
        <v>557.83878140250943</v>
      </c>
      <c r="EO40" s="60">
        <f ca="1">AVERAGE(OFFSET($EN$3,0,0,'Données projet'!$E$15+1,1))-AVERAGE(OFFSET($H$3,0,0,'Données projet'!$E$15+1,1))</f>
        <v>428.8489304403459</v>
      </c>
      <c r="EP40" s="60">
        <f t="shared" si="46"/>
        <v>247.01165577562966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8.4</v>
      </c>
      <c r="FE40" s="13">
        <f>IF('Données projet'!$A$218&gt;35,FE39+FD40-FM39,IF(A40&lt;'Données projet'!$A$218,$FB$205^A40,IF(A40='Données projet'!$A$218,'Données projet'!$B$218,FE39+FD40-FM39)))</f>
        <v>132.80000000000001</v>
      </c>
      <c r="FF40" s="18">
        <f>FE40*VLOOKUP('Données projet'!$B$16,Paramètres!$A$1:$I$89,3,0)*VLOOKUP('Données projet'!$B$16,Paramètres!$A$1:$I$89,5,0)</f>
        <v>128.44416000000001</v>
      </c>
      <c r="FG40" s="14">
        <f t="shared" si="47"/>
        <v>33.636598855068925</v>
      </c>
      <c r="FH40" s="22">
        <f t="shared" si="22"/>
        <v>282.29065500591173</v>
      </c>
      <c r="FI40" s="60">
        <f t="shared" si="23"/>
        <v>575.62398833924499</v>
      </c>
      <c r="FJ40" s="60">
        <f ca="1">AVERAGE(OFFSET($FI$3,0,0,'Données projet'!$E$16+1,1))-AVERAGE(OFFSET($H$3,0,0,'Données projet'!$E$16+1,1))</f>
        <v>455.50822833641354</v>
      </c>
      <c r="FK40" s="60">
        <f t="shared" si="48"/>
        <v>261.14722581688039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 t="e">
        <f>N41*VLOOKUP('Données projet'!$B$9,Paramètres!$A$1:$I$89,3,0)*VLOOKUP('Données projet'!$B$9,Paramètres!$A$1:$I$89,5,0)</f>
        <v>#N/A</v>
      </c>
      <c r="P41" s="14" t="e">
        <f t="shared" si="33"/>
        <v>#N/A</v>
      </c>
      <c r="Q41" s="22" t="e">
        <f t="shared" si="53"/>
        <v>#N/A</v>
      </c>
      <c r="R41" s="60" t="e">
        <f t="shared" si="0"/>
        <v>#N/A</v>
      </c>
      <c r="S41" s="60" t="e">
        <f ca="1">AVERAGE(OFFSET($R$3,0,0,'Données projet'!$E$9+1,1))-AVERAGE(OFFSET($H$3,0,0,'Données projet'!$E$9+1,1))</f>
        <v>#N/A</v>
      </c>
      <c r="T41" s="60" t="e">
        <f t="shared" si="34"/>
        <v>#N/A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 t="e">
        <f>EXP(-LN(2)/35)*Z40+(1-EXP(-LN(2)/35))/(LN(2)/35)*V41*W41*VLOOKUP('Données projet'!$B$9,Paramètres!$A$1:$I$89,3,0)*0.475*44/12</f>
        <v>#N/A</v>
      </c>
      <c r="AA41" s="23" t="e">
        <f>EXP(-LN(2)/25)*AA40+(1-EXP(-LN(2)/25))/(LN(2)/25)*Calculateur!V41*Calculateur!X41*VLOOKUP('Données projet'!$B$9,Paramètres!$A$1:$I$89,3,0)*0.475*44/12</f>
        <v>#N/A</v>
      </c>
      <c r="AB41" s="23" t="e">
        <f>EXP(-LN(2)/2)*AB40+(1-EXP(-LN(2)/2))/(LN(2)/2)*V41*Y41*VLOOKUP('Données projet'!$B$9,Paramètres!$A$1:$I$89,3,0)*0.475*44/12</f>
        <v>#N/A</v>
      </c>
      <c r="AC41" s="24" t="e">
        <f t="shared" si="3"/>
        <v>#N/A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</v>
      </c>
      <c r="AI41" s="14">
        <f>IF('Données projet'!$A$62&gt;35,AI40+AH41-AQ40,IF(A41&lt;'Données projet'!$A$62,$AF$205^A41,IF(A41='Données projet'!$A$62,'Données projet'!$B$62,AI40+AH41-AQ40)))</f>
        <v>183.99999999999997</v>
      </c>
      <c r="AJ41" s="14">
        <f>AI41*VLOOKUP('Données projet'!$B$10,Paramètres!$A$1:$I$89,3,0)*VLOOKUP('Données projet'!$B$10,Paramètres!$A$1:$I$89,5,0)</f>
        <v>160.7424</v>
      </c>
      <c r="AK41" s="14">
        <f t="shared" si="35"/>
        <v>41.009920657227809</v>
      </c>
      <c r="AL41" s="22">
        <f t="shared" si="4"/>
        <v>351.38529181133845</v>
      </c>
      <c r="AM41" s="60">
        <f t="shared" si="5"/>
        <v>644.71862514467171</v>
      </c>
      <c r="AN41" s="60">
        <f ca="1">AVERAGE(OFFSET($AM$3,0,0,'Données projet'!$E$10+1,1))-AVERAGE(OFFSET($H$3,0,0,'Données projet'!$E$10+1,1))</f>
        <v>325.06345339097095</v>
      </c>
      <c r="AO41" s="60">
        <f t="shared" si="36"/>
        <v>318.90379036810754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0" t="e">
        <f t="shared" si="8"/>
        <v>#N/A</v>
      </c>
      <c r="BI41" s="60" t="e">
        <f ca="1">AVERAGE(OFFSET($BH$3,0,0,'Données projet'!$E$11+1,1))-AVERAGE(OFFSET($H$3,0,0,'Données projet'!$E$11+1,1))</f>
        <v>#N/A</v>
      </c>
      <c r="BJ41" s="60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0" t="e">
        <f t="shared" si="11"/>
        <v>#N/A</v>
      </c>
      <c r="CD41" s="60" t="e">
        <f ca="1">AVERAGE(OFFSET($CC$3,0,0,'Données projet'!$E$12+1,1))-AVERAGE(OFFSET($H$3,0,0,'Données projet'!$E$12+1,1))</f>
        <v>#N/A</v>
      </c>
      <c r="CE41" s="60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123.35232000000003</v>
      </c>
      <c r="CV41" s="14">
        <f t="shared" si="41"/>
        <v>32.455614677489855</v>
      </c>
      <c r="CW41" s="22">
        <f t="shared" si="13"/>
        <v>271.36548622996156</v>
      </c>
      <c r="CX41" s="60">
        <f t="shared" si="14"/>
        <v>564.69881956329482</v>
      </c>
      <c r="CY41" s="60">
        <f ca="1">AVERAGE(OFFSET($CX$3,0,0,'Données projet'!$E$13+1,1))-AVERAGE(OFFSET($H$3,0,0,'Données projet'!$E$13+1,1))</f>
        <v>415.50509041799154</v>
      </c>
      <c r="CZ41" s="60">
        <f t="shared" si="42"/>
        <v>239.93573789765657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141.20000000000002</v>
      </c>
      <c r="DP41" s="18">
        <f>DO41*VLOOKUP('Données projet'!$B$14,Paramètres!$A$1:$I$89,3,0)*VLOOKUP('Données projet'!$B$14,Paramètres!$A$1:$I$89,5,0)</f>
        <v>143.17680000000004</v>
      </c>
      <c r="DQ41" s="14">
        <f t="shared" si="43"/>
        <v>37.023812674521515</v>
      </c>
      <c r="DR41" s="22">
        <f t="shared" si="16"/>
        <v>313.84940040812506</v>
      </c>
      <c r="DS41" s="60">
        <f t="shared" si="17"/>
        <v>607.18273374145838</v>
      </c>
      <c r="DT41" s="60">
        <f ca="1">AVERAGE(OFFSET($DS$3,0,0,'Données projet'!$E$14+1,1))-AVERAGE(OFFSET($H$3,0,0,'Données projet'!$E$14+1,1))</f>
        <v>475.47920969424894</v>
      </c>
      <c r="DU41" s="60">
        <f t="shared" si="44"/>
        <v>271.73544012419364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8.4</v>
      </c>
      <c r="EJ41" s="13">
        <f>IF('Données projet'!$A$192&gt;35,EJ40+EI41-ER40,IF(A41&lt;'Données projet'!$A$192,$EG$205^A41,IF(A41='Données projet'!$A$192,'Données projet'!$B$192,EJ40+EI41-ER40)))</f>
        <v>141.20000000000002</v>
      </c>
      <c r="EK41" s="18">
        <f>EJ41*VLOOKUP('Données projet'!$B$15,Paramètres!$A$1:$I$89,3,0)*VLOOKUP('Données projet'!$B$15,Paramètres!$A$1:$I$89,5,0)</f>
        <v>127.75776</v>
      </c>
      <c r="EL41" s="14">
        <f t="shared" si="45"/>
        <v>33.477720030956604</v>
      </c>
      <c r="EM41" s="22">
        <f t="shared" si="19"/>
        <v>280.81846105391611</v>
      </c>
      <c r="EN41" s="60">
        <f t="shared" si="20"/>
        <v>574.15179438724942</v>
      </c>
      <c r="EO41" s="60">
        <f ca="1">AVERAGE(OFFSET($EN$3,0,0,'Données projet'!$E$15+1,1))-AVERAGE(OFFSET($H$3,0,0,'Données projet'!$E$15+1,1))</f>
        <v>428.8489304403459</v>
      </c>
      <c r="EP41" s="60">
        <f t="shared" si="46"/>
        <v>247.01165577562966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8.4</v>
      </c>
      <c r="FE41" s="13">
        <f>IF('Données projet'!$A$218&gt;35,FE40+FD41-FM40,IF(A41&lt;'Données projet'!$A$218,$FB$205^A41,IF(A41='Données projet'!$A$218,'Données projet'!$B$218,FE40+FD41-FM40)))</f>
        <v>141.20000000000002</v>
      </c>
      <c r="FF41" s="18">
        <f>FE41*VLOOKUP('Données projet'!$B$16,Paramètres!$A$1:$I$89,3,0)*VLOOKUP('Données projet'!$B$16,Paramètres!$A$1:$I$89,5,0)</f>
        <v>136.56864000000002</v>
      </c>
      <c r="FG41" s="14">
        <f t="shared" si="47"/>
        <v>35.509797430964703</v>
      </c>
      <c r="FH41" s="22">
        <f t="shared" si="22"/>
        <v>299.70327852559689</v>
      </c>
      <c r="FI41" s="60">
        <f t="shared" si="23"/>
        <v>593.0366118589302</v>
      </c>
      <c r="FJ41" s="60">
        <f ca="1">AVERAGE(OFFSET($FI$3,0,0,'Données projet'!$E$16+1,1))-AVERAGE(OFFSET($H$3,0,0,'Données projet'!$E$16+1,1))</f>
        <v>455.50822833641354</v>
      </c>
      <c r="FK41" s="60">
        <f t="shared" si="48"/>
        <v>261.14722581688039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 t="e">
        <f>N42*VLOOKUP('Données projet'!$B$9,Paramètres!$A$1:$I$89,3,0)*VLOOKUP('Données projet'!$B$9,Paramètres!$A$1:$I$89,5,0)</f>
        <v>#N/A</v>
      </c>
      <c r="P42" s="14" t="e">
        <f t="shared" si="33"/>
        <v>#N/A</v>
      </c>
      <c r="Q42" s="22" t="e">
        <f t="shared" si="53"/>
        <v>#N/A</v>
      </c>
      <c r="R42" s="60" t="e">
        <f t="shared" si="0"/>
        <v>#N/A</v>
      </c>
      <c r="S42" s="60" t="e">
        <f ca="1">AVERAGE(OFFSET($R$3,0,0,'Données projet'!$E$9+1,1))-AVERAGE(OFFSET($H$3,0,0,'Données projet'!$E$9+1,1))</f>
        <v>#N/A</v>
      </c>
      <c r="T42" s="60" t="e">
        <f t="shared" si="34"/>
        <v>#N/A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 t="e">
        <f>EXP(-LN(2)/35)*Z41+(1-EXP(-LN(2)/35))/(LN(2)/35)*V42*W42*VLOOKUP('Données projet'!$B$9,Paramètres!$A$1:$I$89,3,0)*0.475*44/12</f>
        <v>#N/A</v>
      </c>
      <c r="AA42" s="23" t="e">
        <f>EXP(-LN(2)/25)*AA41+(1-EXP(-LN(2)/25))/(LN(2)/25)*Calculateur!V42*Calculateur!X42*VLOOKUP('Données projet'!$B$9,Paramètres!$A$1:$I$89,3,0)*0.475*44/12</f>
        <v>#N/A</v>
      </c>
      <c r="AB42" s="23" t="e">
        <f>EXP(-LN(2)/2)*AB41+(1-EXP(-LN(2)/2))/(LN(2)/2)*V42*Y42*VLOOKUP('Données projet'!$B$9,Paramètres!$A$1:$I$89,3,0)*0.475*44/12</f>
        <v>#N/A</v>
      </c>
      <c r="AC42" s="24" t="e">
        <f t="shared" si="3"/>
        <v>#N/A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</v>
      </c>
      <c r="AI42" s="14">
        <f>IF('Données projet'!$A$62&gt;35,AI41+AH42-AQ41,IF(A42&lt;'Données projet'!$A$62,$AF$205^A42,IF(A42='Données projet'!$A$62,'Données projet'!$B$62,AI41+AH42-AQ41)))</f>
        <v>187.99999999999997</v>
      </c>
      <c r="AJ42" s="14">
        <f>AI42*VLOOKUP('Données projet'!$B$10,Paramètres!$A$1:$I$89,3,0)*VLOOKUP('Données projet'!$B$10,Paramètres!$A$1:$I$89,5,0)</f>
        <v>164.23680000000002</v>
      </c>
      <c r="AK42" s="14">
        <f t="shared" si="35"/>
        <v>41.796679041964353</v>
      </c>
      <c r="AL42" s="22">
        <f t="shared" si="4"/>
        <v>358.84164266475454</v>
      </c>
      <c r="AM42" s="60">
        <f t="shared" si="5"/>
        <v>652.1749759980878</v>
      </c>
      <c r="AN42" s="60">
        <f ca="1">AVERAGE(OFFSET($AM$3,0,0,'Données projet'!$E$10+1,1))-AVERAGE(OFFSET($H$3,0,0,'Données projet'!$E$10+1,1))</f>
        <v>325.06345339097095</v>
      </c>
      <c r="AO42" s="60">
        <f t="shared" si="36"/>
        <v>318.90379036810754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0" t="e">
        <f t="shared" si="8"/>
        <v>#N/A</v>
      </c>
      <c r="BI42" s="60" t="e">
        <f ca="1">AVERAGE(OFFSET($BH$3,0,0,'Données projet'!$E$11+1,1))-AVERAGE(OFFSET($H$3,0,0,'Données projet'!$E$11+1,1))</f>
        <v>#N/A</v>
      </c>
      <c r="BJ42" s="60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0" t="e">
        <f t="shared" si="11"/>
        <v>#N/A</v>
      </c>
      <c r="CD42" s="60" t="e">
        <f ca="1">AVERAGE(OFFSET($CC$3,0,0,'Données projet'!$E$12+1,1))-AVERAGE(OFFSET($H$3,0,0,'Données projet'!$E$12+1,1))</f>
        <v>#N/A</v>
      </c>
      <c r="CE42" s="60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130.69056000000003</v>
      </c>
      <c r="CV42" s="14">
        <f t="shared" si="41"/>
        <v>34.155878238422723</v>
      </c>
      <c r="CW42" s="22">
        <f t="shared" si="13"/>
        <v>287.10754659858628</v>
      </c>
      <c r="CX42" s="60">
        <f t="shared" si="14"/>
        <v>580.44087993191965</v>
      </c>
      <c r="CY42" s="60">
        <f ca="1">AVERAGE(OFFSET($CX$3,0,0,'Données projet'!$E$13+1,1))-AVERAGE(OFFSET($H$3,0,0,'Données projet'!$E$13+1,1))</f>
        <v>415.50509041799154</v>
      </c>
      <c r="CZ42" s="60">
        <f t="shared" si="42"/>
        <v>239.93573789765657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149.60000000000002</v>
      </c>
      <c r="DP42" s="18">
        <f>DO42*VLOOKUP('Données projet'!$B$14,Paramètres!$A$1:$I$89,3,0)*VLOOKUP('Données projet'!$B$14,Paramètres!$A$1:$I$89,5,0)</f>
        <v>151.69440000000003</v>
      </c>
      <c r="DQ42" s="14">
        <f t="shared" si="43"/>
        <v>38.963392010880654</v>
      </c>
      <c r="DR42" s="22">
        <f t="shared" si="16"/>
        <v>332.06232108561716</v>
      </c>
      <c r="DS42" s="60">
        <f t="shared" si="17"/>
        <v>625.39565441895047</v>
      </c>
      <c r="DT42" s="60">
        <f ca="1">AVERAGE(OFFSET($DS$3,0,0,'Données projet'!$E$14+1,1))-AVERAGE(OFFSET($H$3,0,0,'Données projet'!$E$14+1,1))</f>
        <v>475.47920969424894</v>
      </c>
      <c r="DU42" s="60">
        <f t="shared" si="44"/>
        <v>271.73544012419364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8.4</v>
      </c>
      <c r="EJ42" s="13">
        <f>IF('Données projet'!$A$192&gt;35,EJ41+EI42-ER41,IF(A42&lt;'Données projet'!$A$192,$EG$205^A42,IF(A42='Données projet'!$A$192,'Données projet'!$B$192,EJ41+EI42-ER41)))</f>
        <v>149.60000000000002</v>
      </c>
      <c r="EK42" s="18">
        <f>EJ42*VLOOKUP('Données projet'!$B$15,Paramètres!$A$1:$I$89,3,0)*VLOOKUP('Données projet'!$B$15,Paramètres!$A$1:$I$89,5,0)</f>
        <v>135.35808</v>
      </c>
      <c r="EL42" s="14">
        <f t="shared" si="45"/>
        <v>35.231528980112834</v>
      </c>
      <c r="EM42" s="22">
        <f t="shared" si="19"/>
        <v>297.11023564036316</v>
      </c>
      <c r="EN42" s="60">
        <f t="shared" si="20"/>
        <v>590.44356897369653</v>
      </c>
      <c r="EO42" s="60">
        <f ca="1">AVERAGE(OFFSET($EN$3,0,0,'Données projet'!$E$15+1,1))-AVERAGE(OFFSET($H$3,0,0,'Données projet'!$E$15+1,1))</f>
        <v>428.8489304403459</v>
      </c>
      <c r="EP42" s="60">
        <f t="shared" si="46"/>
        <v>247.01165577562966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8.4</v>
      </c>
      <c r="FE42" s="13">
        <f>IF('Données projet'!$A$218&gt;35,FE41+FD42-FM41,IF(A42&lt;'Données projet'!$A$218,$FB$205^A42,IF(A42='Données projet'!$A$218,'Données projet'!$B$218,FE41+FD42-FM41)))</f>
        <v>149.60000000000002</v>
      </c>
      <c r="FF42" s="18">
        <f>FE42*VLOOKUP('Données projet'!$B$16,Paramètres!$A$1:$I$89,3,0)*VLOOKUP('Données projet'!$B$16,Paramètres!$A$1:$I$89,5,0)</f>
        <v>144.69312000000002</v>
      </c>
      <c r="FG42" s="14">
        <f t="shared" si="47"/>
        <v>37.370061524802772</v>
      </c>
      <c r="FH42" s="22">
        <f t="shared" si="22"/>
        <v>317.09337448903148</v>
      </c>
      <c r="FI42" s="60">
        <f t="shared" si="23"/>
        <v>610.42670782236473</v>
      </c>
      <c r="FJ42" s="60">
        <f ca="1">AVERAGE(OFFSET($FI$3,0,0,'Données projet'!$E$16+1,1))-AVERAGE(OFFSET($H$3,0,0,'Données projet'!$E$16+1,1))</f>
        <v>455.50822833641354</v>
      </c>
      <c r="FK42" s="60">
        <f t="shared" si="48"/>
        <v>261.14722581688039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 t="e">
        <f>N43*VLOOKUP('Données projet'!$B$9,Paramètres!$A$1:$I$89,3,0)*VLOOKUP('Données projet'!$B$9,Paramètres!$A$1:$I$89,5,0)</f>
        <v>#N/A</v>
      </c>
      <c r="P43" s="14" t="e">
        <f t="shared" si="33"/>
        <v>#N/A</v>
      </c>
      <c r="Q43" s="22" t="e">
        <f t="shared" si="53"/>
        <v>#N/A</v>
      </c>
      <c r="R43" s="60" t="e">
        <f t="shared" si="0"/>
        <v>#N/A</v>
      </c>
      <c r="S43" s="60" t="e">
        <f ca="1">AVERAGE(OFFSET($R$3,0,0,'Données projet'!$E$9+1,1))-AVERAGE(OFFSET($H$3,0,0,'Données projet'!$E$9+1,1))</f>
        <v>#N/A</v>
      </c>
      <c r="T43" s="60" t="e">
        <f t="shared" si="34"/>
        <v>#N/A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 t="e">
        <f>EXP(-LN(2)/35)*Z42+(1-EXP(-LN(2)/35))/(LN(2)/35)*V43*W43*VLOOKUP('Données projet'!$B$9,Paramètres!$A$1:$I$89,3,0)*0.475*44/12</f>
        <v>#N/A</v>
      </c>
      <c r="AA43" s="23" t="e">
        <f>EXP(-LN(2)/25)*AA42+(1-EXP(-LN(2)/25))/(LN(2)/25)*Calculateur!V43*Calculateur!X43*VLOOKUP('Données projet'!$B$9,Paramètres!$A$1:$I$89,3,0)*0.475*44/12</f>
        <v>#N/A</v>
      </c>
      <c r="AB43" s="23" t="e">
        <f>EXP(-LN(2)/2)*AB42+(1-EXP(-LN(2)/2))/(LN(2)/2)*V43*Y43*VLOOKUP('Données projet'!$B$9,Paramètres!$A$1:$I$89,3,0)*0.475*44/12</f>
        <v>#N/A</v>
      </c>
      <c r="AC43" s="24" t="e">
        <f t="shared" si="3"/>
        <v>#N/A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192</v>
      </c>
      <c r="AG43" s="13">
        <f>VLOOKUP(A43,'Données projet'!$A$61:$I$81,9,0)</f>
        <v>4</v>
      </c>
      <c r="AH43" s="13">
        <f t="array" ref="AH43">INDEX(AG:AG,MIN(IF(ISNUMBER(AG43:AG239),ROW(AG43:AG239),"")))</f>
        <v>4</v>
      </c>
      <c r="AI43" s="14">
        <f>IF('Données projet'!$A$62&gt;35,AI42+AH43-AQ42,IF(A43&lt;'Données projet'!$A$62,$AF$205^A43,IF(A43='Données projet'!$A$62,'Données projet'!$B$62,AI42+AH43-AQ42)))</f>
        <v>191.99999999999997</v>
      </c>
      <c r="AJ43" s="14">
        <f>AI43*VLOOKUP('Données projet'!$B$10,Paramètres!$A$1:$I$89,3,0)*VLOOKUP('Données projet'!$B$10,Paramètres!$A$1:$I$89,5,0)</f>
        <v>167.7312</v>
      </c>
      <c r="AK43" s="14">
        <f t="shared" si="35"/>
        <v>42.581491199832655</v>
      </c>
      <c r="AL43" s="22">
        <f t="shared" si="4"/>
        <v>366.29460383970854</v>
      </c>
      <c r="AM43" s="60">
        <f t="shared" si="5"/>
        <v>659.6279371730418</v>
      </c>
      <c r="AN43" s="60">
        <f ca="1">AVERAGE(OFFSET($AM$3,0,0,'Données projet'!$E$10+1,1))-AVERAGE(OFFSET($H$3,0,0,'Données projet'!$E$10+1,1))</f>
        <v>325.06345339097095</v>
      </c>
      <c r="AO43" s="60">
        <f t="shared" si="36"/>
        <v>318.90379036810754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0" t="e">
        <f t="shared" si="8"/>
        <v>#N/A</v>
      </c>
      <c r="BI43" s="60" t="e">
        <f ca="1">AVERAGE(OFFSET($BH$3,0,0,'Données projet'!$E$11+1,1))-AVERAGE(OFFSET($H$3,0,0,'Données projet'!$E$11+1,1))</f>
        <v>#N/A</v>
      </c>
      <c r="BJ43" s="60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0" t="e">
        <f t="shared" si="11"/>
        <v>#N/A</v>
      </c>
      <c r="CD43" s="60" t="e">
        <f ca="1">AVERAGE(OFFSET($CC$3,0,0,'Données projet'!$E$12+1,1))-AVERAGE(OFFSET($H$3,0,0,'Données projet'!$E$12+1,1))</f>
        <v>#N/A</v>
      </c>
      <c r="CE43" s="60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138.02880000000005</v>
      </c>
      <c r="CV43" s="14">
        <f t="shared" si="41"/>
        <v>35.845059256813073</v>
      </c>
      <c r="CW43" s="22">
        <f t="shared" si="13"/>
        <v>302.83030487228285</v>
      </c>
      <c r="CX43" s="60">
        <f t="shared" si="14"/>
        <v>596.16363820561617</v>
      </c>
      <c r="CY43" s="60">
        <f ca="1">AVERAGE(OFFSET($CX$3,0,0,'Données projet'!$E$13+1,1))-AVERAGE(OFFSET($H$3,0,0,'Données projet'!$E$13+1,1))</f>
        <v>415.50509041799154</v>
      </c>
      <c r="CZ43" s="60">
        <f t="shared" si="42"/>
        <v>239.93573789765657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158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158.00000000000003</v>
      </c>
      <c r="DP43" s="18">
        <f>DO43*VLOOKUP('Données projet'!$B$14,Paramètres!$A$1:$I$89,3,0)*VLOOKUP('Données projet'!$B$14,Paramètres!$A$1:$I$89,5,0)</f>
        <v>160.21200000000005</v>
      </c>
      <c r="DQ43" s="14">
        <f t="shared" si="43"/>
        <v>40.890328912852695</v>
      </c>
      <c r="DR43" s="22">
        <f t="shared" si="16"/>
        <v>350.25322285655176</v>
      </c>
      <c r="DS43" s="60">
        <f t="shared" si="17"/>
        <v>643.58655618988507</v>
      </c>
      <c r="DT43" s="60">
        <f ca="1">AVERAGE(OFFSET($DS$3,0,0,'Données projet'!$E$14+1,1))-AVERAGE(OFFSET($H$3,0,0,'Données projet'!$E$14+1,1))</f>
        <v>475.47920969424894</v>
      </c>
      <c r="DU43" s="60">
        <f t="shared" si="44"/>
        <v>271.73544012419364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42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158</v>
      </c>
      <c r="EH43" s="13">
        <f>VLOOKUP(A43,'Données projet'!$A$191:$I$211,9,0)</f>
        <v>8.4</v>
      </c>
      <c r="EI43" s="13">
        <f t="array" ref="EI43">INDEX(EH:EH,MIN(IF(ISNUMBER(EH43:EH239),ROW(EH43:EH239),"")))</f>
        <v>8.4</v>
      </c>
      <c r="EJ43" s="13">
        <f>IF('Données projet'!$A$192&gt;35,EJ42+EI43-ER42,IF(A43&lt;'Données projet'!$A$192,$EG$205^A43,IF(A43='Données projet'!$A$192,'Données projet'!$B$192,EJ42+EI43-ER42)))</f>
        <v>158.00000000000003</v>
      </c>
      <c r="EK43" s="18">
        <f>EJ43*VLOOKUP('Données projet'!$B$15,Paramètres!$A$1:$I$89,3,0)*VLOOKUP('Données projet'!$B$15,Paramètres!$A$1:$I$89,5,0)</f>
        <v>142.95840000000004</v>
      </c>
      <c r="EL43" s="14">
        <f t="shared" si="45"/>
        <v>36.973906370811264</v>
      </c>
      <c r="EM43" s="22">
        <f t="shared" si="19"/>
        <v>313.38210026249641</v>
      </c>
      <c r="EN43" s="60">
        <f t="shared" si="20"/>
        <v>606.71543359582972</v>
      </c>
      <c r="EO43" s="60">
        <f ca="1">AVERAGE(OFFSET($EN$3,0,0,'Données projet'!$E$15+1,1))-AVERAGE(OFFSET($H$3,0,0,'Données projet'!$E$15+1,1))</f>
        <v>428.8489304403459</v>
      </c>
      <c r="EP43" s="60">
        <f t="shared" si="46"/>
        <v>247.01165577562966</v>
      </c>
      <c r="EQ43" s="16">
        <f>IF(ISNA(VLOOKUP(A43,'Données projet'!$A$191:$I$211,3,0)),0,VLOOKUP(A43,'Données projet'!$A$191:$I$211,3,0))</f>
        <v>2</v>
      </c>
      <c r="ER43" s="16">
        <f>IF(ISNA(VLOOKUP(A43,'Données projet'!$A$191:$I$211,4,0)),0,VLOOKUP(A43,'Données projet'!$A$191:$I$211,4,0))</f>
        <v>42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158</v>
      </c>
      <c r="FC43" s="13">
        <f>VLOOKUP(A43,'Données projet'!$A$217:$I$237,9,0)</f>
        <v>8.4</v>
      </c>
      <c r="FD43" s="13">
        <f t="array" ref="FD43">INDEX(FC:FC,MIN(IF(ISNUMBER(FC43:FC239),ROW(FC43:FC239),"")))</f>
        <v>8.4</v>
      </c>
      <c r="FE43" s="13">
        <f>IF('Données projet'!$A$218&gt;35,FE42+FD43-FM42,IF(A43&lt;'Données projet'!$A$218,$FB$205^A43,IF(A43='Données projet'!$A$218,'Données projet'!$B$218,FE42+FD43-FM42)))</f>
        <v>158.00000000000003</v>
      </c>
      <c r="FF43" s="18">
        <f>FE43*VLOOKUP('Données projet'!$B$16,Paramètres!$A$1:$I$89,3,0)*VLOOKUP('Données projet'!$B$16,Paramètres!$A$1:$I$89,5,0)</f>
        <v>152.81760000000003</v>
      </c>
      <c r="FG43" s="14">
        <f t="shared" si="47"/>
        <v>39.218200171484227</v>
      </c>
      <c r="FH43" s="22">
        <f t="shared" si="22"/>
        <v>334.46235196533502</v>
      </c>
      <c r="FI43" s="60">
        <f t="shared" si="23"/>
        <v>627.79568529866833</v>
      </c>
      <c r="FJ43" s="60">
        <f ca="1">AVERAGE(OFFSET($FI$3,0,0,'Données projet'!$E$16+1,1))-AVERAGE(OFFSET($H$3,0,0,'Données projet'!$E$16+1,1))</f>
        <v>455.50822833641354</v>
      </c>
      <c r="FK43" s="60">
        <f t="shared" si="48"/>
        <v>261.14722581688039</v>
      </c>
      <c r="FL43" s="16">
        <f>IF(ISNA(VLOOKUP(A43,'Données projet'!$A$217:$I$237,3,0)),0,VLOOKUP(A43,'Données projet'!$A$217:$I$237,3,0))</f>
        <v>2</v>
      </c>
      <c r="FM43" s="16">
        <f>IF(ISNA(VLOOKUP(A43,'Données projet'!$A$217:$I$237,4,0)),0,VLOOKUP(A43,'Données projet'!$A$217:$I$237,4,0))</f>
        <v>42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 t="e">
        <f>N44*VLOOKUP('Données projet'!$B$9,Paramètres!$A$1:$I$89,3,0)*VLOOKUP('Données projet'!$B$9,Paramètres!$A$1:$I$89,5,0)</f>
        <v>#N/A</v>
      </c>
      <c r="P44" s="14" t="e">
        <f t="shared" si="33"/>
        <v>#N/A</v>
      </c>
      <c r="Q44" s="22" t="e">
        <f t="shared" si="53"/>
        <v>#N/A</v>
      </c>
      <c r="R44" s="60" t="e">
        <f t="shared" si="0"/>
        <v>#N/A</v>
      </c>
      <c r="S44" s="60" t="e">
        <f ca="1">AVERAGE(OFFSET($R$3,0,0,'Données projet'!$E$9+1,1))-AVERAGE(OFFSET($H$3,0,0,'Données projet'!$E$9+1,1))</f>
        <v>#N/A</v>
      </c>
      <c r="T44" s="60" t="e">
        <f t="shared" si="34"/>
        <v>#N/A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 t="e">
        <f>EXP(-LN(2)/35)*Z43+(1-EXP(-LN(2)/35))/(LN(2)/35)*V44*W44*VLOOKUP('Données projet'!$B$9,Paramètres!$A$1:$I$89,3,0)*0.475*44/12</f>
        <v>#N/A</v>
      </c>
      <c r="AA44" s="23" t="e">
        <f>EXP(-LN(2)/25)*AA43+(1-EXP(-LN(2)/25))/(LN(2)/25)*Calculateur!V44*Calculateur!X44*VLOOKUP('Données projet'!$B$9,Paramètres!$A$1:$I$89,3,0)*0.475*44/12</f>
        <v>#N/A</v>
      </c>
      <c r="AB44" s="23" t="e">
        <f>EXP(-LN(2)/2)*AB43+(1-EXP(-LN(2)/2))/(LN(2)/2)*V44*Y44*VLOOKUP('Données projet'!$B$9,Paramètres!$A$1:$I$89,3,0)*0.475*44/12</f>
        <v>#N/A</v>
      </c>
      <c r="AC44" s="24" t="e">
        <f t="shared" si="3"/>
        <v>#N/A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13.8</v>
      </c>
      <c r="AI44" s="14">
        <f>IF('Données projet'!$A$62&gt;35,AI43+AH44-AQ43,IF(A44&lt;'Données projet'!$A$62,$AF$205^A44,IF(A44='Données projet'!$A$62,'Données projet'!$B$62,AI43+AH44-AQ43)))</f>
        <v>149.79999999999998</v>
      </c>
      <c r="AJ44" s="14">
        <f>AI44*VLOOKUP('Données projet'!$B$10,Paramètres!$A$1:$I$89,3,0)*VLOOKUP('Données projet'!$B$10,Paramètres!$A$1:$I$89,5,0)</f>
        <v>130.86528000000001</v>
      </c>
      <c r="AK44" s="14">
        <f t="shared" si="35"/>
        <v>34.19622287336729</v>
      </c>
      <c r="AL44" s="22">
        <f t="shared" si="4"/>
        <v>287.48211750444801</v>
      </c>
      <c r="AM44" s="60">
        <f t="shared" si="5"/>
        <v>580.81545083778133</v>
      </c>
      <c r="AN44" s="60">
        <f ca="1">AVERAGE(OFFSET($AM$3,0,0,'Données projet'!$E$10+1,1))-AVERAGE(OFFSET($H$3,0,0,'Données projet'!$E$10+1,1))</f>
        <v>325.06345339097095</v>
      </c>
      <c r="AO44" s="60">
        <f t="shared" si="36"/>
        <v>318.90379036810754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0" t="e">
        <f t="shared" si="8"/>
        <v>#N/A</v>
      </c>
      <c r="BI44" s="60" t="e">
        <f ca="1">AVERAGE(OFFSET($BH$3,0,0,'Données projet'!$E$11+1,1))-AVERAGE(OFFSET($H$3,0,0,'Données projet'!$E$11+1,1))</f>
        <v>#N/A</v>
      </c>
      <c r="BJ44" s="60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0" t="e">
        <f t="shared" si="11"/>
        <v>#N/A</v>
      </c>
      <c r="CD44" s="60" t="e">
        <f ca="1">AVERAGE(OFFSET($CC$3,0,0,'Données projet'!$E$12+1,1))-AVERAGE(OFFSET($H$3,0,0,'Données projet'!$E$12+1,1))</f>
        <v>#N/A</v>
      </c>
      <c r="CE44" s="60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108.67584000000005</v>
      </c>
      <c r="CV44" s="14">
        <f t="shared" si="41"/>
        <v>29.018782587859434</v>
      </c>
      <c r="CW44" s="22">
        <f t="shared" si="13"/>
        <v>239.81813434052196</v>
      </c>
      <c r="CX44" s="60">
        <f t="shared" si="14"/>
        <v>533.15146767385522</v>
      </c>
      <c r="CY44" s="60">
        <f ca="1">AVERAGE(OFFSET($CX$3,0,0,'Données projet'!$E$13+1,1))-AVERAGE(OFFSET($H$3,0,0,'Données projet'!$E$13+1,1))</f>
        <v>415.50509041799154</v>
      </c>
      <c r="CZ44" s="60">
        <f t="shared" si="42"/>
        <v>239.93573789765657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124.40000000000003</v>
      </c>
      <c r="DP44" s="18">
        <f>DO44*VLOOKUP('Données projet'!$B$14,Paramètres!$A$1:$I$89,3,0)*VLOOKUP('Données projet'!$B$14,Paramètres!$A$1:$I$89,5,0)</f>
        <v>126.14160000000005</v>
      </c>
      <c r="DQ44" s="14">
        <f t="shared" si="43"/>
        <v>33.10323903126482</v>
      </c>
      <c r="DR44" s="22">
        <f t="shared" si="16"/>
        <v>277.35142797945298</v>
      </c>
      <c r="DS44" s="60">
        <f t="shared" si="17"/>
        <v>570.68476131278635</v>
      </c>
      <c r="DT44" s="60">
        <f ca="1">AVERAGE(OFFSET($DS$3,0,0,'Données projet'!$E$14+1,1))-AVERAGE(OFFSET($H$3,0,0,'Données projet'!$E$14+1,1))</f>
        <v>475.47920969424894</v>
      </c>
      <c r="DU44" s="60">
        <f t="shared" si="44"/>
        <v>271.73544012419364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8.4</v>
      </c>
      <c r="EJ44" s="13">
        <f>IF('Données projet'!$A$192&gt;35,EJ43+EI44-ER43,IF(A44&lt;'Données projet'!$A$192,$EG$205^A44,IF(A44='Données projet'!$A$192,'Données projet'!$B$192,EJ43+EI44-ER43)))</f>
        <v>124.40000000000003</v>
      </c>
      <c r="EK44" s="18">
        <f>EJ44*VLOOKUP('Données projet'!$B$15,Paramètres!$A$1:$I$89,3,0)*VLOOKUP('Données projet'!$B$15,Paramètres!$A$1:$I$89,5,0)</f>
        <v>112.55712000000003</v>
      </c>
      <c r="EL44" s="14">
        <f t="shared" si="45"/>
        <v>29.932653834140599</v>
      </c>
      <c r="EM44" s="22">
        <f t="shared" si="19"/>
        <v>248.16968942779496</v>
      </c>
      <c r="EN44" s="60">
        <f t="shared" si="20"/>
        <v>541.50302276112825</v>
      </c>
      <c r="EO44" s="60">
        <f ca="1">AVERAGE(OFFSET($EN$3,0,0,'Données projet'!$E$15+1,1))-AVERAGE(OFFSET($H$3,0,0,'Données projet'!$E$15+1,1))</f>
        <v>428.8489304403459</v>
      </c>
      <c r="EP44" s="60">
        <f t="shared" si="46"/>
        <v>247.01165577562966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8.4</v>
      </c>
      <c r="FE44" s="13">
        <f>IF('Données projet'!$A$218&gt;35,FE43+FD44-FM43,IF(A44&lt;'Données projet'!$A$218,$FB$205^A44,IF(A44='Données projet'!$A$218,'Données projet'!$B$218,FE43+FD44-FM43)))</f>
        <v>124.40000000000003</v>
      </c>
      <c r="FF44" s="18">
        <f>FE44*VLOOKUP('Données projet'!$B$16,Paramètres!$A$1:$I$89,3,0)*VLOOKUP('Données projet'!$B$16,Paramètres!$A$1:$I$89,5,0)</f>
        <v>120.31968000000002</v>
      </c>
      <c r="FG44" s="14">
        <f t="shared" si="47"/>
        <v>31.74954785566829</v>
      </c>
      <c r="FH44" s="22">
        <f t="shared" si="22"/>
        <v>264.85390518195561</v>
      </c>
      <c r="FI44" s="60">
        <f t="shared" si="23"/>
        <v>558.18723851528898</v>
      </c>
      <c r="FJ44" s="60">
        <f ca="1">AVERAGE(OFFSET($FI$3,0,0,'Données projet'!$E$16+1,1))-AVERAGE(OFFSET($H$3,0,0,'Données projet'!$E$16+1,1))</f>
        <v>455.50822833641354</v>
      </c>
      <c r="FK44" s="60">
        <f t="shared" si="48"/>
        <v>261.14722581688039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 t="e">
        <f>N45*VLOOKUP('Données projet'!$B$9,Paramètres!$A$1:$I$89,3,0)*VLOOKUP('Données projet'!$B$9,Paramètres!$A$1:$I$89,5,0)</f>
        <v>#N/A</v>
      </c>
      <c r="P45" s="14" t="e">
        <f t="shared" si="33"/>
        <v>#N/A</v>
      </c>
      <c r="Q45" s="22" t="e">
        <f t="shared" si="53"/>
        <v>#N/A</v>
      </c>
      <c r="R45" s="60" t="e">
        <f t="shared" si="0"/>
        <v>#N/A</v>
      </c>
      <c r="S45" s="60" t="e">
        <f ca="1">AVERAGE(OFFSET($R$3,0,0,'Données projet'!$E$9+1,1))-AVERAGE(OFFSET($H$3,0,0,'Données projet'!$E$9+1,1))</f>
        <v>#N/A</v>
      </c>
      <c r="T45" s="60" t="e">
        <f t="shared" si="34"/>
        <v>#N/A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 t="e">
        <f>EXP(-LN(2)/35)*Z44+(1-EXP(-LN(2)/35))/(LN(2)/35)*V45*W45*VLOOKUP('Données projet'!$B$9,Paramètres!$A$1:$I$89,3,0)*0.475*44/12</f>
        <v>#N/A</v>
      </c>
      <c r="AA45" s="23" t="e">
        <f>EXP(-LN(2)/25)*AA44+(1-EXP(-LN(2)/25))/(LN(2)/25)*Calculateur!V45*Calculateur!X45*VLOOKUP('Données projet'!$B$9,Paramètres!$A$1:$I$89,3,0)*0.475*44/12</f>
        <v>#N/A</v>
      </c>
      <c r="AB45" s="23" t="e">
        <f>EXP(-LN(2)/2)*AB44+(1-EXP(-LN(2)/2))/(LN(2)/2)*V45*Y45*VLOOKUP('Données projet'!$B$9,Paramètres!$A$1:$I$89,3,0)*0.475*44/12</f>
        <v>#N/A</v>
      </c>
      <c r="AC45" s="24" t="e">
        <f t="shared" si="3"/>
        <v>#N/A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13.8</v>
      </c>
      <c r="AI45" s="14">
        <f>IF('Données projet'!$A$62&gt;35,AI44+AH45-AQ44,IF(A45&lt;'Données projet'!$A$62,$AF$205^A45,IF(A45='Données projet'!$A$62,'Données projet'!$B$62,AI44+AH45-AQ44)))</f>
        <v>163.6</v>
      </c>
      <c r="AJ45" s="14">
        <f>AI45*VLOOKUP('Données projet'!$B$10,Paramètres!$A$1:$I$89,3,0)*VLOOKUP('Données projet'!$B$10,Paramètres!$A$1:$I$89,5,0)</f>
        <v>142.92096000000001</v>
      </c>
      <c r="AK45" s="14">
        <f t="shared" si="35"/>
        <v>36.965350113713654</v>
      </c>
      <c r="AL45" s="22">
        <f t="shared" si="4"/>
        <v>313.30199011471797</v>
      </c>
      <c r="AM45" s="60">
        <f t="shared" si="5"/>
        <v>606.63532344805128</v>
      </c>
      <c r="AN45" s="60">
        <f ca="1">AVERAGE(OFFSET($AM$3,0,0,'Données projet'!$E$10+1,1))-AVERAGE(OFFSET($H$3,0,0,'Données projet'!$E$10+1,1))</f>
        <v>325.06345339097095</v>
      </c>
      <c r="AO45" s="60">
        <f t="shared" si="36"/>
        <v>318.90379036810754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0" t="e">
        <f t="shared" si="8"/>
        <v>#N/A</v>
      </c>
      <c r="BI45" s="60" t="e">
        <f ca="1">AVERAGE(OFFSET($BH$3,0,0,'Données projet'!$E$11+1,1))-AVERAGE(OFFSET($H$3,0,0,'Données projet'!$E$11+1,1))</f>
        <v>#N/A</v>
      </c>
      <c r="BJ45" s="60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0" t="e">
        <f t="shared" si="11"/>
        <v>#N/A</v>
      </c>
      <c r="CD45" s="60" t="e">
        <f ca="1">AVERAGE(OFFSET($CC$3,0,0,'Données projet'!$E$12+1,1))-AVERAGE(OFFSET($H$3,0,0,'Données projet'!$E$12+1,1))</f>
        <v>#N/A</v>
      </c>
      <c r="CE45" s="60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116.01408000000004</v>
      </c>
      <c r="CV45" s="14">
        <f t="shared" si="41"/>
        <v>30.743529123865123</v>
      </c>
      <c r="CW45" s="22">
        <f t="shared" si="13"/>
        <v>255.60283589073182</v>
      </c>
      <c r="CX45" s="60">
        <f t="shared" si="14"/>
        <v>548.93616922406511</v>
      </c>
      <c r="CY45" s="60">
        <f ca="1">AVERAGE(OFFSET($CX$3,0,0,'Données projet'!$E$13+1,1))-AVERAGE(OFFSET($H$3,0,0,'Données projet'!$E$13+1,1))</f>
        <v>415.50509041799154</v>
      </c>
      <c r="CZ45" s="60">
        <f t="shared" si="42"/>
        <v>239.93573789765657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132.80000000000004</v>
      </c>
      <c r="DP45" s="18">
        <f>DO45*VLOOKUP('Données projet'!$B$14,Paramètres!$A$1:$I$89,3,0)*VLOOKUP('Données projet'!$B$14,Paramètres!$A$1:$I$89,5,0)</f>
        <v>134.65920000000006</v>
      </c>
      <c r="DQ45" s="14">
        <f t="shared" si="43"/>
        <v>35.07074737441733</v>
      </c>
      <c r="DR45" s="22">
        <f t="shared" si="16"/>
        <v>295.61299167711024</v>
      </c>
      <c r="DS45" s="60">
        <f t="shared" si="17"/>
        <v>588.94632501044362</v>
      </c>
      <c r="DT45" s="60">
        <f ca="1">AVERAGE(OFFSET($DS$3,0,0,'Données projet'!$E$14+1,1))-AVERAGE(OFFSET($H$3,0,0,'Données projet'!$E$14+1,1))</f>
        <v>475.47920969424894</v>
      </c>
      <c r="DU45" s="60">
        <f t="shared" si="44"/>
        <v>271.73544012419364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8.4</v>
      </c>
      <c r="EJ45" s="13">
        <f>IF('Données projet'!$A$192&gt;35,EJ44+EI45-ER44,IF(A45&lt;'Données projet'!$A$192,$EG$205^A45,IF(A45='Données projet'!$A$192,'Données projet'!$B$192,EJ44+EI45-ER44)))</f>
        <v>132.80000000000004</v>
      </c>
      <c r="EK45" s="18">
        <f>EJ45*VLOOKUP('Données projet'!$B$15,Paramètres!$A$1:$I$89,3,0)*VLOOKUP('Données projet'!$B$15,Paramètres!$A$1:$I$89,5,0)</f>
        <v>120.15744000000002</v>
      </c>
      <c r="EL45" s="14">
        <f t="shared" si="45"/>
        <v>31.711716786129845</v>
      </c>
      <c r="EM45" s="22">
        <f t="shared" si="19"/>
        <v>264.50544806917623</v>
      </c>
      <c r="EN45" s="60">
        <f t="shared" si="20"/>
        <v>557.83878140250954</v>
      </c>
      <c r="EO45" s="60">
        <f ca="1">AVERAGE(OFFSET($EN$3,0,0,'Données projet'!$E$15+1,1))-AVERAGE(OFFSET($H$3,0,0,'Données projet'!$E$15+1,1))</f>
        <v>428.8489304403459</v>
      </c>
      <c r="EP45" s="60">
        <f t="shared" si="46"/>
        <v>247.01165577562966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8.4</v>
      </c>
      <c r="FE45" s="13">
        <f>IF('Données projet'!$A$218&gt;35,FE44+FD45-FM44,IF(A45&lt;'Données projet'!$A$218,$FB$205^A45,IF(A45='Données projet'!$A$218,'Données projet'!$B$218,FE44+FD45-FM44)))</f>
        <v>132.80000000000004</v>
      </c>
      <c r="FF45" s="18">
        <f>FE45*VLOOKUP('Données projet'!$B$16,Paramètres!$A$1:$I$89,3,0)*VLOOKUP('Données projet'!$B$16,Paramètres!$A$1:$I$89,5,0)</f>
        <v>128.44416000000004</v>
      </c>
      <c r="FG45" s="14">
        <f t="shared" si="47"/>
        <v>33.636598855068954</v>
      </c>
      <c r="FH45" s="22">
        <f t="shared" si="22"/>
        <v>282.29065500591184</v>
      </c>
      <c r="FI45" s="60">
        <f t="shared" si="23"/>
        <v>575.62398833924522</v>
      </c>
      <c r="FJ45" s="60">
        <f ca="1">AVERAGE(OFFSET($FI$3,0,0,'Données projet'!$E$16+1,1))-AVERAGE(OFFSET($H$3,0,0,'Données projet'!$E$16+1,1))</f>
        <v>455.50822833641354</v>
      </c>
      <c r="FK45" s="60">
        <f t="shared" si="48"/>
        <v>261.14722581688039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 t="e">
        <f>N46*VLOOKUP('Données projet'!$B$9,Paramètres!$A$1:$I$89,3,0)*VLOOKUP('Données projet'!$B$9,Paramètres!$A$1:$I$89,5,0)</f>
        <v>#N/A</v>
      </c>
      <c r="P46" s="14" t="e">
        <f t="shared" si="33"/>
        <v>#N/A</v>
      </c>
      <c r="Q46" s="22" t="e">
        <f t="shared" si="53"/>
        <v>#N/A</v>
      </c>
      <c r="R46" s="60" t="e">
        <f t="shared" si="0"/>
        <v>#N/A</v>
      </c>
      <c r="S46" s="60" t="e">
        <f ca="1">AVERAGE(OFFSET($R$3,0,0,'Données projet'!$E$9+1,1))-AVERAGE(OFFSET($H$3,0,0,'Données projet'!$E$9+1,1))</f>
        <v>#N/A</v>
      </c>
      <c r="T46" s="60" t="e">
        <f t="shared" si="34"/>
        <v>#N/A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 t="e">
        <f>EXP(-LN(2)/35)*Z45+(1-EXP(-LN(2)/35))/(LN(2)/35)*V46*W46*VLOOKUP('Données projet'!$B$9,Paramètres!$A$1:$I$89,3,0)*0.475*44/12</f>
        <v>#N/A</v>
      </c>
      <c r="AA46" s="23" t="e">
        <f>EXP(-LN(2)/25)*AA45+(1-EXP(-LN(2)/25))/(LN(2)/25)*Calculateur!V46*Calculateur!X46*VLOOKUP('Données projet'!$B$9,Paramètres!$A$1:$I$89,3,0)*0.475*44/12</f>
        <v>#N/A</v>
      </c>
      <c r="AB46" s="23" t="e">
        <f>EXP(-LN(2)/2)*AB45+(1-EXP(-LN(2)/2))/(LN(2)/2)*V46*Y46*VLOOKUP('Données projet'!$B$9,Paramètres!$A$1:$I$89,3,0)*0.475*44/12</f>
        <v>#N/A</v>
      </c>
      <c r="AC46" s="24" t="e">
        <f t="shared" si="3"/>
        <v>#N/A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13.8</v>
      </c>
      <c r="AI46" s="14">
        <f>IF('Données projet'!$A$62&gt;35,AI45+AH46-AQ45,IF(A46&lt;'Données projet'!$A$62,$AF$205^A46,IF(A46='Données projet'!$A$62,'Données projet'!$B$62,AI45+AH46-AQ45)))</f>
        <v>177.4</v>
      </c>
      <c r="AJ46" s="14">
        <f>AI46*VLOOKUP('Données projet'!$B$10,Paramètres!$A$1:$I$89,3,0)*VLOOKUP('Données projet'!$B$10,Paramètres!$A$1:$I$89,5,0)</f>
        <v>154.97664000000003</v>
      </c>
      <c r="AK46" s="14">
        <f t="shared" si="35"/>
        <v>39.707387607123913</v>
      </c>
      <c r="AL46" s="22">
        <f t="shared" si="4"/>
        <v>339.07468141574083</v>
      </c>
      <c r="AM46" s="60">
        <f t="shared" si="5"/>
        <v>632.40801474907414</v>
      </c>
      <c r="AN46" s="60">
        <f ca="1">AVERAGE(OFFSET($AM$3,0,0,'Données projet'!$E$10+1,1))-AVERAGE(OFFSET($H$3,0,0,'Données projet'!$E$10+1,1))</f>
        <v>325.06345339097095</v>
      </c>
      <c r="AO46" s="60">
        <f t="shared" si="36"/>
        <v>318.90379036810754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0" t="e">
        <f t="shared" si="8"/>
        <v>#N/A</v>
      </c>
      <c r="BI46" s="60" t="e">
        <f ca="1">AVERAGE(OFFSET($BH$3,0,0,'Données projet'!$E$11+1,1))-AVERAGE(OFFSET($H$3,0,0,'Données projet'!$E$11+1,1))</f>
        <v>#N/A</v>
      </c>
      <c r="BJ46" s="60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0" t="e">
        <f t="shared" si="11"/>
        <v>#N/A</v>
      </c>
      <c r="CD46" s="60" t="e">
        <f ca="1">AVERAGE(OFFSET($CC$3,0,0,'Données projet'!$E$12+1,1))-AVERAGE(OFFSET($H$3,0,0,'Données projet'!$E$12+1,1))</f>
        <v>#N/A</v>
      </c>
      <c r="CE46" s="60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123.35232000000005</v>
      </c>
      <c r="CV46" s="14">
        <f t="shared" si="41"/>
        <v>32.455614677489855</v>
      </c>
      <c r="CW46" s="22">
        <f t="shared" si="13"/>
        <v>271.36548622996156</v>
      </c>
      <c r="CX46" s="60">
        <f t="shared" si="14"/>
        <v>564.69881956329482</v>
      </c>
      <c r="CY46" s="60">
        <f ca="1">AVERAGE(OFFSET($CX$3,0,0,'Données projet'!$E$13+1,1))-AVERAGE(OFFSET($H$3,0,0,'Données projet'!$E$13+1,1))</f>
        <v>415.50509041799154</v>
      </c>
      <c r="CZ46" s="60">
        <f t="shared" si="42"/>
        <v>239.93573789765657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141.20000000000005</v>
      </c>
      <c r="DP46" s="18">
        <f>DO46*VLOOKUP('Données projet'!$B$14,Paramètres!$A$1:$I$89,3,0)*VLOOKUP('Données projet'!$B$14,Paramètres!$A$1:$I$89,5,0)</f>
        <v>143.17680000000004</v>
      </c>
      <c r="DQ46" s="14">
        <f t="shared" si="43"/>
        <v>37.023812674521515</v>
      </c>
      <c r="DR46" s="22">
        <f t="shared" si="16"/>
        <v>313.84940040812506</v>
      </c>
      <c r="DS46" s="60">
        <f t="shared" si="17"/>
        <v>607.18273374145838</v>
      </c>
      <c r="DT46" s="60">
        <f ca="1">AVERAGE(OFFSET($DS$3,0,0,'Données projet'!$E$14+1,1))-AVERAGE(OFFSET($H$3,0,0,'Données projet'!$E$14+1,1))</f>
        <v>475.47920969424894</v>
      </c>
      <c r="DU46" s="60">
        <f t="shared" si="44"/>
        <v>271.73544012419364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8.4</v>
      </c>
      <c r="EJ46" s="13">
        <f>IF('Données projet'!$A$192&gt;35,EJ45+EI46-ER45,IF(A46&lt;'Données projet'!$A$192,$EG$205^A46,IF(A46='Données projet'!$A$192,'Données projet'!$B$192,EJ45+EI46-ER45)))</f>
        <v>141.20000000000005</v>
      </c>
      <c r="EK46" s="18">
        <f>EJ46*VLOOKUP('Données projet'!$B$15,Paramètres!$A$1:$I$89,3,0)*VLOOKUP('Données projet'!$B$15,Paramètres!$A$1:$I$89,5,0)</f>
        <v>127.75776000000003</v>
      </c>
      <c r="EL46" s="14">
        <f t="shared" si="45"/>
        <v>33.477720030956604</v>
      </c>
      <c r="EM46" s="22">
        <f t="shared" si="19"/>
        <v>280.81846105391611</v>
      </c>
      <c r="EN46" s="60">
        <f t="shared" si="20"/>
        <v>574.15179438724942</v>
      </c>
      <c r="EO46" s="60">
        <f ca="1">AVERAGE(OFFSET($EN$3,0,0,'Données projet'!$E$15+1,1))-AVERAGE(OFFSET($H$3,0,0,'Données projet'!$E$15+1,1))</f>
        <v>428.8489304403459</v>
      </c>
      <c r="EP46" s="60">
        <f t="shared" si="46"/>
        <v>247.01165577562966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8.4</v>
      </c>
      <c r="FE46" s="13">
        <f>IF('Données projet'!$A$218&gt;35,FE45+FD46-FM45,IF(A46&lt;'Données projet'!$A$218,$FB$205^A46,IF(A46='Données projet'!$A$218,'Données projet'!$B$218,FE45+FD46-FM45)))</f>
        <v>141.20000000000005</v>
      </c>
      <c r="FF46" s="18">
        <f>FE46*VLOOKUP('Données projet'!$B$16,Paramètres!$A$1:$I$89,3,0)*VLOOKUP('Données projet'!$B$16,Paramètres!$A$1:$I$89,5,0)</f>
        <v>136.56864000000004</v>
      </c>
      <c r="FG46" s="14">
        <f t="shared" si="47"/>
        <v>35.509797430964703</v>
      </c>
      <c r="FH46" s="22">
        <f t="shared" si="22"/>
        <v>299.70327852559694</v>
      </c>
      <c r="FI46" s="60">
        <f t="shared" si="23"/>
        <v>593.0366118589302</v>
      </c>
      <c r="FJ46" s="60">
        <f ca="1">AVERAGE(OFFSET($FI$3,0,0,'Données projet'!$E$16+1,1))-AVERAGE(OFFSET($H$3,0,0,'Données projet'!$E$16+1,1))</f>
        <v>455.50822833641354</v>
      </c>
      <c r="FK46" s="60">
        <f t="shared" si="48"/>
        <v>261.14722581688039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 t="e">
        <f>N47*VLOOKUP('Données projet'!$B$9,Paramètres!$A$1:$I$89,3,0)*VLOOKUP('Données projet'!$B$9,Paramètres!$A$1:$I$89,5,0)</f>
        <v>#N/A</v>
      </c>
      <c r="P47" s="14" t="e">
        <f t="shared" si="33"/>
        <v>#N/A</v>
      </c>
      <c r="Q47" s="22" t="e">
        <f t="shared" si="53"/>
        <v>#N/A</v>
      </c>
      <c r="R47" s="60" t="e">
        <f t="shared" si="0"/>
        <v>#N/A</v>
      </c>
      <c r="S47" s="60" t="e">
        <f ca="1">AVERAGE(OFFSET($R$3,0,0,'Données projet'!$E$9+1,1))-AVERAGE(OFFSET($H$3,0,0,'Données projet'!$E$9+1,1))</f>
        <v>#N/A</v>
      </c>
      <c r="T47" s="60" t="e">
        <f t="shared" si="34"/>
        <v>#N/A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 t="e">
        <f>EXP(-LN(2)/35)*Z46+(1-EXP(-LN(2)/35))/(LN(2)/35)*V47*W47*VLOOKUP('Données projet'!$B$9,Paramètres!$A$1:$I$89,3,0)*0.475*44/12</f>
        <v>#N/A</v>
      </c>
      <c r="AA47" s="23" t="e">
        <f>EXP(-LN(2)/25)*AA46+(1-EXP(-LN(2)/25))/(LN(2)/25)*Calculateur!V47*Calculateur!X47*VLOOKUP('Données projet'!$B$9,Paramètres!$A$1:$I$89,3,0)*0.475*44/12</f>
        <v>#N/A</v>
      </c>
      <c r="AB47" s="23" t="e">
        <f>EXP(-LN(2)/2)*AB46+(1-EXP(-LN(2)/2))/(LN(2)/2)*V47*Y47*VLOOKUP('Données projet'!$B$9,Paramètres!$A$1:$I$89,3,0)*0.475*44/12</f>
        <v>#N/A</v>
      </c>
      <c r="AC47" s="24" t="e">
        <f t="shared" si="3"/>
        <v>#N/A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13.8</v>
      </c>
      <c r="AI47" s="14">
        <f>IF('Données projet'!$A$62&gt;35,AI46+AH47-AQ46,IF(A47&lt;'Données projet'!$A$62,$AF$205^A47,IF(A47='Données projet'!$A$62,'Données projet'!$B$62,AI46+AH47-AQ46)))</f>
        <v>191.20000000000002</v>
      </c>
      <c r="AJ47" s="14">
        <f>AI47*VLOOKUP('Données projet'!$B$10,Paramètres!$A$1:$I$89,3,0)*VLOOKUP('Données projet'!$B$10,Paramètres!$A$1:$I$89,5,0)</f>
        <v>167.03232000000003</v>
      </c>
      <c r="AK47" s="14">
        <f t="shared" si="35"/>
        <v>42.424682267054841</v>
      </c>
      <c r="AL47" s="22">
        <f t="shared" si="4"/>
        <v>364.80427894845388</v>
      </c>
      <c r="AM47" s="60">
        <f t="shared" si="5"/>
        <v>658.13761228178714</v>
      </c>
      <c r="AN47" s="60">
        <f ca="1">AVERAGE(OFFSET($AM$3,0,0,'Données projet'!$E$10+1,1))-AVERAGE(OFFSET($H$3,0,0,'Données projet'!$E$10+1,1))</f>
        <v>325.06345339097095</v>
      </c>
      <c r="AO47" s="60">
        <f t="shared" si="36"/>
        <v>318.90379036810754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0" t="e">
        <f t="shared" si="8"/>
        <v>#N/A</v>
      </c>
      <c r="BI47" s="60" t="e">
        <f ca="1">AVERAGE(OFFSET($BH$3,0,0,'Données projet'!$E$11+1,1))-AVERAGE(OFFSET($H$3,0,0,'Données projet'!$E$11+1,1))</f>
        <v>#N/A</v>
      </c>
      <c r="BJ47" s="60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0" t="e">
        <f t="shared" si="11"/>
        <v>#N/A</v>
      </c>
      <c r="CD47" s="60" t="e">
        <f ca="1">AVERAGE(OFFSET($CC$3,0,0,'Données projet'!$E$12+1,1))-AVERAGE(OFFSET($H$3,0,0,'Données projet'!$E$12+1,1))</f>
        <v>#N/A</v>
      </c>
      <c r="CE47" s="60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130.69056000000006</v>
      </c>
      <c r="CV47" s="14">
        <f t="shared" si="41"/>
        <v>34.155878238422758</v>
      </c>
      <c r="CW47" s="22">
        <f t="shared" si="13"/>
        <v>287.1075465985864</v>
      </c>
      <c r="CX47" s="60">
        <f t="shared" si="14"/>
        <v>580.44087993191965</v>
      </c>
      <c r="CY47" s="60">
        <f ca="1">AVERAGE(OFFSET($CX$3,0,0,'Données projet'!$E$13+1,1))-AVERAGE(OFFSET($H$3,0,0,'Données projet'!$E$13+1,1))</f>
        <v>415.50509041799154</v>
      </c>
      <c r="CZ47" s="60">
        <f t="shared" si="42"/>
        <v>239.93573789765657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149.60000000000005</v>
      </c>
      <c r="DP47" s="18">
        <f>DO47*VLOOKUP('Données projet'!$B$14,Paramètres!$A$1:$I$89,3,0)*VLOOKUP('Données projet'!$B$14,Paramètres!$A$1:$I$89,5,0)</f>
        <v>151.69440000000006</v>
      </c>
      <c r="DQ47" s="14">
        <f t="shared" si="43"/>
        <v>38.963392010880654</v>
      </c>
      <c r="DR47" s="22">
        <f t="shared" si="16"/>
        <v>332.06232108561721</v>
      </c>
      <c r="DS47" s="60">
        <f t="shared" si="17"/>
        <v>625.39565441895047</v>
      </c>
      <c r="DT47" s="60">
        <f ca="1">AVERAGE(OFFSET($DS$3,0,0,'Données projet'!$E$14+1,1))-AVERAGE(OFFSET($H$3,0,0,'Données projet'!$E$14+1,1))</f>
        <v>475.47920969424894</v>
      </c>
      <c r="DU47" s="60">
        <f t="shared" si="44"/>
        <v>271.73544012419364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8.4</v>
      </c>
      <c r="EJ47" s="13">
        <f>IF('Données projet'!$A$192&gt;35,EJ46+EI47-ER46,IF(A47&lt;'Données projet'!$A$192,$EG$205^A47,IF(A47='Données projet'!$A$192,'Données projet'!$B$192,EJ46+EI47-ER46)))</f>
        <v>149.60000000000005</v>
      </c>
      <c r="EK47" s="18">
        <f>EJ47*VLOOKUP('Données projet'!$B$15,Paramètres!$A$1:$I$89,3,0)*VLOOKUP('Données projet'!$B$15,Paramètres!$A$1:$I$89,5,0)</f>
        <v>135.35808000000006</v>
      </c>
      <c r="EL47" s="14">
        <f t="shared" si="45"/>
        <v>35.231528980112834</v>
      </c>
      <c r="EM47" s="22">
        <f t="shared" si="19"/>
        <v>297.11023564036327</v>
      </c>
      <c r="EN47" s="60">
        <f t="shared" si="20"/>
        <v>590.44356897369653</v>
      </c>
      <c r="EO47" s="60">
        <f ca="1">AVERAGE(OFFSET($EN$3,0,0,'Données projet'!$E$15+1,1))-AVERAGE(OFFSET($H$3,0,0,'Données projet'!$E$15+1,1))</f>
        <v>428.8489304403459</v>
      </c>
      <c r="EP47" s="60">
        <f t="shared" si="46"/>
        <v>247.01165577562966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8.4</v>
      </c>
      <c r="FE47" s="13">
        <f>IF('Données projet'!$A$218&gt;35,FE46+FD47-FM46,IF(A47&lt;'Données projet'!$A$218,$FB$205^A47,IF(A47='Données projet'!$A$218,'Données projet'!$B$218,FE46+FD47-FM46)))</f>
        <v>149.60000000000005</v>
      </c>
      <c r="FF47" s="18">
        <f>FE47*VLOOKUP('Données projet'!$B$16,Paramètres!$A$1:$I$89,3,0)*VLOOKUP('Données projet'!$B$16,Paramètres!$A$1:$I$89,5,0)</f>
        <v>144.69312000000005</v>
      </c>
      <c r="FG47" s="14">
        <f t="shared" si="47"/>
        <v>37.370061524802772</v>
      </c>
      <c r="FH47" s="22">
        <f t="shared" si="22"/>
        <v>317.09337448903153</v>
      </c>
      <c r="FI47" s="60">
        <f t="shared" si="23"/>
        <v>610.42670782236485</v>
      </c>
      <c r="FJ47" s="60">
        <f ca="1">AVERAGE(OFFSET($FI$3,0,0,'Données projet'!$E$16+1,1))-AVERAGE(OFFSET($H$3,0,0,'Données projet'!$E$16+1,1))</f>
        <v>455.50822833641354</v>
      </c>
      <c r="FK47" s="60">
        <f t="shared" si="48"/>
        <v>261.14722581688039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 t="e">
        <f>N48*VLOOKUP('Données projet'!$B$9,Paramètres!$A$1:$I$89,3,0)*VLOOKUP('Données projet'!$B$9,Paramètres!$A$1:$I$89,5,0)</f>
        <v>#N/A</v>
      </c>
      <c r="P48" s="14" t="e">
        <f t="shared" si="33"/>
        <v>#N/A</v>
      </c>
      <c r="Q48" s="22" t="e">
        <f t="shared" si="53"/>
        <v>#N/A</v>
      </c>
      <c r="R48" s="60" t="e">
        <f t="shared" si="0"/>
        <v>#N/A</v>
      </c>
      <c r="S48" s="60" t="e">
        <f ca="1">AVERAGE(OFFSET($R$3,0,0,'Données projet'!$E$9+1,1))-AVERAGE(OFFSET($H$3,0,0,'Données projet'!$E$9+1,1))</f>
        <v>#N/A</v>
      </c>
      <c r="T48" s="60" t="e">
        <f t="shared" si="34"/>
        <v>#N/A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 t="e">
        <f>EXP(-LN(2)/35)*Z47+(1-EXP(-LN(2)/35))/(LN(2)/35)*V48*W48*VLOOKUP('Données projet'!$B$9,Paramètres!$A$1:$I$89,3,0)*0.475*44/12</f>
        <v>#N/A</v>
      </c>
      <c r="AA48" s="23" t="e">
        <f>EXP(-LN(2)/25)*AA47+(1-EXP(-LN(2)/25))/(LN(2)/25)*Calculateur!V48*Calculateur!X48*VLOOKUP('Données projet'!$B$9,Paramètres!$A$1:$I$89,3,0)*0.475*44/12</f>
        <v>#N/A</v>
      </c>
      <c r="AB48" s="23" t="e">
        <f>EXP(-LN(2)/2)*AB47+(1-EXP(-LN(2)/2))/(LN(2)/2)*V48*Y48*VLOOKUP('Données projet'!$B$9,Paramètres!$A$1:$I$89,3,0)*0.475*44/12</f>
        <v>#N/A</v>
      </c>
      <c r="AC48" s="24" t="e">
        <f t="shared" si="3"/>
        <v>#N/A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205</v>
      </c>
      <c r="AG48" s="13">
        <f>VLOOKUP(A48,'Données projet'!$A$61:$I$81,9,0)</f>
        <v>13.8</v>
      </c>
      <c r="AH48" s="13">
        <f t="array" ref="AH48">INDEX(AG:AG,MIN(IF(ISNUMBER(AG48:AG244),ROW(AG48:AG244),"")))</f>
        <v>13.8</v>
      </c>
      <c r="AI48" s="14">
        <f>IF('Données projet'!$A$62&gt;35,AI47+AH48-AQ47,IF(A48&lt;'Données projet'!$A$62,$AF$205^A48,IF(A48='Données projet'!$A$62,'Données projet'!$B$62,AI47+AH48-AQ47)))</f>
        <v>205.00000000000003</v>
      </c>
      <c r="AJ48" s="14">
        <f>AI48*VLOOKUP('Données projet'!$B$10,Paramètres!$A$1:$I$89,3,0)*VLOOKUP('Données projet'!$B$10,Paramètres!$A$1:$I$89,5,0)</f>
        <v>179.08800000000005</v>
      </c>
      <c r="AK48" s="14">
        <f t="shared" si="35"/>
        <v>45.119223023956835</v>
      </c>
      <c r="AL48" s="22">
        <f t="shared" si="4"/>
        <v>390.49424676672493</v>
      </c>
      <c r="AM48" s="60">
        <f t="shared" si="5"/>
        <v>683.82758010005819</v>
      </c>
      <c r="AN48" s="60">
        <f ca="1">AVERAGE(OFFSET($AM$3,0,0,'Données projet'!$E$10+1,1))-AVERAGE(OFFSET($H$3,0,0,'Données projet'!$E$10+1,1))</f>
        <v>325.06345339097095</v>
      </c>
      <c r="AO48" s="60">
        <f t="shared" si="36"/>
        <v>318.90379036810754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0" t="e">
        <f t="shared" si="8"/>
        <v>#N/A</v>
      </c>
      <c r="BI48" s="60" t="e">
        <f ca="1">AVERAGE(OFFSET($BH$3,0,0,'Données projet'!$E$11+1,1))-AVERAGE(OFFSET($H$3,0,0,'Données projet'!$E$11+1,1))</f>
        <v>#N/A</v>
      </c>
      <c r="BJ48" s="60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0" t="e">
        <f t="shared" si="11"/>
        <v>#N/A</v>
      </c>
      <c r="CD48" s="60" t="e">
        <f ca="1">AVERAGE(OFFSET($CC$3,0,0,'Données projet'!$E$12+1,1))-AVERAGE(OFFSET($H$3,0,0,'Données projet'!$E$12+1,1))</f>
        <v>#N/A</v>
      </c>
      <c r="CE48" s="60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138.02880000000007</v>
      </c>
      <c r="CV48" s="14">
        <f t="shared" si="41"/>
        <v>35.845059256813073</v>
      </c>
      <c r="CW48" s="22">
        <f t="shared" si="13"/>
        <v>302.83030487228291</v>
      </c>
      <c r="CX48" s="60">
        <f t="shared" si="14"/>
        <v>596.16363820561628</v>
      </c>
      <c r="CY48" s="60">
        <f ca="1">AVERAGE(OFFSET($CX$3,0,0,'Données projet'!$E$13+1,1))-AVERAGE(OFFSET($H$3,0,0,'Données projet'!$E$13+1,1))</f>
        <v>415.50509041799154</v>
      </c>
      <c r="CZ48" s="60">
        <f t="shared" si="42"/>
        <v>239.93573789765657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158.00000000000006</v>
      </c>
      <c r="DP48" s="18">
        <f>DO48*VLOOKUP('Données projet'!$B$14,Paramètres!$A$1:$I$89,3,0)*VLOOKUP('Données projet'!$B$14,Paramètres!$A$1:$I$89,5,0)</f>
        <v>160.21200000000007</v>
      </c>
      <c r="DQ48" s="14">
        <f t="shared" si="43"/>
        <v>40.890328912852731</v>
      </c>
      <c r="DR48" s="22">
        <f t="shared" si="16"/>
        <v>350.25322285655193</v>
      </c>
      <c r="DS48" s="60">
        <f t="shared" si="17"/>
        <v>643.58655618988519</v>
      </c>
      <c r="DT48" s="60">
        <f ca="1">AVERAGE(OFFSET($DS$3,0,0,'Données projet'!$E$14+1,1))-AVERAGE(OFFSET($H$3,0,0,'Données projet'!$E$14+1,1))</f>
        <v>475.47920969424894</v>
      </c>
      <c r="DU48" s="60">
        <f t="shared" si="44"/>
        <v>271.73544012419364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158</v>
      </c>
      <c r="EH48" s="13">
        <f>VLOOKUP(A48,'Données projet'!$A$191:$I$211,9,0)</f>
        <v>8.4</v>
      </c>
      <c r="EI48" s="13">
        <f t="array" ref="EI48">INDEX(EH:EH,MIN(IF(ISNUMBER(EH48:EH244),ROW(EH48:EH244),"")))</f>
        <v>8.4</v>
      </c>
      <c r="EJ48" s="13">
        <f>IF('Données projet'!$A$192&gt;35,EJ47+EI48-ER47,IF(A48&lt;'Données projet'!$A$192,$EG$205^A48,IF(A48='Données projet'!$A$192,'Données projet'!$B$192,EJ47+EI48-ER47)))</f>
        <v>158.00000000000006</v>
      </c>
      <c r="EK48" s="18">
        <f>EJ48*VLOOKUP('Données projet'!$B$15,Paramètres!$A$1:$I$89,3,0)*VLOOKUP('Données projet'!$B$15,Paramètres!$A$1:$I$89,5,0)</f>
        <v>142.95840000000004</v>
      </c>
      <c r="EL48" s="14">
        <f t="shared" si="45"/>
        <v>36.973906370811264</v>
      </c>
      <c r="EM48" s="22">
        <f t="shared" si="19"/>
        <v>313.38210026249641</v>
      </c>
      <c r="EN48" s="60">
        <f t="shared" si="20"/>
        <v>606.71543359582972</v>
      </c>
      <c r="EO48" s="60">
        <f ca="1">AVERAGE(OFFSET($EN$3,0,0,'Données projet'!$E$15+1,1))-AVERAGE(OFFSET($H$3,0,0,'Données projet'!$E$15+1,1))</f>
        <v>428.8489304403459</v>
      </c>
      <c r="EP48" s="60">
        <f t="shared" si="46"/>
        <v>247.01165577562966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158</v>
      </c>
      <c r="FC48" s="13">
        <f>VLOOKUP(A48,'Données projet'!$A$217:$I$237,9,0)</f>
        <v>8.4</v>
      </c>
      <c r="FD48" s="13">
        <f t="array" ref="FD48">INDEX(FC:FC,MIN(IF(ISNUMBER(FC48:FC244),ROW(FC48:FC244),"")))</f>
        <v>8.4</v>
      </c>
      <c r="FE48" s="13">
        <f>IF('Données projet'!$A$218&gt;35,FE47+FD48-FM47,IF(A48&lt;'Données projet'!$A$218,$FB$205^A48,IF(A48='Données projet'!$A$218,'Données projet'!$B$218,FE47+FD48-FM47)))</f>
        <v>158.00000000000006</v>
      </c>
      <c r="FF48" s="18">
        <f>FE48*VLOOKUP('Données projet'!$B$16,Paramètres!$A$1:$I$89,3,0)*VLOOKUP('Données projet'!$B$16,Paramètres!$A$1:$I$89,5,0)</f>
        <v>152.81760000000006</v>
      </c>
      <c r="FG48" s="14">
        <f t="shared" si="47"/>
        <v>39.218200171484227</v>
      </c>
      <c r="FH48" s="22">
        <f t="shared" si="22"/>
        <v>334.46235196533513</v>
      </c>
      <c r="FI48" s="60">
        <f t="shared" si="23"/>
        <v>627.79568529866845</v>
      </c>
      <c r="FJ48" s="60">
        <f ca="1">AVERAGE(OFFSET($FI$3,0,0,'Données projet'!$E$16+1,1))-AVERAGE(OFFSET($H$3,0,0,'Données projet'!$E$16+1,1))</f>
        <v>455.50822833641354</v>
      </c>
      <c r="FK48" s="60">
        <f t="shared" si="48"/>
        <v>261.14722581688039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 t="e">
        <f>N49*VLOOKUP('Données projet'!$B$9,Paramètres!$A$1:$I$89,3,0)*VLOOKUP('Données projet'!$B$9,Paramètres!$A$1:$I$89,5,0)</f>
        <v>#N/A</v>
      </c>
      <c r="P49" s="14" t="e">
        <f t="shared" si="33"/>
        <v>#N/A</v>
      </c>
      <c r="Q49" s="22" t="e">
        <f t="shared" si="53"/>
        <v>#N/A</v>
      </c>
      <c r="R49" s="60" t="e">
        <f t="shared" si="0"/>
        <v>#N/A</v>
      </c>
      <c r="S49" s="60" t="e">
        <f ca="1">AVERAGE(OFFSET($R$3,0,0,'Données projet'!$E$9+1,1))-AVERAGE(OFFSET($H$3,0,0,'Données projet'!$E$9+1,1))</f>
        <v>#N/A</v>
      </c>
      <c r="T49" s="60" t="e">
        <f t="shared" si="34"/>
        <v>#N/A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 t="e">
        <f>EXP(-LN(2)/35)*Z48+(1-EXP(-LN(2)/35))/(LN(2)/35)*V49*W49*VLOOKUP('Données projet'!$B$9,Paramètres!$A$1:$I$89,3,0)*0.475*44/12</f>
        <v>#N/A</v>
      </c>
      <c r="AA49" s="23" t="e">
        <f>EXP(-LN(2)/25)*AA48+(1-EXP(-LN(2)/25))/(LN(2)/25)*Calculateur!V49*Calculateur!X49*VLOOKUP('Données projet'!$B$9,Paramètres!$A$1:$I$89,3,0)*0.475*44/12</f>
        <v>#N/A</v>
      </c>
      <c r="AB49" s="23" t="e">
        <f>EXP(-LN(2)/2)*AB48+(1-EXP(-LN(2)/2))/(LN(2)/2)*V49*Y49*VLOOKUP('Données projet'!$B$9,Paramètres!$A$1:$I$89,3,0)*0.475*44/12</f>
        <v>#N/A</v>
      </c>
      <c r="AC49" s="24" t="e">
        <f t="shared" si="3"/>
        <v>#N/A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2.6</v>
      </c>
      <c r="AI49" s="14">
        <f>IF('Données projet'!$A$62&gt;35,AI48+AH49-AQ48,IF(A49&lt;'Données projet'!$A$62,$AF$205^A49,IF(A49='Données projet'!$A$62,'Données projet'!$B$62,AI48+AH49-AQ48)))</f>
        <v>207.60000000000002</v>
      </c>
      <c r="AJ49" s="14">
        <f>AI49*VLOOKUP('Données projet'!$B$10,Paramètres!$A$1:$I$89,3,0)*VLOOKUP('Données projet'!$B$10,Paramètres!$A$1:$I$89,5,0)</f>
        <v>181.35936000000004</v>
      </c>
      <c r="AK49" s="14">
        <f t="shared" si="35"/>
        <v>45.624486166835887</v>
      </c>
      <c r="AL49" s="22">
        <f t="shared" si="4"/>
        <v>395.33019874057254</v>
      </c>
      <c r="AM49" s="60">
        <f t="shared" si="5"/>
        <v>688.6635320739058</v>
      </c>
      <c r="AN49" s="60">
        <f ca="1">AVERAGE(OFFSET($AM$3,0,0,'Données projet'!$E$10+1,1))-AVERAGE(OFFSET($H$3,0,0,'Données projet'!$E$10+1,1))</f>
        <v>325.06345339097095</v>
      </c>
      <c r="AO49" s="60">
        <f t="shared" si="36"/>
        <v>318.90379036810754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0" t="e">
        <f t="shared" si="8"/>
        <v>#N/A</v>
      </c>
      <c r="BI49" s="60" t="e">
        <f ca="1">AVERAGE(OFFSET($BH$3,0,0,'Données projet'!$E$11+1,1))-AVERAGE(OFFSET($H$3,0,0,'Données projet'!$E$11+1,1))</f>
        <v>#N/A</v>
      </c>
      <c r="BJ49" s="60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0" t="e">
        <f t="shared" si="11"/>
        <v>#N/A</v>
      </c>
      <c r="CD49" s="60" t="e">
        <f ca="1">AVERAGE(OFFSET($CC$3,0,0,'Données projet'!$E$12+1,1))-AVERAGE(OFFSET($H$3,0,0,'Données projet'!$E$12+1,1))</f>
        <v>#N/A</v>
      </c>
      <c r="CE49" s="60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145.19232000000005</v>
      </c>
      <c r="CV49" s="14">
        <f t="shared" si="41"/>
        <v>37.483960315974116</v>
      </c>
      <c r="CW49" s="22">
        <f t="shared" si="13"/>
        <v>318.16118821698831</v>
      </c>
      <c r="CX49" s="60">
        <f t="shared" si="14"/>
        <v>611.49452155032168</v>
      </c>
      <c r="CY49" s="60">
        <f ca="1">AVERAGE(OFFSET($CX$3,0,0,'Données projet'!$E$13+1,1))-AVERAGE(OFFSET($H$3,0,0,'Données projet'!$E$13+1,1))</f>
        <v>415.50509041799154</v>
      </c>
      <c r="CZ49" s="60">
        <f t="shared" si="42"/>
        <v>239.93573789765657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166.20000000000005</v>
      </c>
      <c r="DP49" s="18">
        <f>DO49*VLOOKUP('Données projet'!$B$14,Paramètres!$A$1:$I$89,3,0)*VLOOKUP('Données projet'!$B$14,Paramètres!$A$1:$I$89,5,0)</f>
        <v>168.52680000000007</v>
      </c>
      <c r="DQ49" s="14">
        <f t="shared" si="43"/>
        <v>42.759908842532369</v>
      </c>
      <c r="DR49" s="22">
        <f t="shared" si="16"/>
        <v>367.991017900744</v>
      </c>
      <c r="DS49" s="60">
        <f t="shared" si="17"/>
        <v>661.32435123407731</v>
      </c>
      <c r="DT49" s="60">
        <f ca="1">AVERAGE(OFFSET($DS$3,0,0,'Données projet'!$E$14+1,1))-AVERAGE(OFFSET($H$3,0,0,'Données projet'!$E$14+1,1))</f>
        <v>475.47920969424894</v>
      </c>
      <c r="DU49" s="60">
        <f t="shared" si="44"/>
        <v>271.73544012419364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8.1999999999999993</v>
      </c>
      <c r="EJ49" s="13">
        <f>IF('Données projet'!$A$192&gt;35,EJ48+EI49-ER48,IF(A49&lt;'Données projet'!$A$192,$EG$205^A49,IF(A49='Données projet'!$A$192,'Données projet'!$B$192,EJ48+EI49-ER48)))</f>
        <v>166.20000000000005</v>
      </c>
      <c r="EK49" s="18">
        <f>EJ49*VLOOKUP('Données projet'!$B$15,Paramètres!$A$1:$I$89,3,0)*VLOOKUP('Données projet'!$B$15,Paramètres!$A$1:$I$89,5,0)</f>
        <v>150.37776000000002</v>
      </c>
      <c r="EL49" s="14">
        <f t="shared" si="45"/>
        <v>38.664420365454049</v>
      </c>
      <c r="EM49" s="22">
        <f t="shared" si="19"/>
        <v>329.24846413649914</v>
      </c>
      <c r="EN49" s="60">
        <f t="shared" si="20"/>
        <v>622.58179746983251</v>
      </c>
      <c r="EO49" s="60">
        <f ca="1">AVERAGE(OFFSET($EN$3,0,0,'Données projet'!$E$15+1,1))-AVERAGE(OFFSET($H$3,0,0,'Données projet'!$E$15+1,1))</f>
        <v>428.8489304403459</v>
      </c>
      <c r="EP49" s="60">
        <f t="shared" si="46"/>
        <v>247.01165577562966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8.1999999999999993</v>
      </c>
      <c r="FE49" s="13">
        <f>IF('Données projet'!$A$218&gt;35,FE48+FD49-FM48,IF(A49&lt;'Données projet'!$A$218,$FB$205^A49,IF(A49='Données projet'!$A$218,'Données projet'!$B$218,FE48+FD49-FM48)))</f>
        <v>166.20000000000005</v>
      </c>
      <c r="FF49" s="18">
        <f>FE49*VLOOKUP('Données projet'!$B$16,Paramètres!$A$1:$I$89,3,0)*VLOOKUP('Données projet'!$B$16,Paramètres!$A$1:$I$89,5,0)</f>
        <v>160.74864000000005</v>
      </c>
      <c r="FG49" s="14">
        <f t="shared" si="47"/>
        <v>41.011327345272264</v>
      </c>
      <c r="FH49" s="22">
        <f t="shared" si="22"/>
        <v>351.39860979301596</v>
      </c>
      <c r="FI49" s="60">
        <f t="shared" si="23"/>
        <v>644.73194312634928</v>
      </c>
      <c r="FJ49" s="60">
        <f ca="1">AVERAGE(OFFSET($FI$3,0,0,'Données projet'!$E$16+1,1))-AVERAGE(OFFSET($H$3,0,0,'Données projet'!$E$16+1,1))</f>
        <v>455.50822833641354</v>
      </c>
      <c r="FK49" s="60">
        <f t="shared" si="48"/>
        <v>261.14722581688039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 t="e">
        <f>N50*VLOOKUP('Données projet'!$B$9,Paramètres!$A$1:$I$89,3,0)*VLOOKUP('Données projet'!$B$9,Paramètres!$A$1:$I$89,5,0)</f>
        <v>#N/A</v>
      </c>
      <c r="P50" s="14" t="e">
        <f t="shared" si="33"/>
        <v>#N/A</v>
      </c>
      <c r="Q50" s="22" t="e">
        <f t="shared" si="53"/>
        <v>#N/A</v>
      </c>
      <c r="R50" s="60" t="e">
        <f t="shared" si="0"/>
        <v>#N/A</v>
      </c>
      <c r="S50" s="60" t="e">
        <f ca="1">AVERAGE(OFFSET($R$3,0,0,'Données projet'!$E$9+1,1))-AVERAGE(OFFSET($H$3,0,0,'Données projet'!$E$9+1,1))</f>
        <v>#N/A</v>
      </c>
      <c r="T50" s="60" t="e">
        <f t="shared" si="34"/>
        <v>#N/A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 t="e">
        <f>EXP(-LN(2)/35)*Z49+(1-EXP(-LN(2)/35))/(LN(2)/35)*V50*W50*VLOOKUP('Données projet'!$B$9,Paramètres!$A$1:$I$89,3,0)*0.475*44/12</f>
        <v>#N/A</v>
      </c>
      <c r="AA50" s="23" t="e">
        <f>EXP(-LN(2)/25)*AA49+(1-EXP(-LN(2)/25))/(LN(2)/25)*Calculateur!V50*Calculateur!X50*VLOOKUP('Données projet'!$B$9,Paramètres!$A$1:$I$89,3,0)*0.475*44/12</f>
        <v>#N/A</v>
      </c>
      <c r="AB50" s="23" t="e">
        <f>EXP(-LN(2)/2)*AB49+(1-EXP(-LN(2)/2))/(LN(2)/2)*V50*Y50*VLOOKUP('Données projet'!$B$9,Paramètres!$A$1:$I$89,3,0)*0.475*44/12</f>
        <v>#N/A</v>
      </c>
      <c r="AC50" s="24" t="e">
        <f t="shared" si="3"/>
        <v>#N/A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2.6</v>
      </c>
      <c r="AI50" s="14">
        <f>IF('Données projet'!$A$62&gt;35,AI49+AH50-AQ49,IF(A50&lt;'Données projet'!$A$62,$AF$205^A50,IF(A50='Données projet'!$A$62,'Données projet'!$B$62,AI49+AH50-AQ49)))</f>
        <v>210.20000000000002</v>
      </c>
      <c r="AJ50" s="14">
        <f>AI50*VLOOKUP('Données projet'!$B$10,Paramètres!$A$1:$I$89,3,0)*VLOOKUP('Données projet'!$B$10,Paramètres!$A$1:$I$89,5,0)</f>
        <v>183.63072000000003</v>
      </c>
      <c r="AK50" s="14">
        <f t="shared" si="35"/>
        <v>46.129013251634447</v>
      </c>
      <c r="AL50" s="22">
        <f t="shared" si="4"/>
        <v>400.16486874659671</v>
      </c>
      <c r="AM50" s="60">
        <f t="shared" si="5"/>
        <v>693.49820207993002</v>
      </c>
      <c r="AN50" s="60">
        <f ca="1">AVERAGE(OFFSET($AM$3,0,0,'Données projet'!$E$10+1,1))-AVERAGE(OFFSET($H$3,0,0,'Données projet'!$E$10+1,1))</f>
        <v>325.06345339097095</v>
      </c>
      <c r="AO50" s="60">
        <f t="shared" si="36"/>
        <v>318.90379036810754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0" t="e">
        <f t="shared" si="8"/>
        <v>#N/A</v>
      </c>
      <c r="BI50" s="60" t="e">
        <f ca="1">AVERAGE(OFFSET($BH$3,0,0,'Données projet'!$E$11+1,1))-AVERAGE(OFFSET($H$3,0,0,'Données projet'!$E$11+1,1))</f>
        <v>#N/A</v>
      </c>
      <c r="BJ50" s="60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0" t="e">
        <f t="shared" si="11"/>
        <v>#N/A</v>
      </c>
      <c r="CD50" s="60" t="e">
        <f ca="1">AVERAGE(OFFSET($CC$3,0,0,'Données projet'!$E$12+1,1))-AVERAGE(OFFSET($H$3,0,0,'Données projet'!$E$12+1,1))</f>
        <v>#N/A</v>
      </c>
      <c r="CE50" s="60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152.35584000000006</v>
      </c>
      <c r="CV50" s="14">
        <f t="shared" si="41"/>
        <v>39.11347218476763</v>
      </c>
      <c r="CW50" s="22">
        <f t="shared" si="13"/>
        <v>333.47571872180373</v>
      </c>
      <c r="CX50" s="60">
        <f t="shared" si="14"/>
        <v>626.80905205513704</v>
      </c>
      <c r="CY50" s="60">
        <f ca="1">AVERAGE(OFFSET($CX$3,0,0,'Données projet'!$E$13+1,1))-AVERAGE(OFFSET($H$3,0,0,'Données projet'!$E$13+1,1))</f>
        <v>415.50509041799154</v>
      </c>
      <c r="CZ50" s="60">
        <f t="shared" si="42"/>
        <v>239.93573789765657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174.40000000000003</v>
      </c>
      <c r="DP50" s="18">
        <f>DO50*VLOOKUP('Données projet'!$B$14,Paramètres!$A$1:$I$89,3,0)*VLOOKUP('Données projet'!$B$14,Paramètres!$A$1:$I$89,5,0)</f>
        <v>176.84160000000006</v>
      </c>
      <c r="DQ50" s="14">
        <f t="shared" si="43"/>
        <v>44.618778032982952</v>
      </c>
      <c r="DR50" s="22">
        <f t="shared" si="16"/>
        <v>385.71015840744536</v>
      </c>
      <c r="DS50" s="60">
        <f t="shared" si="17"/>
        <v>679.04349174077868</v>
      </c>
      <c r="DT50" s="60">
        <f ca="1">AVERAGE(OFFSET($DS$3,0,0,'Données projet'!$E$14+1,1))-AVERAGE(OFFSET($H$3,0,0,'Données projet'!$E$14+1,1))</f>
        <v>475.47920969424894</v>
      </c>
      <c r="DU50" s="60">
        <f t="shared" si="44"/>
        <v>271.73544012419364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8.1999999999999993</v>
      </c>
      <c r="EJ50" s="13">
        <f>IF('Données projet'!$A$192&gt;35,EJ49+EI50-ER49,IF(A50&lt;'Données projet'!$A$192,$EG$205^A50,IF(A50='Données projet'!$A$192,'Données projet'!$B$192,EJ49+EI50-ER49)))</f>
        <v>174.40000000000003</v>
      </c>
      <c r="EK50" s="18">
        <f>EJ50*VLOOKUP('Données projet'!$B$15,Paramètres!$A$1:$I$89,3,0)*VLOOKUP('Données projet'!$B$15,Paramètres!$A$1:$I$89,5,0)</f>
        <v>157.79712000000004</v>
      </c>
      <c r="EL50" s="14">
        <f t="shared" si="45"/>
        <v>40.345249481546155</v>
      </c>
      <c r="EM50" s="22">
        <f t="shared" si="19"/>
        <v>345.09796018035962</v>
      </c>
      <c r="EN50" s="60">
        <f t="shared" si="20"/>
        <v>638.43129351369294</v>
      </c>
      <c r="EO50" s="60">
        <f ca="1">AVERAGE(OFFSET($EN$3,0,0,'Données projet'!$E$15+1,1))-AVERAGE(OFFSET($H$3,0,0,'Données projet'!$E$15+1,1))</f>
        <v>428.8489304403459</v>
      </c>
      <c r="EP50" s="60">
        <f t="shared" si="46"/>
        <v>247.01165577562966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8.1999999999999993</v>
      </c>
      <c r="FE50" s="13">
        <f>IF('Données projet'!$A$218&gt;35,FE49+FD50-FM49,IF(A50&lt;'Données projet'!$A$218,$FB$205^A50,IF(A50='Données projet'!$A$218,'Données projet'!$B$218,FE49+FD50-FM49)))</f>
        <v>174.40000000000003</v>
      </c>
      <c r="FF50" s="18">
        <f>FE50*VLOOKUP('Données projet'!$B$16,Paramètres!$A$1:$I$89,3,0)*VLOOKUP('Données projet'!$B$16,Paramètres!$A$1:$I$89,5,0)</f>
        <v>168.67968000000002</v>
      </c>
      <c r="FG50" s="14">
        <f t="shared" si="47"/>
        <v>42.794181774227013</v>
      </c>
      <c r="FH50" s="22">
        <f t="shared" si="22"/>
        <v>368.3169759234454</v>
      </c>
      <c r="FI50" s="60">
        <f t="shared" si="23"/>
        <v>661.65030925677866</v>
      </c>
      <c r="FJ50" s="60">
        <f ca="1">AVERAGE(OFFSET($FI$3,0,0,'Données projet'!$E$16+1,1))-AVERAGE(OFFSET($H$3,0,0,'Données projet'!$E$16+1,1))</f>
        <v>455.50822833641354</v>
      </c>
      <c r="FK50" s="60">
        <f t="shared" si="48"/>
        <v>261.14722581688039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 t="e">
        <f>N51*VLOOKUP('Données projet'!$B$9,Paramètres!$A$1:$I$89,3,0)*VLOOKUP('Données projet'!$B$9,Paramètres!$A$1:$I$89,5,0)</f>
        <v>#N/A</v>
      </c>
      <c r="P51" s="14" t="e">
        <f t="shared" si="33"/>
        <v>#N/A</v>
      </c>
      <c r="Q51" s="22" t="e">
        <f t="shared" si="53"/>
        <v>#N/A</v>
      </c>
      <c r="R51" s="60" t="e">
        <f t="shared" si="0"/>
        <v>#N/A</v>
      </c>
      <c r="S51" s="60" t="e">
        <f ca="1">AVERAGE(OFFSET($R$3,0,0,'Données projet'!$E$9+1,1))-AVERAGE(OFFSET($H$3,0,0,'Données projet'!$E$9+1,1))</f>
        <v>#N/A</v>
      </c>
      <c r="T51" s="60" t="e">
        <f t="shared" si="34"/>
        <v>#N/A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 t="e">
        <f>EXP(-LN(2)/35)*Z50+(1-EXP(-LN(2)/35))/(LN(2)/35)*V51*W51*VLOOKUP('Données projet'!$B$9,Paramètres!$A$1:$I$89,3,0)*0.475*44/12</f>
        <v>#N/A</v>
      </c>
      <c r="AA51" s="23" t="e">
        <f>EXP(-LN(2)/25)*AA50+(1-EXP(-LN(2)/25))/(LN(2)/25)*Calculateur!V51*Calculateur!X51*VLOOKUP('Données projet'!$B$9,Paramètres!$A$1:$I$89,3,0)*0.475*44/12</f>
        <v>#N/A</v>
      </c>
      <c r="AB51" s="23" t="e">
        <f>EXP(-LN(2)/2)*AB50+(1-EXP(-LN(2)/2))/(LN(2)/2)*V51*Y51*VLOOKUP('Données projet'!$B$9,Paramètres!$A$1:$I$89,3,0)*0.475*44/12</f>
        <v>#N/A</v>
      </c>
      <c r="AC51" s="24" t="e">
        <f t="shared" si="3"/>
        <v>#N/A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2.6</v>
      </c>
      <c r="AI51" s="14">
        <f>IF('Données projet'!$A$62&gt;35,AI50+AH51-AQ50,IF(A51&lt;'Données projet'!$A$62,$AF$205^A51,IF(A51='Données projet'!$A$62,'Données projet'!$B$62,AI50+AH51-AQ50)))</f>
        <v>212.8</v>
      </c>
      <c r="AJ51" s="14">
        <f>AI51*VLOOKUP('Données projet'!$B$10,Paramètres!$A$1:$I$89,3,0)*VLOOKUP('Données projet'!$B$10,Paramètres!$A$1:$I$89,5,0)</f>
        <v>185.90208000000004</v>
      </c>
      <c r="AK51" s="14">
        <f t="shared" si="35"/>
        <v>46.632814435744649</v>
      </c>
      <c r="AL51" s="22">
        <f t="shared" si="4"/>
        <v>404.99827447558863</v>
      </c>
      <c r="AM51" s="60">
        <f t="shared" si="5"/>
        <v>698.33160780892194</v>
      </c>
      <c r="AN51" s="60">
        <f ca="1">AVERAGE(OFFSET($AM$3,0,0,'Données projet'!$E$10+1,1))-AVERAGE(OFFSET($H$3,0,0,'Données projet'!$E$10+1,1))</f>
        <v>325.06345339097095</v>
      </c>
      <c r="AO51" s="60">
        <f t="shared" si="36"/>
        <v>318.90379036810754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0" t="e">
        <f t="shared" si="8"/>
        <v>#N/A</v>
      </c>
      <c r="BI51" s="60" t="e">
        <f ca="1">AVERAGE(OFFSET($BH$3,0,0,'Données projet'!$E$11+1,1))-AVERAGE(OFFSET($H$3,0,0,'Données projet'!$E$11+1,1))</f>
        <v>#N/A</v>
      </c>
      <c r="BJ51" s="60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0" t="e">
        <f t="shared" si="11"/>
        <v>#N/A</v>
      </c>
      <c r="CD51" s="60" t="e">
        <f ca="1">AVERAGE(OFFSET($CC$3,0,0,'Données projet'!$E$12+1,1))-AVERAGE(OFFSET($H$3,0,0,'Données projet'!$E$12+1,1))</f>
        <v>#N/A</v>
      </c>
      <c r="CE51" s="60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159.51936000000006</v>
      </c>
      <c r="CV51" s="14">
        <f t="shared" si="41"/>
        <v>40.73408673827732</v>
      </c>
      <c r="CW51" s="22">
        <f t="shared" si="13"/>
        <v>348.77475306916637</v>
      </c>
      <c r="CX51" s="60">
        <f t="shared" si="14"/>
        <v>642.10808640249968</v>
      </c>
      <c r="CY51" s="60">
        <f ca="1">AVERAGE(OFFSET($CX$3,0,0,'Données projet'!$E$13+1,1))-AVERAGE(OFFSET($H$3,0,0,'Données projet'!$E$13+1,1))</f>
        <v>415.50509041799154</v>
      </c>
      <c r="CZ51" s="60">
        <f t="shared" si="42"/>
        <v>239.93573789765657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182.60000000000002</v>
      </c>
      <c r="DP51" s="18">
        <f>DO51*VLOOKUP('Données projet'!$B$14,Paramètres!$A$1:$I$89,3,0)*VLOOKUP('Données projet'!$B$14,Paramètres!$A$1:$I$89,5,0)</f>
        <v>185.15640000000002</v>
      </c>
      <c r="DQ51" s="14">
        <f t="shared" si="43"/>
        <v>46.467497591770453</v>
      </c>
      <c r="DR51" s="22">
        <f t="shared" si="16"/>
        <v>403.4116216390002</v>
      </c>
      <c r="DS51" s="60">
        <f t="shared" si="17"/>
        <v>696.74495497233352</v>
      </c>
      <c r="DT51" s="60">
        <f ca="1">AVERAGE(OFFSET($DS$3,0,0,'Données projet'!$E$14+1,1))-AVERAGE(OFFSET($H$3,0,0,'Données projet'!$E$14+1,1))</f>
        <v>475.47920969424894</v>
      </c>
      <c r="DU51" s="60">
        <f t="shared" si="44"/>
        <v>271.73544012419364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8.1999999999999993</v>
      </c>
      <c r="EJ51" s="13">
        <f>IF('Données projet'!$A$192&gt;35,EJ50+EI51-ER50,IF(A51&lt;'Données projet'!$A$192,$EG$205^A51,IF(A51='Données projet'!$A$192,'Données projet'!$B$192,EJ50+EI51-ER50)))</f>
        <v>182.60000000000002</v>
      </c>
      <c r="EK51" s="18">
        <f>EJ51*VLOOKUP('Données projet'!$B$15,Paramètres!$A$1:$I$89,3,0)*VLOOKUP('Données projet'!$B$15,Paramètres!$A$1:$I$89,5,0)</f>
        <v>165.21648000000002</v>
      </c>
      <c r="EL51" s="14">
        <f t="shared" si="45"/>
        <v>42.016901084500397</v>
      </c>
      <c r="EM51" s="22">
        <f t="shared" si="19"/>
        <v>360.93147205550491</v>
      </c>
      <c r="EN51" s="60">
        <f t="shared" si="20"/>
        <v>654.26480538883823</v>
      </c>
      <c r="EO51" s="60">
        <f ca="1">AVERAGE(OFFSET($EN$3,0,0,'Données projet'!$E$15+1,1))-AVERAGE(OFFSET($H$3,0,0,'Données projet'!$E$15+1,1))</f>
        <v>428.8489304403459</v>
      </c>
      <c r="EP51" s="60">
        <f t="shared" si="46"/>
        <v>247.01165577562966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8.1999999999999993</v>
      </c>
      <c r="FE51" s="13">
        <f>IF('Données projet'!$A$218&gt;35,FE50+FD51-FM50,IF(A51&lt;'Données projet'!$A$218,$FB$205^A51,IF(A51='Données projet'!$A$218,'Données projet'!$B$218,FE50+FD51-FM50)))</f>
        <v>182.60000000000002</v>
      </c>
      <c r="FF51" s="18">
        <f>FE51*VLOOKUP('Données projet'!$B$16,Paramètres!$A$1:$I$89,3,0)*VLOOKUP('Données projet'!$B$16,Paramètres!$A$1:$I$89,5,0)</f>
        <v>176.61072000000004</v>
      </c>
      <c r="FG51" s="14">
        <f t="shared" si="47"/>
        <v>44.56730162053563</v>
      </c>
      <c r="FH51" s="22">
        <f t="shared" si="22"/>
        <v>385.21838765576626</v>
      </c>
      <c r="FI51" s="60">
        <f t="shared" si="23"/>
        <v>678.55172098909952</v>
      </c>
      <c r="FJ51" s="60">
        <f ca="1">AVERAGE(OFFSET($FI$3,0,0,'Données projet'!$E$16+1,1))-AVERAGE(OFFSET($H$3,0,0,'Données projet'!$E$16+1,1))</f>
        <v>455.50822833641354</v>
      </c>
      <c r="FK51" s="60">
        <f t="shared" si="48"/>
        <v>261.14722581688039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 t="e">
        <f>N52*VLOOKUP('Données projet'!$B$9,Paramètres!$A$1:$I$89,3,0)*VLOOKUP('Données projet'!$B$9,Paramètres!$A$1:$I$89,5,0)</f>
        <v>#N/A</v>
      </c>
      <c r="P52" s="14" t="e">
        <f t="shared" si="33"/>
        <v>#N/A</v>
      </c>
      <c r="Q52" s="22" t="e">
        <f t="shared" si="53"/>
        <v>#N/A</v>
      </c>
      <c r="R52" s="60" t="e">
        <f t="shared" si="0"/>
        <v>#N/A</v>
      </c>
      <c r="S52" s="60" t="e">
        <f ca="1">AVERAGE(OFFSET($R$3,0,0,'Données projet'!$E$9+1,1))-AVERAGE(OFFSET($H$3,0,0,'Données projet'!$E$9+1,1))</f>
        <v>#N/A</v>
      </c>
      <c r="T52" s="60" t="e">
        <f t="shared" si="34"/>
        <v>#N/A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 t="e">
        <f>EXP(-LN(2)/35)*Z51+(1-EXP(-LN(2)/35))/(LN(2)/35)*V52*W52*VLOOKUP('Données projet'!$B$9,Paramètres!$A$1:$I$89,3,0)*0.475*44/12</f>
        <v>#N/A</v>
      </c>
      <c r="AA52" s="23" t="e">
        <f>EXP(-LN(2)/25)*AA51+(1-EXP(-LN(2)/25))/(LN(2)/25)*Calculateur!V52*Calculateur!X52*VLOOKUP('Données projet'!$B$9,Paramètres!$A$1:$I$89,3,0)*0.475*44/12</f>
        <v>#N/A</v>
      </c>
      <c r="AB52" s="23" t="e">
        <f>EXP(-LN(2)/2)*AB51+(1-EXP(-LN(2)/2))/(LN(2)/2)*V52*Y52*VLOOKUP('Données projet'!$B$9,Paramètres!$A$1:$I$89,3,0)*0.475*44/12</f>
        <v>#N/A</v>
      </c>
      <c r="AC52" s="24" t="e">
        <f t="shared" si="3"/>
        <v>#N/A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2.6</v>
      </c>
      <c r="AI52" s="14">
        <f>IF('Données projet'!$A$62&gt;35,AI51+AH52-AQ51,IF(A52&lt;'Données projet'!$A$62,$AF$205^A52,IF(A52='Données projet'!$A$62,'Données projet'!$B$62,AI51+AH52-AQ51)))</f>
        <v>215.4</v>
      </c>
      <c r="AJ52" s="14">
        <f>AI52*VLOOKUP('Données projet'!$B$10,Paramètres!$A$1:$I$89,3,0)*VLOOKUP('Données projet'!$B$10,Paramètres!$A$1:$I$89,5,0)</f>
        <v>188.17344000000003</v>
      </c>
      <c r="AK52" s="14">
        <f t="shared" si="35"/>
        <v>47.135899614073161</v>
      </c>
      <c r="AL52" s="22">
        <f t="shared" si="4"/>
        <v>409.8304331611775</v>
      </c>
      <c r="AM52" s="60">
        <f t="shared" si="5"/>
        <v>703.16376649451081</v>
      </c>
      <c r="AN52" s="60">
        <f ca="1">AVERAGE(OFFSET($AM$3,0,0,'Données projet'!$E$10+1,1))-AVERAGE(OFFSET($H$3,0,0,'Données projet'!$E$10+1,1))</f>
        <v>325.06345339097095</v>
      </c>
      <c r="AO52" s="60">
        <f t="shared" si="36"/>
        <v>318.90379036810754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0" t="e">
        <f t="shared" si="8"/>
        <v>#N/A</v>
      </c>
      <c r="BI52" s="60" t="e">
        <f ca="1">AVERAGE(OFFSET($BH$3,0,0,'Données projet'!$E$11+1,1))-AVERAGE(OFFSET($H$3,0,0,'Données projet'!$E$11+1,1))</f>
        <v>#N/A</v>
      </c>
      <c r="BJ52" s="60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0" t="e">
        <f t="shared" si="11"/>
        <v>#N/A</v>
      </c>
      <c r="CD52" s="60" t="e">
        <f ca="1">AVERAGE(OFFSET($CC$3,0,0,'Données projet'!$E$12+1,1))-AVERAGE(OFFSET($H$3,0,0,'Données projet'!$E$12+1,1))</f>
        <v>#N/A</v>
      </c>
      <c r="CE52" s="60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166.68288000000004</v>
      </c>
      <c r="CV52" s="14">
        <f t="shared" si="41"/>
        <v>42.346249176975</v>
      </c>
      <c r="CW52" s="22">
        <f t="shared" si="13"/>
        <v>364.05906664989817</v>
      </c>
      <c r="CX52" s="60">
        <f t="shared" si="14"/>
        <v>657.39239998323148</v>
      </c>
      <c r="CY52" s="60">
        <f ca="1">AVERAGE(OFFSET($CX$3,0,0,'Données projet'!$E$13+1,1))-AVERAGE(OFFSET($H$3,0,0,'Données projet'!$E$13+1,1))</f>
        <v>415.50509041799154</v>
      </c>
      <c r="CZ52" s="60">
        <f t="shared" si="42"/>
        <v>239.93573789765657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190.8</v>
      </c>
      <c r="DP52" s="18">
        <f>DO52*VLOOKUP('Données projet'!$B$14,Paramètres!$A$1:$I$89,3,0)*VLOOKUP('Données projet'!$B$14,Paramètres!$A$1:$I$89,5,0)</f>
        <v>193.47120000000001</v>
      </c>
      <c r="DQ52" s="14">
        <f t="shared" si="43"/>
        <v>48.306575382296536</v>
      </c>
      <c r="DR52" s="22">
        <f t="shared" si="16"/>
        <v>421.09629212416644</v>
      </c>
      <c r="DS52" s="60">
        <f t="shared" si="17"/>
        <v>714.4296254574997</v>
      </c>
      <c r="DT52" s="60">
        <f ca="1">AVERAGE(OFFSET($DS$3,0,0,'Données projet'!$E$14+1,1))-AVERAGE(OFFSET($H$3,0,0,'Données projet'!$E$14+1,1))</f>
        <v>475.47920969424894</v>
      </c>
      <c r="DU52" s="60">
        <f t="shared" si="44"/>
        <v>271.73544012419364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8.1999999999999993</v>
      </c>
      <c r="EJ52" s="13">
        <f>IF('Données projet'!$A$192&gt;35,EJ51+EI52-ER51,IF(A52&lt;'Données projet'!$A$192,$EG$205^A52,IF(A52='Données projet'!$A$192,'Données projet'!$B$192,EJ51+EI52-ER51)))</f>
        <v>190.8</v>
      </c>
      <c r="EK52" s="18">
        <f>EJ52*VLOOKUP('Données projet'!$B$15,Paramètres!$A$1:$I$89,3,0)*VLOOKUP('Données projet'!$B$15,Paramètres!$A$1:$I$89,5,0)</f>
        <v>172.63584</v>
      </c>
      <c r="EL52" s="14">
        <f t="shared" si="45"/>
        <v>43.679834395222109</v>
      </c>
      <c r="EM52" s="22">
        <f t="shared" si="19"/>
        <v>376.74979957167847</v>
      </c>
      <c r="EN52" s="60">
        <f t="shared" si="20"/>
        <v>670.08313290501178</v>
      </c>
      <c r="EO52" s="60">
        <f ca="1">AVERAGE(OFFSET($EN$3,0,0,'Données projet'!$E$15+1,1))-AVERAGE(OFFSET($H$3,0,0,'Données projet'!$E$15+1,1))</f>
        <v>428.8489304403459</v>
      </c>
      <c r="EP52" s="60">
        <f t="shared" si="46"/>
        <v>247.01165577562966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8.1999999999999993</v>
      </c>
      <c r="FE52" s="13">
        <f>IF('Données projet'!$A$218&gt;35,FE51+FD52-FM51,IF(A52&lt;'Données projet'!$A$218,$FB$205^A52,IF(A52='Données projet'!$A$218,'Données projet'!$B$218,FE51+FD52-FM51)))</f>
        <v>190.8</v>
      </c>
      <c r="FF52" s="18">
        <f>FE52*VLOOKUP('Données projet'!$B$16,Paramètres!$A$1:$I$89,3,0)*VLOOKUP('Données projet'!$B$16,Paramètres!$A$1:$I$89,5,0)</f>
        <v>184.54176000000001</v>
      </c>
      <c r="FG52" s="14">
        <f t="shared" si="47"/>
        <v>46.33117397953523</v>
      </c>
      <c r="FH52" s="22">
        <f t="shared" si="22"/>
        <v>402.10369334769052</v>
      </c>
      <c r="FI52" s="60">
        <f t="shared" si="23"/>
        <v>695.43702668102378</v>
      </c>
      <c r="FJ52" s="60">
        <f ca="1">AVERAGE(OFFSET($FI$3,0,0,'Données projet'!$E$16+1,1))-AVERAGE(OFFSET($H$3,0,0,'Données projet'!$E$16+1,1))</f>
        <v>455.50822833641354</v>
      </c>
      <c r="FK52" s="60">
        <f t="shared" si="48"/>
        <v>261.14722581688039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 t="e">
        <f>N53*VLOOKUP('Données projet'!$B$9,Paramètres!$A$1:$I$89,3,0)*VLOOKUP('Données projet'!$B$9,Paramètres!$A$1:$I$89,5,0)</f>
        <v>#N/A</v>
      </c>
      <c r="P53" s="14" t="e">
        <f t="shared" si="33"/>
        <v>#N/A</v>
      </c>
      <c r="Q53" s="22" t="e">
        <f t="shared" si="53"/>
        <v>#N/A</v>
      </c>
      <c r="R53" s="60" t="e">
        <f t="shared" si="0"/>
        <v>#N/A</v>
      </c>
      <c r="S53" s="60" t="e">
        <f ca="1">AVERAGE(OFFSET($R$3,0,0,'Données projet'!$E$9+1,1))-AVERAGE(OFFSET($H$3,0,0,'Données projet'!$E$9+1,1))</f>
        <v>#N/A</v>
      </c>
      <c r="T53" s="60" t="e">
        <f t="shared" si="34"/>
        <v>#N/A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 t="e">
        <f>EXP(-LN(2)/35)*Z52+(1-EXP(-LN(2)/35))/(LN(2)/35)*V53*W53*VLOOKUP('Données projet'!$B$9,Paramètres!$A$1:$I$89,3,0)*0.475*44/12</f>
        <v>#N/A</v>
      </c>
      <c r="AA53" s="23" t="e">
        <f>EXP(-LN(2)/25)*AA52+(1-EXP(-LN(2)/25))/(LN(2)/25)*Calculateur!V53*Calculateur!X53*VLOOKUP('Données projet'!$B$9,Paramètres!$A$1:$I$89,3,0)*0.475*44/12</f>
        <v>#N/A</v>
      </c>
      <c r="AB53" s="23" t="e">
        <f>EXP(-LN(2)/2)*AB52+(1-EXP(-LN(2)/2))/(LN(2)/2)*V53*Y53*VLOOKUP('Données projet'!$B$9,Paramètres!$A$1:$I$89,3,0)*0.475*44/12</f>
        <v>#N/A</v>
      </c>
      <c r="AC53" s="24" t="e">
        <f t="shared" si="3"/>
        <v>#N/A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218</v>
      </c>
      <c r="AG53" s="13">
        <f>VLOOKUP(A53,'Données projet'!$A$61:$I$81,9,0)</f>
        <v>2.6</v>
      </c>
      <c r="AH53" s="13">
        <f t="array" ref="AH53">INDEX(AG:AG,MIN(IF(ISNUMBER(AG53:AG249),ROW(AG53:AG249),"")))</f>
        <v>2.6</v>
      </c>
      <c r="AI53" s="14">
        <f>IF('Données projet'!$A$62&gt;35,AI52+AH53-AQ52,IF(A53&lt;'Données projet'!$A$62,$AF$205^A53,IF(A53='Données projet'!$A$62,'Données projet'!$B$62,AI52+AH53-AQ52)))</f>
        <v>218</v>
      </c>
      <c r="AJ53" s="14">
        <f>AI53*VLOOKUP('Données projet'!$B$10,Paramètres!$A$1:$I$89,3,0)*VLOOKUP('Données projet'!$B$10,Paramètres!$A$1:$I$89,5,0)</f>
        <v>190.44480000000001</v>
      </c>
      <c r="AK53" s="14">
        <f t="shared" si="35"/>
        <v>47.638278428909231</v>
      </c>
      <c r="AL53" s="22">
        <f t="shared" si="4"/>
        <v>414.66136159701688</v>
      </c>
      <c r="AM53" s="60">
        <f t="shared" si="5"/>
        <v>707.99469493035019</v>
      </c>
      <c r="AN53" s="60">
        <f ca="1">AVERAGE(OFFSET($AM$3,0,0,'Données projet'!$E$10+1,1))-AVERAGE(OFFSET($H$3,0,0,'Données projet'!$E$10+1,1))</f>
        <v>325.06345339097095</v>
      </c>
      <c r="AO53" s="60">
        <f t="shared" si="36"/>
        <v>318.90379036810754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39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0" t="e">
        <f t="shared" si="8"/>
        <v>#N/A</v>
      </c>
      <c r="BI53" s="60" t="e">
        <f ca="1">AVERAGE(OFFSET($BH$3,0,0,'Données projet'!$E$11+1,1))-AVERAGE(OFFSET($H$3,0,0,'Données projet'!$E$11+1,1))</f>
        <v>#N/A</v>
      </c>
      <c r="BJ53" s="60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0" t="e">
        <f t="shared" si="11"/>
        <v>#N/A</v>
      </c>
      <c r="CD53" s="60" t="e">
        <f ca="1">AVERAGE(OFFSET($CC$3,0,0,'Données projet'!$E$12+1,1))-AVERAGE(OFFSET($H$3,0,0,'Données projet'!$E$12+1,1))</f>
        <v>#N/A</v>
      </c>
      <c r="CE53" s="60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173.84640000000002</v>
      </c>
      <c r="CV53" s="14">
        <f t="shared" si="41"/>
        <v>43.950364270382295</v>
      </c>
      <c r="CW53" s="22">
        <f t="shared" si="13"/>
        <v>379.32936443758257</v>
      </c>
      <c r="CX53" s="60">
        <f t="shared" si="14"/>
        <v>672.66269777091588</v>
      </c>
      <c r="CY53" s="60">
        <f ca="1">AVERAGE(OFFSET($CX$3,0,0,'Données projet'!$E$13+1,1))-AVERAGE(OFFSET($H$3,0,0,'Données projet'!$E$13+1,1))</f>
        <v>415.50509041799154</v>
      </c>
      <c r="CZ53" s="60">
        <f t="shared" si="42"/>
        <v>239.93573789765657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199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199</v>
      </c>
      <c r="DP53" s="18">
        <f>DO53*VLOOKUP('Données projet'!$B$14,Paramètres!$A$1:$I$89,3,0)*VLOOKUP('Données projet'!$B$14,Paramètres!$A$1:$I$89,5,0)</f>
        <v>201.786</v>
      </c>
      <c r="DQ53" s="14">
        <f t="shared" si="43"/>
        <v>50.136473146268756</v>
      </c>
      <c r="DR53" s="22">
        <f t="shared" si="16"/>
        <v>438.76497406308476</v>
      </c>
      <c r="DS53" s="60">
        <f t="shared" si="17"/>
        <v>732.09830739641802</v>
      </c>
      <c r="DT53" s="60">
        <f ca="1">AVERAGE(OFFSET($DS$3,0,0,'Données projet'!$E$14+1,1))-AVERAGE(OFFSET($H$3,0,0,'Données projet'!$E$14+1,1))</f>
        <v>475.47920969424894</v>
      </c>
      <c r="DU53" s="60">
        <f t="shared" si="44"/>
        <v>271.73544012419364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42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199</v>
      </c>
      <c r="EH53" s="13">
        <f>VLOOKUP(A53,'Données projet'!$A$191:$I$211,9,0)</f>
        <v>8.1999999999999993</v>
      </c>
      <c r="EI53" s="13">
        <f t="array" ref="EI53">INDEX(EH:EH,MIN(IF(ISNUMBER(EH53:EH249),ROW(EH53:EH249),"")))</f>
        <v>8.1999999999999993</v>
      </c>
      <c r="EJ53" s="13">
        <f>IF('Données projet'!$A$192&gt;35,EJ52+EI53-ER52,IF(A53&lt;'Données projet'!$A$192,$EG$205^A53,IF(A53='Données projet'!$A$192,'Données projet'!$B$192,EJ52+EI53-ER52)))</f>
        <v>199</v>
      </c>
      <c r="EK53" s="18">
        <f>EJ53*VLOOKUP('Données projet'!$B$15,Paramètres!$A$1:$I$89,3,0)*VLOOKUP('Données projet'!$B$15,Paramètres!$A$1:$I$89,5,0)</f>
        <v>180.05519999999999</v>
      </c>
      <c r="EL53" s="14">
        <f t="shared" si="45"/>
        <v>45.334466930398364</v>
      </c>
      <c r="EM53" s="22">
        <f t="shared" si="19"/>
        <v>392.55366990377706</v>
      </c>
      <c r="EN53" s="60">
        <f t="shared" si="20"/>
        <v>685.88700323711032</v>
      </c>
      <c r="EO53" s="60">
        <f ca="1">AVERAGE(OFFSET($EN$3,0,0,'Données projet'!$E$15+1,1))-AVERAGE(OFFSET($H$3,0,0,'Données projet'!$E$15+1,1))</f>
        <v>428.8489304403459</v>
      </c>
      <c r="EP53" s="60">
        <f t="shared" si="46"/>
        <v>247.01165577562966</v>
      </c>
      <c r="EQ53" s="16">
        <f>IF(ISNA(VLOOKUP(A53,'Données projet'!$A$191:$I$211,3,0)),0,VLOOKUP(A53,'Données projet'!$A$191:$I$211,3,0))</f>
        <v>3</v>
      </c>
      <c r="ER53" s="16">
        <f>IF(ISNA(VLOOKUP(A53,'Données projet'!$A$191:$I$211,4,0)),0,VLOOKUP(A53,'Données projet'!$A$191:$I$211,4,0))</f>
        <v>42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199</v>
      </c>
      <c r="FC53" s="13">
        <f>VLOOKUP(A53,'Données projet'!$A$217:$I$237,9,0)</f>
        <v>8.1999999999999993</v>
      </c>
      <c r="FD53" s="13">
        <f t="array" ref="FD53">INDEX(FC:FC,MIN(IF(ISNUMBER(FC53:FC249),ROW(FC53:FC249),"")))</f>
        <v>8.1999999999999993</v>
      </c>
      <c r="FE53" s="13">
        <f>IF('Données projet'!$A$218&gt;35,FE52+FD53-FM52,IF(A53&lt;'Données projet'!$A$218,$FB$205^A53,IF(A53='Données projet'!$A$218,'Données projet'!$B$218,FE52+FD53-FM52)))</f>
        <v>199</v>
      </c>
      <c r="FF53" s="18">
        <f>FE53*VLOOKUP('Données projet'!$B$16,Paramètres!$A$1:$I$89,3,0)*VLOOKUP('Données projet'!$B$16,Paramètres!$A$1:$I$89,5,0)</f>
        <v>192.47280000000001</v>
      </c>
      <c r="FG53" s="14">
        <f t="shared" si="47"/>
        <v>48.086241710923829</v>
      </c>
      <c r="FH53" s="22">
        <f t="shared" si="22"/>
        <v>418.97366431319239</v>
      </c>
      <c r="FI53" s="60">
        <f t="shared" si="23"/>
        <v>712.3069976465257</v>
      </c>
      <c r="FJ53" s="60">
        <f ca="1">AVERAGE(OFFSET($FI$3,0,0,'Données projet'!$E$16+1,1))-AVERAGE(OFFSET($H$3,0,0,'Données projet'!$E$16+1,1))</f>
        <v>455.50822833641354</v>
      </c>
      <c r="FK53" s="60">
        <f t="shared" si="48"/>
        <v>261.14722581688039</v>
      </c>
      <c r="FL53" s="16">
        <f>IF(ISNA(VLOOKUP(A53,'Données projet'!$A$217:$I$237,3,0)),0,VLOOKUP(A53,'Données projet'!$A$217:$I$237,3,0))</f>
        <v>3</v>
      </c>
      <c r="FM53" s="16">
        <f>IF(ISNA(VLOOKUP(A53,'Données projet'!$A$217:$I$237,4,0)),0,VLOOKUP(A53,'Données projet'!$A$217:$I$237,4,0))</f>
        <v>42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 t="e">
        <f>N54*VLOOKUP('Données projet'!$B$9,Paramètres!$A$1:$I$89,3,0)*VLOOKUP('Données projet'!$B$9,Paramètres!$A$1:$I$89,5,0)</f>
        <v>#N/A</v>
      </c>
      <c r="P54" s="14" t="e">
        <f t="shared" si="33"/>
        <v>#N/A</v>
      </c>
      <c r="Q54" s="22" t="e">
        <f t="shared" si="53"/>
        <v>#N/A</v>
      </c>
      <c r="R54" s="60" t="e">
        <f t="shared" si="0"/>
        <v>#N/A</v>
      </c>
      <c r="S54" s="60" t="e">
        <f ca="1">AVERAGE(OFFSET($R$3,0,0,'Données projet'!$E$9+1,1))-AVERAGE(OFFSET($H$3,0,0,'Données projet'!$E$9+1,1))</f>
        <v>#N/A</v>
      </c>
      <c r="T54" s="60" t="e">
        <f t="shared" si="34"/>
        <v>#N/A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 t="e">
        <f>EXP(-LN(2)/35)*Z53+(1-EXP(-LN(2)/35))/(LN(2)/35)*V54*W54*VLOOKUP('Données projet'!$B$9,Paramètres!$A$1:$I$89,3,0)*0.475*44/12</f>
        <v>#N/A</v>
      </c>
      <c r="AA54" s="23" t="e">
        <f>EXP(-LN(2)/25)*AA53+(1-EXP(-LN(2)/25))/(LN(2)/25)*Calculateur!V54*Calculateur!X54*VLOOKUP('Données projet'!$B$9,Paramètres!$A$1:$I$89,3,0)*0.475*44/12</f>
        <v>#N/A</v>
      </c>
      <c r="AB54" s="23" t="e">
        <f>EXP(-LN(2)/2)*AB53+(1-EXP(-LN(2)/2))/(LN(2)/2)*V54*Y54*VLOOKUP('Données projet'!$B$9,Paramètres!$A$1:$I$89,3,0)*0.475*44/12</f>
        <v>#N/A</v>
      </c>
      <c r="AC54" s="24" t="e">
        <f t="shared" si="3"/>
        <v>#N/A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10.8</v>
      </c>
      <c r="AI54" s="14">
        <f>IF('Données projet'!$A$62&gt;35,AI53+AH54-AQ53,IF(A54&lt;'Données projet'!$A$62,$AF$205^A54,IF(A54='Données projet'!$A$62,'Données projet'!$B$62,AI53+AH54-AQ53)))</f>
        <v>189.8</v>
      </c>
      <c r="AJ54" s="14">
        <f>AI54*VLOOKUP('Données projet'!$B$10,Paramètres!$A$1:$I$89,3,0)*VLOOKUP('Données projet'!$B$10,Paramètres!$A$1:$I$89,5,0)</f>
        <v>165.80928000000003</v>
      </c>
      <c r="AK54" s="14">
        <f t="shared" si="35"/>
        <v>42.15008260726156</v>
      </c>
      <c r="AL54" s="22">
        <f t="shared" si="4"/>
        <v>362.19588987431393</v>
      </c>
      <c r="AM54" s="60">
        <f t="shared" si="5"/>
        <v>655.52922320764719</v>
      </c>
      <c r="AN54" s="60">
        <f ca="1">AVERAGE(OFFSET($AM$3,0,0,'Données projet'!$E$10+1,1))-AVERAGE(OFFSET($H$3,0,0,'Données projet'!$E$10+1,1))</f>
        <v>325.06345339097095</v>
      </c>
      <c r="AO54" s="60">
        <f t="shared" si="36"/>
        <v>318.90379036810754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0" t="e">
        <f t="shared" si="8"/>
        <v>#N/A</v>
      </c>
      <c r="BI54" s="60" t="e">
        <f ca="1">AVERAGE(OFFSET($BH$3,0,0,'Données projet'!$E$11+1,1))-AVERAGE(OFFSET($H$3,0,0,'Données projet'!$E$11+1,1))</f>
        <v>#N/A</v>
      </c>
      <c r="BJ54" s="60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0" t="e">
        <f t="shared" si="11"/>
        <v>#N/A</v>
      </c>
      <c r="CD54" s="60" t="e">
        <f ca="1">AVERAGE(OFFSET($CC$3,0,0,'Données projet'!$E$12+1,1))-AVERAGE(OFFSET($H$3,0,0,'Données projet'!$E$12+1,1))</f>
        <v>#N/A</v>
      </c>
      <c r="CE54" s="60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144.14400000000001</v>
      </c>
      <c r="CV54" s="14">
        <f t="shared" si="41"/>
        <v>37.244720006976252</v>
      </c>
      <c r="CW54" s="22">
        <f t="shared" si="13"/>
        <v>315.91868734548365</v>
      </c>
      <c r="CX54" s="60">
        <f t="shared" si="14"/>
        <v>609.25202067881696</v>
      </c>
      <c r="CY54" s="60">
        <f ca="1">AVERAGE(OFFSET($CX$3,0,0,'Données projet'!$E$13+1,1))-AVERAGE(OFFSET($H$3,0,0,'Données projet'!$E$13+1,1))</f>
        <v>415.50509041799154</v>
      </c>
      <c r="CZ54" s="60">
        <f t="shared" si="42"/>
        <v>239.93573789765657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165</v>
      </c>
      <c r="DP54" s="18">
        <f>DO54*VLOOKUP('Données projet'!$B$14,Paramètres!$A$1:$I$89,3,0)*VLOOKUP('Données projet'!$B$14,Paramètres!$A$1:$I$89,5,0)</f>
        <v>167.31</v>
      </c>
      <c r="DQ54" s="14">
        <f t="shared" si="43"/>
        <v>42.486994942347515</v>
      </c>
      <c r="DR54" s="22">
        <f t="shared" si="16"/>
        <v>365.39643285792187</v>
      </c>
      <c r="DS54" s="60">
        <f t="shared" si="17"/>
        <v>658.72976619125518</v>
      </c>
      <c r="DT54" s="60">
        <f ca="1">AVERAGE(OFFSET($DS$3,0,0,'Données projet'!$E$14+1,1))-AVERAGE(OFFSET($H$3,0,0,'Données projet'!$E$14+1,1))</f>
        <v>475.47920969424894</v>
      </c>
      <c r="DU54" s="60">
        <f t="shared" si="44"/>
        <v>271.73544012419364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</v>
      </c>
      <c r="EJ54" s="13">
        <f>IF('Données projet'!$A$192&gt;35,EJ53+EI54-ER53,IF(A54&lt;'Données projet'!$A$192,$EG$205^A54,IF(A54='Données projet'!$A$192,'Données projet'!$B$192,EJ53+EI54-ER53)))</f>
        <v>165</v>
      </c>
      <c r="EK54" s="18">
        <f>EJ54*VLOOKUP('Données projet'!$B$15,Paramètres!$A$1:$I$89,3,0)*VLOOKUP('Données projet'!$B$15,Paramètres!$A$1:$I$89,5,0)</f>
        <v>149.29199999999997</v>
      </c>
      <c r="EL54" s="14">
        <f t="shared" si="45"/>
        <v>38.417645803815411</v>
      </c>
      <c r="EM54" s="22">
        <f t="shared" si="19"/>
        <v>326.9276331083118</v>
      </c>
      <c r="EN54" s="60">
        <f t="shared" si="20"/>
        <v>620.26096644164511</v>
      </c>
      <c r="EO54" s="60">
        <f ca="1">AVERAGE(OFFSET($EN$3,0,0,'Données projet'!$E$15+1,1))-AVERAGE(OFFSET($H$3,0,0,'Données projet'!$E$15+1,1))</f>
        <v>428.8489304403459</v>
      </c>
      <c r="EP54" s="60">
        <f t="shared" si="46"/>
        <v>247.01165577562966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8</v>
      </c>
      <c r="FE54" s="13">
        <f>IF('Données projet'!$A$218&gt;35,FE53+FD54-FM53,IF(A54&lt;'Données projet'!$A$218,$FB$205^A54,IF(A54='Données projet'!$A$218,'Données projet'!$B$218,FE53+FD54-FM53)))</f>
        <v>165</v>
      </c>
      <c r="FF54" s="18">
        <f>FE54*VLOOKUP('Données projet'!$B$16,Paramètres!$A$1:$I$89,3,0)*VLOOKUP('Données projet'!$B$16,Paramètres!$A$1:$I$89,5,0)</f>
        <v>159.58799999999999</v>
      </c>
      <c r="FG54" s="14">
        <f t="shared" si="47"/>
        <v>40.74957371668588</v>
      </c>
      <c r="FH54" s="22">
        <f t="shared" si="22"/>
        <v>348.92127422322784</v>
      </c>
      <c r="FI54" s="60">
        <f t="shared" si="23"/>
        <v>642.25460755656115</v>
      </c>
      <c r="FJ54" s="60">
        <f ca="1">AVERAGE(OFFSET($FI$3,0,0,'Données projet'!$E$16+1,1))-AVERAGE(OFFSET($H$3,0,0,'Données projet'!$E$16+1,1))</f>
        <v>455.50822833641354</v>
      </c>
      <c r="FK54" s="60">
        <f t="shared" si="48"/>
        <v>261.14722581688039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 t="e">
        <f>N55*VLOOKUP('Données projet'!$B$9,Paramètres!$A$1:$I$89,3,0)*VLOOKUP('Données projet'!$B$9,Paramètres!$A$1:$I$89,5,0)</f>
        <v>#N/A</v>
      </c>
      <c r="P55" s="14" t="e">
        <f t="shared" si="33"/>
        <v>#N/A</v>
      </c>
      <c r="Q55" s="22" t="e">
        <f t="shared" si="53"/>
        <v>#N/A</v>
      </c>
      <c r="R55" s="60" t="e">
        <f t="shared" si="0"/>
        <v>#N/A</v>
      </c>
      <c r="S55" s="60" t="e">
        <f ca="1">AVERAGE(OFFSET($R$3,0,0,'Données projet'!$E$9+1,1))-AVERAGE(OFFSET($H$3,0,0,'Données projet'!$E$9+1,1))</f>
        <v>#N/A</v>
      </c>
      <c r="T55" s="60" t="e">
        <f t="shared" si="34"/>
        <v>#N/A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 t="e">
        <f>EXP(-LN(2)/35)*Z54+(1-EXP(-LN(2)/35))/(LN(2)/35)*V55*W55*VLOOKUP('Données projet'!$B$9,Paramètres!$A$1:$I$89,3,0)*0.475*44/12</f>
        <v>#N/A</v>
      </c>
      <c r="AA55" s="23" t="e">
        <f>EXP(-LN(2)/25)*AA54+(1-EXP(-LN(2)/25))/(LN(2)/25)*Calculateur!V55*Calculateur!X55*VLOOKUP('Données projet'!$B$9,Paramètres!$A$1:$I$89,3,0)*0.475*44/12</f>
        <v>#N/A</v>
      </c>
      <c r="AB55" s="23" t="e">
        <f>EXP(-LN(2)/2)*AB54+(1-EXP(-LN(2)/2))/(LN(2)/2)*V55*Y55*VLOOKUP('Données projet'!$B$9,Paramètres!$A$1:$I$89,3,0)*0.475*44/12</f>
        <v>#N/A</v>
      </c>
      <c r="AC55" s="24" t="e">
        <f t="shared" si="3"/>
        <v>#N/A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10.8</v>
      </c>
      <c r="AI55" s="14">
        <f>IF('Données projet'!$A$62&gt;35,AI54+AH55-AQ54,IF(A55&lt;'Données projet'!$A$62,$AF$205^A55,IF(A55='Données projet'!$A$62,'Données projet'!$B$62,AI54+AH55-AQ54)))</f>
        <v>200.60000000000002</v>
      </c>
      <c r="AJ55" s="14">
        <f>AI55*VLOOKUP('Données projet'!$B$10,Paramètres!$A$1:$I$89,3,0)*VLOOKUP('Données projet'!$B$10,Paramètres!$A$1:$I$89,5,0)</f>
        <v>175.24416000000005</v>
      </c>
      <c r="AK55" s="14">
        <f t="shared" si="35"/>
        <v>44.26245611992708</v>
      </c>
      <c r="AL55" s="22">
        <f t="shared" si="4"/>
        <v>382.30735640887298</v>
      </c>
      <c r="AM55" s="60">
        <f t="shared" si="5"/>
        <v>675.64068974220629</v>
      </c>
      <c r="AN55" s="60">
        <f ca="1">AVERAGE(OFFSET($AM$3,0,0,'Données projet'!$E$10+1,1))-AVERAGE(OFFSET($H$3,0,0,'Données projet'!$E$10+1,1))</f>
        <v>325.06345339097095</v>
      </c>
      <c r="AO55" s="60">
        <f t="shared" si="36"/>
        <v>318.90379036810754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0" t="e">
        <f t="shared" si="8"/>
        <v>#N/A</v>
      </c>
      <c r="BI55" s="60" t="e">
        <f ca="1">AVERAGE(OFFSET($BH$3,0,0,'Données projet'!$E$11+1,1))-AVERAGE(OFFSET($H$3,0,0,'Données projet'!$E$11+1,1))</f>
        <v>#N/A</v>
      </c>
      <c r="BJ55" s="60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0" t="e">
        <f t="shared" si="11"/>
        <v>#N/A</v>
      </c>
      <c r="CD55" s="60" t="e">
        <f ca="1">AVERAGE(OFFSET($CC$3,0,0,'Données projet'!$E$12+1,1))-AVERAGE(OFFSET($H$3,0,0,'Données projet'!$E$12+1,1))</f>
        <v>#N/A</v>
      </c>
      <c r="CE55" s="60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151.13280000000003</v>
      </c>
      <c r="CV55" s="14">
        <f t="shared" si="41"/>
        <v>38.835905653934425</v>
      </c>
      <c r="CW55" s="22">
        <f t="shared" si="13"/>
        <v>330.86216234726913</v>
      </c>
      <c r="CX55" s="60">
        <f t="shared" si="14"/>
        <v>624.19549568060245</v>
      </c>
      <c r="CY55" s="60">
        <f ca="1">AVERAGE(OFFSET($CX$3,0,0,'Données projet'!$E$13+1,1))-AVERAGE(OFFSET($H$3,0,0,'Données projet'!$E$13+1,1))</f>
        <v>415.50509041799154</v>
      </c>
      <c r="CZ55" s="60">
        <f t="shared" si="42"/>
        <v>239.93573789765657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173</v>
      </c>
      <c r="DP55" s="18">
        <f>DO55*VLOOKUP('Données projet'!$B$14,Paramètres!$A$1:$I$89,3,0)*VLOOKUP('Données projet'!$B$14,Paramètres!$A$1:$I$89,5,0)</f>
        <v>175.422</v>
      </c>
      <c r="DQ55" s="14">
        <f t="shared" si="43"/>
        <v>44.302143412304737</v>
      </c>
      <c r="DR55" s="22">
        <f t="shared" si="16"/>
        <v>382.68621644309741</v>
      </c>
      <c r="DS55" s="60">
        <f t="shared" si="17"/>
        <v>676.01954977643072</v>
      </c>
      <c r="DT55" s="60">
        <f ca="1">AVERAGE(OFFSET($DS$3,0,0,'Données projet'!$E$14+1,1))-AVERAGE(OFFSET($H$3,0,0,'Données projet'!$E$14+1,1))</f>
        <v>475.47920969424894</v>
      </c>
      <c r="DU55" s="60">
        <f t="shared" si="44"/>
        <v>271.73544012419364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</v>
      </c>
      <c r="EJ55" s="13">
        <f>IF('Données projet'!$A$192&gt;35,EJ54+EI55-ER54,IF(A55&lt;'Données projet'!$A$192,$EG$205^A55,IF(A55='Données projet'!$A$192,'Données projet'!$B$192,EJ54+EI55-ER54)))</f>
        <v>173</v>
      </c>
      <c r="EK55" s="18">
        <f>EJ55*VLOOKUP('Données projet'!$B$15,Paramètres!$A$1:$I$89,3,0)*VLOOKUP('Données projet'!$B$15,Paramètres!$A$1:$I$89,5,0)</f>
        <v>156.53039999999999</v>
      </c>
      <c r="EL55" s="14">
        <f t="shared" si="45"/>
        <v>40.058941713182037</v>
      </c>
      <c r="EM55" s="22">
        <f t="shared" si="19"/>
        <v>342.393103483792</v>
      </c>
      <c r="EN55" s="60">
        <f t="shared" si="20"/>
        <v>635.72643681712532</v>
      </c>
      <c r="EO55" s="60">
        <f ca="1">AVERAGE(OFFSET($EN$3,0,0,'Données projet'!$E$15+1,1))-AVERAGE(OFFSET($H$3,0,0,'Données projet'!$E$15+1,1))</f>
        <v>428.8489304403459</v>
      </c>
      <c r="EP55" s="60">
        <f t="shared" si="46"/>
        <v>247.01165577562966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8</v>
      </c>
      <c r="FE55" s="13">
        <f>IF('Données projet'!$A$218&gt;35,FE54+FD55-FM54,IF(A55&lt;'Données projet'!$A$218,$FB$205^A55,IF(A55='Données projet'!$A$218,'Données projet'!$B$218,FE54+FD55-FM54)))</f>
        <v>173</v>
      </c>
      <c r="FF55" s="18">
        <f>FE55*VLOOKUP('Données projet'!$B$16,Paramètres!$A$1:$I$89,3,0)*VLOOKUP('Données projet'!$B$16,Paramètres!$A$1:$I$89,5,0)</f>
        <v>167.32560000000001</v>
      </c>
      <c r="FG55" s="14">
        <f t="shared" si="47"/>
        <v>42.490495297127609</v>
      </c>
      <c r="FH55" s="22">
        <f t="shared" si="22"/>
        <v>365.42969930916388</v>
      </c>
      <c r="FI55" s="60">
        <f t="shared" si="23"/>
        <v>658.76303264249714</v>
      </c>
      <c r="FJ55" s="60">
        <f ca="1">AVERAGE(OFFSET($FI$3,0,0,'Données projet'!$E$16+1,1))-AVERAGE(OFFSET($H$3,0,0,'Données projet'!$E$16+1,1))</f>
        <v>455.50822833641354</v>
      </c>
      <c r="FK55" s="60">
        <f t="shared" si="48"/>
        <v>261.14722581688039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 t="e">
        <f>N56*VLOOKUP('Données projet'!$B$9,Paramètres!$A$1:$I$89,3,0)*VLOOKUP('Données projet'!$B$9,Paramètres!$A$1:$I$89,5,0)</f>
        <v>#N/A</v>
      </c>
      <c r="P56" s="14" t="e">
        <f t="shared" si="33"/>
        <v>#N/A</v>
      </c>
      <c r="Q56" s="22" t="e">
        <f t="shared" si="53"/>
        <v>#N/A</v>
      </c>
      <c r="R56" s="60" t="e">
        <f t="shared" si="0"/>
        <v>#N/A</v>
      </c>
      <c r="S56" s="60" t="e">
        <f ca="1">AVERAGE(OFFSET($R$3,0,0,'Données projet'!$E$9+1,1))-AVERAGE(OFFSET($H$3,0,0,'Données projet'!$E$9+1,1))</f>
        <v>#N/A</v>
      </c>
      <c r="T56" s="60" t="e">
        <f t="shared" si="34"/>
        <v>#N/A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 t="e">
        <f>EXP(-LN(2)/35)*Z55+(1-EXP(-LN(2)/35))/(LN(2)/35)*V56*W56*VLOOKUP('Données projet'!$B$9,Paramètres!$A$1:$I$89,3,0)*0.475*44/12</f>
        <v>#N/A</v>
      </c>
      <c r="AA56" s="23" t="e">
        <f>EXP(-LN(2)/25)*AA55+(1-EXP(-LN(2)/25))/(LN(2)/25)*Calculateur!V56*Calculateur!X56*VLOOKUP('Données projet'!$B$9,Paramètres!$A$1:$I$89,3,0)*0.475*44/12</f>
        <v>#N/A</v>
      </c>
      <c r="AB56" s="23" t="e">
        <f>EXP(-LN(2)/2)*AB55+(1-EXP(-LN(2)/2))/(LN(2)/2)*V56*Y56*VLOOKUP('Données projet'!$B$9,Paramètres!$A$1:$I$89,3,0)*0.475*44/12</f>
        <v>#N/A</v>
      </c>
      <c r="AC56" s="24" t="e">
        <f t="shared" si="3"/>
        <v>#N/A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10.8</v>
      </c>
      <c r="AI56" s="14">
        <f>IF('Données projet'!$A$62&gt;35,AI55+AH56-AQ55,IF(A56&lt;'Données projet'!$A$62,$AF$205^A56,IF(A56='Données projet'!$A$62,'Données projet'!$B$62,AI55+AH56-AQ55)))</f>
        <v>211.40000000000003</v>
      </c>
      <c r="AJ56" s="14">
        <f>AI56*VLOOKUP('Données projet'!$B$10,Paramètres!$A$1:$I$89,3,0)*VLOOKUP('Données projet'!$B$10,Paramètres!$A$1:$I$89,5,0)</f>
        <v>184.67904000000004</v>
      </c>
      <c r="AK56" s="14">
        <f t="shared" si="35"/>
        <v>46.361626470742223</v>
      </c>
      <c r="AL56" s="22">
        <f t="shared" si="4"/>
        <v>402.39582743654279</v>
      </c>
      <c r="AM56" s="60">
        <f t="shared" si="5"/>
        <v>695.7291607698761</v>
      </c>
      <c r="AN56" s="60">
        <f ca="1">AVERAGE(OFFSET($AM$3,0,0,'Données projet'!$E$10+1,1))-AVERAGE(OFFSET($H$3,0,0,'Données projet'!$E$10+1,1))</f>
        <v>325.06345339097095</v>
      </c>
      <c r="AO56" s="60">
        <f t="shared" si="36"/>
        <v>318.90379036810754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0" t="e">
        <f t="shared" si="8"/>
        <v>#N/A</v>
      </c>
      <c r="BI56" s="60" t="e">
        <f ca="1">AVERAGE(OFFSET($BH$3,0,0,'Données projet'!$E$11+1,1))-AVERAGE(OFFSET($H$3,0,0,'Données projet'!$E$11+1,1))</f>
        <v>#N/A</v>
      </c>
      <c r="BJ56" s="60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0" t="e">
        <f t="shared" si="11"/>
        <v>#N/A</v>
      </c>
      <c r="CD56" s="60" t="e">
        <f ca="1">AVERAGE(OFFSET($CC$3,0,0,'Données projet'!$E$12+1,1))-AVERAGE(OFFSET($H$3,0,0,'Données projet'!$E$12+1,1))</f>
        <v>#N/A</v>
      </c>
      <c r="CE56" s="60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158.12160000000003</v>
      </c>
      <c r="CV56" s="14">
        <f t="shared" si="41"/>
        <v>40.418546284954211</v>
      </c>
      <c r="CW56" s="22">
        <f t="shared" si="13"/>
        <v>345.79075477962857</v>
      </c>
      <c r="CX56" s="60">
        <f t="shared" si="14"/>
        <v>639.12408811296189</v>
      </c>
      <c r="CY56" s="60">
        <f ca="1">AVERAGE(OFFSET($CX$3,0,0,'Données projet'!$E$13+1,1))-AVERAGE(OFFSET($H$3,0,0,'Données projet'!$E$13+1,1))</f>
        <v>415.50509041799154</v>
      </c>
      <c r="CZ56" s="60">
        <f t="shared" si="42"/>
        <v>239.93573789765657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181</v>
      </c>
      <c r="DP56" s="18">
        <f>DO56*VLOOKUP('Données projet'!$B$14,Paramètres!$A$1:$I$89,3,0)*VLOOKUP('Données projet'!$B$14,Paramètres!$A$1:$I$89,5,0)</f>
        <v>183.53400000000002</v>
      </c>
      <c r="DQ56" s="14">
        <f t="shared" si="43"/>
        <v>46.107544136839593</v>
      </c>
      <c r="DR56" s="22">
        <f t="shared" si="16"/>
        <v>399.95902270499568</v>
      </c>
      <c r="DS56" s="60">
        <f t="shared" si="17"/>
        <v>693.29235603832899</v>
      </c>
      <c r="DT56" s="60">
        <f ca="1">AVERAGE(OFFSET($DS$3,0,0,'Données projet'!$E$14+1,1))-AVERAGE(OFFSET($H$3,0,0,'Données projet'!$E$14+1,1))</f>
        <v>475.47920969424894</v>
      </c>
      <c r="DU56" s="60">
        <f t="shared" si="44"/>
        <v>271.73544012419364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</v>
      </c>
      <c r="EJ56" s="13">
        <f>IF('Données projet'!$A$192&gt;35,EJ55+EI56-ER55,IF(A56&lt;'Données projet'!$A$192,$EG$205^A56,IF(A56='Données projet'!$A$192,'Données projet'!$B$192,EJ55+EI56-ER55)))</f>
        <v>181</v>
      </c>
      <c r="EK56" s="18">
        <f>EJ56*VLOOKUP('Données projet'!$B$15,Paramètres!$A$1:$I$89,3,0)*VLOOKUP('Données projet'!$B$15,Paramètres!$A$1:$I$89,5,0)</f>
        <v>163.7688</v>
      </c>
      <c r="EL56" s="14">
        <f t="shared" si="45"/>
        <v>41.691423503509803</v>
      </c>
      <c r="EM56" s="22">
        <f t="shared" si="19"/>
        <v>357.84322260194625</v>
      </c>
      <c r="EN56" s="60">
        <f t="shared" si="20"/>
        <v>651.17655593527957</v>
      </c>
      <c r="EO56" s="60">
        <f ca="1">AVERAGE(OFFSET($EN$3,0,0,'Données projet'!$E$15+1,1))-AVERAGE(OFFSET($H$3,0,0,'Données projet'!$E$15+1,1))</f>
        <v>428.8489304403459</v>
      </c>
      <c r="EP56" s="60">
        <f t="shared" si="46"/>
        <v>247.01165577562966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8</v>
      </c>
      <c r="FE56" s="13">
        <f>IF('Données projet'!$A$218&gt;35,FE55+FD56-FM55,IF(A56&lt;'Données projet'!$A$218,$FB$205^A56,IF(A56='Données projet'!$A$218,'Données projet'!$B$218,FE55+FD56-FM55)))</f>
        <v>181</v>
      </c>
      <c r="FF56" s="18">
        <f>FE56*VLOOKUP('Données projet'!$B$16,Paramètres!$A$1:$I$89,3,0)*VLOOKUP('Données projet'!$B$16,Paramètres!$A$1:$I$89,5,0)</f>
        <v>175.06319999999999</v>
      </c>
      <c r="FG56" s="14">
        <f t="shared" si="47"/>
        <v>44.22206774682472</v>
      </c>
      <c r="FH56" s="22">
        <f t="shared" si="22"/>
        <v>381.9218413257197</v>
      </c>
      <c r="FI56" s="60">
        <f t="shared" si="23"/>
        <v>675.25517465905295</v>
      </c>
      <c r="FJ56" s="60">
        <f ca="1">AVERAGE(OFFSET($FI$3,0,0,'Données projet'!$E$16+1,1))-AVERAGE(OFFSET($H$3,0,0,'Données projet'!$E$16+1,1))</f>
        <v>455.50822833641354</v>
      </c>
      <c r="FK56" s="60">
        <f t="shared" si="48"/>
        <v>261.14722581688039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 t="e">
        <f>N57*VLOOKUP('Données projet'!$B$9,Paramètres!$A$1:$I$89,3,0)*VLOOKUP('Données projet'!$B$9,Paramètres!$A$1:$I$89,5,0)</f>
        <v>#N/A</v>
      </c>
      <c r="P57" s="14" t="e">
        <f t="shared" si="33"/>
        <v>#N/A</v>
      </c>
      <c r="Q57" s="22" t="e">
        <f t="shared" si="53"/>
        <v>#N/A</v>
      </c>
      <c r="R57" s="60" t="e">
        <f t="shared" si="0"/>
        <v>#N/A</v>
      </c>
      <c r="S57" s="60" t="e">
        <f ca="1">AVERAGE(OFFSET($R$3,0,0,'Données projet'!$E$9+1,1))-AVERAGE(OFFSET($H$3,0,0,'Données projet'!$E$9+1,1))</f>
        <v>#N/A</v>
      </c>
      <c r="T57" s="60" t="e">
        <f t="shared" si="34"/>
        <v>#N/A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 t="e">
        <f>EXP(-LN(2)/35)*Z56+(1-EXP(-LN(2)/35))/(LN(2)/35)*V57*W57*VLOOKUP('Données projet'!$B$9,Paramètres!$A$1:$I$89,3,0)*0.475*44/12</f>
        <v>#N/A</v>
      </c>
      <c r="AA57" s="23" t="e">
        <f>EXP(-LN(2)/25)*AA56+(1-EXP(-LN(2)/25))/(LN(2)/25)*Calculateur!V57*Calculateur!X57*VLOOKUP('Données projet'!$B$9,Paramètres!$A$1:$I$89,3,0)*0.475*44/12</f>
        <v>#N/A</v>
      </c>
      <c r="AB57" s="23" t="e">
        <f>EXP(-LN(2)/2)*AB56+(1-EXP(-LN(2)/2))/(LN(2)/2)*V57*Y57*VLOOKUP('Données projet'!$B$9,Paramètres!$A$1:$I$89,3,0)*0.475*44/12</f>
        <v>#N/A</v>
      </c>
      <c r="AC57" s="24" t="e">
        <f t="shared" si="3"/>
        <v>#N/A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10.8</v>
      </c>
      <c r="AI57" s="14">
        <f>IF('Données projet'!$A$62&gt;35,AI56+AH57-AQ56,IF(A57&lt;'Données projet'!$A$62,$AF$205^A57,IF(A57='Données projet'!$A$62,'Données projet'!$B$62,AI56+AH57-AQ56)))</f>
        <v>222.20000000000005</v>
      </c>
      <c r="AJ57" s="14">
        <f>AI57*VLOOKUP('Données projet'!$B$10,Paramètres!$A$1:$I$89,3,0)*VLOOKUP('Données projet'!$B$10,Paramètres!$A$1:$I$89,5,0)</f>
        <v>194.11392000000006</v>
      </c>
      <c r="AK57" s="14">
        <f t="shared" si="35"/>
        <v>48.448345132424009</v>
      </c>
      <c r="AL57" s="22">
        <f t="shared" si="4"/>
        <v>422.46261177230525</v>
      </c>
      <c r="AM57" s="60">
        <f t="shared" si="5"/>
        <v>715.79594510563857</v>
      </c>
      <c r="AN57" s="60">
        <f ca="1">AVERAGE(OFFSET($AM$3,0,0,'Données projet'!$E$10+1,1))-AVERAGE(OFFSET($H$3,0,0,'Données projet'!$E$10+1,1))</f>
        <v>325.06345339097095</v>
      </c>
      <c r="AO57" s="60">
        <f t="shared" si="36"/>
        <v>318.90379036810754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0" t="e">
        <f t="shared" si="8"/>
        <v>#N/A</v>
      </c>
      <c r="BI57" s="60" t="e">
        <f ca="1">AVERAGE(OFFSET($BH$3,0,0,'Données projet'!$E$11+1,1))-AVERAGE(OFFSET($H$3,0,0,'Données projet'!$E$11+1,1))</f>
        <v>#N/A</v>
      </c>
      <c r="BJ57" s="60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0" t="e">
        <f t="shared" si="11"/>
        <v>#N/A</v>
      </c>
      <c r="CD57" s="60" t="e">
        <f ca="1">AVERAGE(OFFSET($CC$3,0,0,'Données projet'!$E$12+1,1))-AVERAGE(OFFSET($H$3,0,0,'Données projet'!$E$12+1,1))</f>
        <v>#N/A</v>
      </c>
      <c r="CE57" s="60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165.1104</v>
      </c>
      <c r="CV57" s="14">
        <f t="shared" si="41"/>
        <v>41.993062739333446</v>
      </c>
      <c r="CW57" s="22">
        <f t="shared" si="13"/>
        <v>360.70519760433905</v>
      </c>
      <c r="CX57" s="60">
        <f t="shared" si="14"/>
        <v>654.03853093767236</v>
      </c>
      <c r="CY57" s="60">
        <f ca="1">AVERAGE(OFFSET($CX$3,0,0,'Données projet'!$E$13+1,1))-AVERAGE(OFFSET($H$3,0,0,'Données projet'!$E$13+1,1))</f>
        <v>415.50509041799154</v>
      </c>
      <c r="CZ57" s="60">
        <f t="shared" si="42"/>
        <v>239.93573789765657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189</v>
      </c>
      <c r="DP57" s="18">
        <f>DO57*VLOOKUP('Données projet'!$B$14,Paramètres!$A$1:$I$89,3,0)*VLOOKUP('Données projet'!$B$14,Paramètres!$A$1:$I$89,5,0)</f>
        <v>191.64600000000002</v>
      </c>
      <c r="DQ57" s="14">
        <f t="shared" si="43"/>
        <v>47.903677189291635</v>
      </c>
      <c r="DR57" s="22">
        <f t="shared" si="16"/>
        <v>417.21568777134962</v>
      </c>
      <c r="DS57" s="60">
        <f t="shared" si="17"/>
        <v>710.54902110468288</v>
      </c>
      <c r="DT57" s="60">
        <f ca="1">AVERAGE(OFFSET($DS$3,0,0,'Données projet'!$E$14+1,1))-AVERAGE(OFFSET($H$3,0,0,'Données projet'!$E$14+1,1))</f>
        <v>475.47920969424894</v>
      </c>
      <c r="DU57" s="60">
        <f t="shared" si="44"/>
        <v>271.73544012419364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</v>
      </c>
      <c r="EJ57" s="13">
        <f>IF('Données projet'!$A$192&gt;35,EJ56+EI57-ER56,IF(A57&lt;'Données projet'!$A$192,$EG$205^A57,IF(A57='Données projet'!$A$192,'Données projet'!$B$192,EJ56+EI57-ER56)))</f>
        <v>189</v>
      </c>
      <c r="EK57" s="18">
        <f>EJ57*VLOOKUP('Données projet'!$B$15,Paramètres!$A$1:$I$89,3,0)*VLOOKUP('Données projet'!$B$15,Paramètres!$A$1:$I$89,5,0)</f>
        <v>171.00719999999998</v>
      </c>
      <c r="EL57" s="14">
        <f t="shared" si="45"/>
        <v>43.315525267338089</v>
      </c>
      <c r="EM57" s="22">
        <f t="shared" si="19"/>
        <v>373.27874650728046</v>
      </c>
      <c r="EN57" s="60">
        <f t="shared" si="20"/>
        <v>666.61207984061377</v>
      </c>
      <c r="EO57" s="60">
        <f ca="1">AVERAGE(OFFSET($EN$3,0,0,'Données projet'!$E$15+1,1))-AVERAGE(OFFSET($H$3,0,0,'Données projet'!$E$15+1,1))</f>
        <v>428.8489304403459</v>
      </c>
      <c r="EP57" s="60">
        <f t="shared" si="46"/>
        <v>247.01165577562966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8</v>
      </c>
      <c r="FE57" s="13">
        <f>IF('Données projet'!$A$218&gt;35,FE56+FD57-FM56,IF(A57&lt;'Données projet'!$A$218,$FB$205^A57,IF(A57='Données projet'!$A$218,'Données projet'!$B$218,FE56+FD57-FM56)))</f>
        <v>189</v>
      </c>
      <c r="FF57" s="18">
        <f>FE57*VLOOKUP('Données projet'!$B$16,Paramètres!$A$1:$I$89,3,0)*VLOOKUP('Données projet'!$B$16,Paramètres!$A$1:$I$89,5,0)</f>
        <v>182.80079999999998</v>
      </c>
      <c r="FG57" s="14">
        <f t="shared" si="47"/>
        <v>45.944751507471658</v>
      </c>
      <c r="FH57" s="22">
        <f t="shared" si="22"/>
        <v>398.39850220884642</v>
      </c>
      <c r="FI57" s="60">
        <f t="shared" si="23"/>
        <v>691.73183554217974</v>
      </c>
      <c r="FJ57" s="60">
        <f ca="1">AVERAGE(OFFSET($FI$3,0,0,'Données projet'!$E$16+1,1))-AVERAGE(OFFSET($H$3,0,0,'Données projet'!$E$16+1,1))</f>
        <v>455.50822833641354</v>
      </c>
      <c r="FK57" s="60">
        <f t="shared" si="48"/>
        <v>261.14722581688039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 t="e">
        <f>N58*VLOOKUP('Données projet'!$B$9,Paramètres!$A$1:$I$89,3,0)*VLOOKUP('Données projet'!$B$9,Paramètres!$A$1:$I$89,5,0)</f>
        <v>#N/A</v>
      </c>
      <c r="P58" s="14" t="e">
        <f t="shared" si="33"/>
        <v>#N/A</v>
      </c>
      <c r="Q58" s="22" t="e">
        <f t="shared" si="53"/>
        <v>#N/A</v>
      </c>
      <c r="R58" s="60" t="e">
        <f t="shared" si="0"/>
        <v>#N/A</v>
      </c>
      <c r="S58" s="60" t="e">
        <f ca="1">AVERAGE(OFFSET($R$3,0,0,'Données projet'!$E$9+1,1))-AVERAGE(OFFSET($H$3,0,0,'Données projet'!$E$9+1,1))</f>
        <v>#N/A</v>
      </c>
      <c r="T58" s="60" t="e">
        <f t="shared" si="34"/>
        <v>#N/A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 t="e">
        <f>EXP(-LN(2)/35)*Z57+(1-EXP(-LN(2)/35))/(LN(2)/35)*V58*W58*VLOOKUP('Données projet'!$B$9,Paramètres!$A$1:$I$89,3,0)*0.475*44/12</f>
        <v>#N/A</v>
      </c>
      <c r="AA58" s="23" t="e">
        <f>EXP(-LN(2)/25)*AA57+(1-EXP(-LN(2)/25))/(LN(2)/25)*Calculateur!V58*Calculateur!X58*VLOOKUP('Données projet'!$B$9,Paramètres!$A$1:$I$89,3,0)*0.475*44/12</f>
        <v>#N/A</v>
      </c>
      <c r="AB58" s="23" t="e">
        <f>EXP(-LN(2)/2)*AB57+(1-EXP(-LN(2)/2))/(LN(2)/2)*V58*Y58*VLOOKUP('Données projet'!$B$9,Paramètres!$A$1:$I$89,3,0)*0.475*44/12</f>
        <v>#N/A</v>
      </c>
      <c r="AC58" s="24" t="e">
        <f t="shared" si="3"/>
        <v>#N/A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233</v>
      </c>
      <c r="AG58" s="13">
        <f>VLOOKUP(A58,'Données projet'!$A$61:$I$81,9,0)</f>
        <v>10.8</v>
      </c>
      <c r="AH58" s="13">
        <f t="array" ref="AH58">INDEX(AG:AG,MIN(IF(ISNUMBER(AG58:AG254),ROW(AG58:AG254),"")))</f>
        <v>10.8</v>
      </c>
      <c r="AI58" s="14">
        <f>IF('Données projet'!$A$62&gt;35,AI57+AH58-AQ57,IF(A58&lt;'Données projet'!$A$62,$AF$205^A58,IF(A58='Données projet'!$A$62,'Données projet'!$B$62,AI57+AH58-AQ57)))</f>
        <v>233.00000000000006</v>
      </c>
      <c r="AJ58" s="14">
        <f>AI58*VLOOKUP('Données projet'!$B$10,Paramètres!$A$1:$I$89,3,0)*VLOOKUP('Données projet'!$B$10,Paramètres!$A$1:$I$89,5,0)</f>
        <v>203.54880000000009</v>
      </c>
      <c r="AK58" s="14">
        <f t="shared" si="35"/>
        <v>50.523286400023487</v>
      </c>
      <c r="AL58" s="22">
        <f t="shared" si="4"/>
        <v>442.50888381337444</v>
      </c>
      <c r="AM58" s="60">
        <f t="shared" si="5"/>
        <v>735.84221714670775</v>
      </c>
      <c r="AN58" s="60">
        <f ca="1">AVERAGE(OFFSET($AM$3,0,0,'Données projet'!$E$10+1,1))-AVERAGE(OFFSET($H$3,0,0,'Données projet'!$E$10+1,1))</f>
        <v>325.06345339097095</v>
      </c>
      <c r="AO58" s="60">
        <f t="shared" si="36"/>
        <v>318.90379036810754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0" t="e">
        <f t="shared" si="8"/>
        <v>#N/A</v>
      </c>
      <c r="BI58" s="60" t="e">
        <f ca="1">AVERAGE(OFFSET($BH$3,0,0,'Données projet'!$E$11+1,1))-AVERAGE(OFFSET($H$3,0,0,'Données projet'!$E$11+1,1))</f>
        <v>#N/A</v>
      </c>
      <c r="BJ58" s="60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0" t="e">
        <f t="shared" si="11"/>
        <v>#N/A</v>
      </c>
      <c r="CD58" s="60" t="e">
        <f ca="1">AVERAGE(OFFSET($CC$3,0,0,'Données projet'!$E$12+1,1))-AVERAGE(OFFSET($H$3,0,0,'Données projet'!$E$12+1,1))</f>
        <v>#N/A</v>
      </c>
      <c r="CE58" s="60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172.09920000000002</v>
      </c>
      <c r="CV58" s="14">
        <f t="shared" si="41"/>
        <v>43.559838214506989</v>
      </c>
      <c r="CW58" s="22">
        <f t="shared" si="13"/>
        <v>375.60615822359972</v>
      </c>
      <c r="CX58" s="60">
        <f t="shared" si="14"/>
        <v>668.93949155693304</v>
      </c>
      <c r="CY58" s="60">
        <f ca="1">AVERAGE(OFFSET($CX$3,0,0,'Données projet'!$E$13+1,1))-AVERAGE(OFFSET($H$3,0,0,'Données projet'!$E$13+1,1))</f>
        <v>415.50509041799154</v>
      </c>
      <c r="CZ58" s="60">
        <f t="shared" si="42"/>
        <v>239.93573789765657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197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197</v>
      </c>
      <c r="DP58" s="18">
        <f>DO58*VLOOKUP('Données projet'!$B$14,Paramètres!$A$1:$I$89,3,0)*VLOOKUP('Données projet'!$B$14,Paramètres!$A$1:$I$89,5,0)</f>
        <v>199.75800000000004</v>
      </c>
      <c r="DQ58" s="14">
        <f t="shared" si="43"/>
        <v>49.690979702964015</v>
      </c>
      <c r="DR58" s="22">
        <f t="shared" si="16"/>
        <v>434.45697298266236</v>
      </c>
      <c r="DS58" s="60">
        <f t="shared" si="17"/>
        <v>727.79030631599562</v>
      </c>
      <c r="DT58" s="60">
        <f ca="1">AVERAGE(OFFSET($DS$3,0,0,'Données projet'!$E$14+1,1))-AVERAGE(OFFSET($H$3,0,0,'Données projet'!$E$14+1,1))</f>
        <v>475.47920969424894</v>
      </c>
      <c r="DU58" s="60">
        <f t="shared" si="44"/>
        <v>271.73544012419364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197</v>
      </c>
      <c r="EH58" s="13">
        <f>VLOOKUP(A58,'Données projet'!$A$191:$I$211,9,0)</f>
        <v>8</v>
      </c>
      <c r="EI58" s="13">
        <f t="array" ref="EI58">INDEX(EH:EH,MIN(IF(ISNUMBER(EH58:EH254),ROW(EH58:EH254),"")))</f>
        <v>8</v>
      </c>
      <c r="EJ58" s="13">
        <f>IF('Données projet'!$A$192&gt;35,EJ57+EI58-ER57,IF(A58&lt;'Données projet'!$A$192,$EG$205^A58,IF(A58='Données projet'!$A$192,'Données projet'!$B$192,EJ57+EI58-ER57)))</f>
        <v>197</v>
      </c>
      <c r="EK58" s="18">
        <f>EJ58*VLOOKUP('Données projet'!$B$15,Paramètres!$A$1:$I$89,3,0)*VLOOKUP('Données projet'!$B$15,Paramètres!$A$1:$I$89,5,0)</f>
        <v>178.2456</v>
      </c>
      <c r="EL58" s="14">
        <f t="shared" si="45"/>
        <v>44.931642269910427</v>
      </c>
      <c r="EM58" s="22">
        <f t="shared" si="19"/>
        <v>388.70036362009404</v>
      </c>
      <c r="EN58" s="60">
        <f t="shared" si="20"/>
        <v>682.03369695342735</v>
      </c>
      <c r="EO58" s="60">
        <f ca="1">AVERAGE(OFFSET($EN$3,0,0,'Données projet'!$E$15+1,1))-AVERAGE(OFFSET($H$3,0,0,'Données projet'!$E$15+1,1))</f>
        <v>428.8489304403459</v>
      </c>
      <c r="EP58" s="60">
        <f t="shared" si="46"/>
        <v>247.01165577562966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197</v>
      </c>
      <c r="FC58" s="13">
        <f>VLOOKUP(A58,'Données projet'!$A$217:$I$237,9,0)</f>
        <v>8</v>
      </c>
      <c r="FD58" s="13">
        <f t="array" ref="FD58">INDEX(FC:FC,MIN(IF(ISNUMBER(FC58:FC254),ROW(FC58:FC254),"")))</f>
        <v>8</v>
      </c>
      <c r="FE58" s="13">
        <f>IF('Données projet'!$A$218&gt;35,FE57+FD58-FM57,IF(A58&lt;'Données projet'!$A$218,$FB$205^A58,IF(A58='Données projet'!$A$218,'Données projet'!$B$218,FE57+FD58-FM57)))</f>
        <v>197</v>
      </c>
      <c r="FF58" s="18">
        <f>FE58*VLOOKUP('Données projet'!$B$16,Paramètres!$A$1:$I$89,3,0)*VLOOKUP('Données projet'!$B$16,Paramètres!$A$1:$I$89,5,0)</f>
        <v>190.5384</v>
      </c>
      <c r="FG58" s="14">
        <f t="shared" si="47"/>
        <v>47.658965836673829</v>
      </c>
      <c r="FH58" s="22">
        <f t="shared" si="22"/>
        <v>414.86041216554025</v>
      </c>
      <c r="FI58" s="60">
        <f t="shared" si="23"/>
        <v>708.19374549887357</v>
      </c>
      <c r="FJ58" s="60">
        <f ca="1">AVERAGE(OFFSET($FI$3,0,0,'Données projet'!$E$16+1,1))-AVERAGE(OFFSET($H$3,0,0,'Données projet'!$E$16+1,1))</f>
        <v>455.50822833641354</v>
      </c>
      <c r="FK58" s="60">
        <f t="shared" si="48"/>
        <v>261.14722581688039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 t="e">
        <f>N59*VLOOKUP('Données projet'!$B$9,Paramètres!$A$1:$I$89,3,0)*VLOOKUP('Données projet'!$B$9,Paramètres!$A$1:$I$89,5,0)</f>
        <v>#N/A</v>
      </c>
      <c r="P59" s="14" t="e">
        <f t="shared" si="33"/>
        <v>#N/A</v>
      </c>
      <c r="Q59" s="22" t="e">
        <f t="shared" si="53"/>
        <v>#N/A</v>
      </c>
      <c r="R59" s="60" t="e">
        <f t="shared" si="0"/>
        <v>#N/A</v>
      </c>
      <c r="S59" s="60" t="e">
        <f ca="1">AVERAGE(OFFSET($R$3,0,0,'Données projet'!$E$9+1,1))-AVERAGE(OFFSET($H$3,0,0,'Données projet'!$E$9+1,1))</f>
        <v>#N/A</v>
      </c>
      <c r="T59" s="60" t="e">
        <f t="shared" si="34"/>
        <v>#N/A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 t="e">
        <f>EXP(-LN(2)/35)*Z58+(1-EXP(-LN(2)/35))/(LN(2)/35)*V59*W59*VLOOKUP('Données projet'!$B$9,Paramètres!$A$1:$I$89,3,0)*0.475*44/12</f>
        <v>#N/A</v>
      </c>
      <c r="AA59" s="23" t="e">
        <f>EXP(-LN(2)/25)*AA58+(1-EXP(-LN(2)/25))/(LN(2)/25)*Calculateur!V59*Calculateur!X59*VLOOKUP('Données projet'!$B$9,Paramètres!$A$1:$I$89,3,0)*0.475*44/12</f>
        <v>#N/A</v>
      </c>
      <c r="AB59" s="23" t="e">
        <f>EXP(-LN(2)/2)*AB58+(1-EXP(-LN(2)/2))/(LN(2)/2)*V59*Y59*VLOOKUP('Données projet'!$B$9,Paramètres!$A$1:$I$89,3,0)*0.475*44/12</f>
        <v>#N/A</v>
      </c>
      <c r="AC59" s="24" t="e">
        <f t="shared" si="3"/>
        <v>#N/A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2.4</v>
      </c>
      <c r="AI59" s="14">
        <f>IF('Données projet'!$A$62&gt;35,AI58+AH59-AQ58,IF(A59&lt;'Données projet'!$A$62,$AF$205^A59,IF(A59='Données projet'!$A$62,'Données projet'!$B$62,AI58+AH59-AQ58)))</f>
        <v>235.40000000000006</v>
      </c>
      <c r="AJ59" s="14">
        <f>AI59*VLOOKUP('Données projet'!$B$10,Paramètres!$A$1:$I$89,3,0)*VLOOKUP('Données projet'!$B$10,Paramètres!$A$1:$I$89,5,0)</f>
        <v>205.64544000000006</v>
      </c>
      <c r="AK59" s="14">
        <f t="shared" si="35"/>
        <v>50.982847417614359</v>
      </c>
      <c r="AL59" s="22">
        <f t="shared" si="4"/>
        <v>446.96093391901178</v>
      </c>
      <c r="AM59" s="60">
        <f t="shared" si="5"/>
        <v>740.29426725234509</v>
      </c>
      <c r="AN59" s="60">
        <f ca="1">AVERAGE(OFFSET($AM$3,0,0,'Données projet'!$E$10+1,1))-AVERAGE(OFFSET($H$3,0,0,'Données projet'!$E$10+1,1))</f>
        <v>325.06345339097095</v>
      </c>
      <c r="AO59" s="60">
        <f t="shared" si="36"/>
        <v>318.90379036810754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0" t="e">
        <f t="shared" si="8"/>
        <v>#N/A</v>
      </c>
      <c r="BI59" s="60" t="e">
        <f ca="1">AVERAGE(OFFSET($BH$3,0,0,'Données projet'!$E$11+1,1))-AVERAGE(OFFSET($H$3,0,0,'Données projet'!$E$11+1,1))</f>
        <v>#N/A</v>
      </c>
      <c r="BJ59" s="60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0" t="e">
        <f t="shared" si="11"/>
        <v>#N/A</v>
      </c>
      <c r="CD59" s="60" t="e">
        <f ca="1">AVERAGE(OFFSET($CC$3,0,0,'Données projet'!$E$12+1,1))-AVERAGE(OFFSET($H$3,0,0,'Données projet'!$E$12+1,1))</f>
        <v>#N/A</v>
      </c>
      <c r="CE59" s="60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178.73856000000001</v>
      </c>
      <c r="CV59" s="14">
        <f t="shared" si="41"/>
        <v>45.041424241265332</v>
      </c>
      <c r="CW59" s="22">
        <f t="shared" si="13"/>
        <v>389.75013922020383</v>
      </c>
      <c r="CX59" s="60">
        <f t="shared" si="14"/>
        <v>683.08347255353715</v>
      </c>
      <c r="CY59" s="60">
        <f ca="1">AVERAGE(OFFSET($CX$3,0,0,'Données projet'!$E$13+1,1))-AVERAGE(OFFSET($H$3,0,0,'Données projet'!$E$13+1,1))</f>
        <v>415.50509041799154</v>
      </c>
      <c r="CZ59" s="60">
        <f t="shared" si="42"/>
        <v>239.93573789765657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204.6</v>
      </c>
      <c r="DP59" s="18">
        <f>DO59*VLOOKUP('Données projet'!$B$14,Paramètres!$A$1:$I$89,3,0)*VLOOKUP('Données projet'!$B$14,Paramètres!$A$1:$I$89,5,0)</f>
        <v>207.46440000000001</v>
      </c>
      <c r="DQ59" s="14">
        <f t="shared" si="43"/>
        <v>51.381102169014063</v>
      </c>
      <c r="DR59" s="22">
        <f t="shared" si="16"/>
        <v>450.82258294436616</v>
      </c>
      <c r="DS59" s="60">
        <f t="shared" si="17"/>
        <v>744.15591627769948</v>
      </c>
      <c r="DT59" s="60">
        <f ca="1">AVERAGE(OFFSET($DS$3,0,0,'Données projet'!$E$14+1,1))-AVERAGE(OFFSET($H$3,0,0,'Données projet'!$E$14+1,1))</f>
        <v>475.47920969424894</v>
      </c>
      <c r="DU59" s="60">
        <f t="shared" si="44"/>
        <v>271.73544012419364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7.6</v>
      </c>
      <c r="EJ59" s="13">
        <f>IF('Données projet'!$A$192&gt;35,EJ58+EI59-ER58,IF(A59&lt;'Données projet'!$A$192,$EG$205^A59,IF(A59='Données projet'!$A$192,'Données projet'!$B$192,EJ58+EI59-ER58)))</f>
        <v>204.6</v>
      </c>
      <c r="EK59" s="18">
        <f>EJ59*VLOOKUP('Données projet'!$B$15,Paramètres!$A$1:$I$89,3,0)*VLOOKUP('Données projet'!$B$15,Paramètres!$A$1:$I$89,5,0)</f>
        <v>185.12207999999998</v>
      </c>
      <c r="EL59" s="14">
        <f t="shared" si="45"/>
        <v>46.459887003478677</v>
      </c>
      <c r="EM59" s="22">
        <f t="shared" si="19"/>
        <v>403.33859253105862</v>
      </c>
      <c r="EN59" s="60">
        <f t="shared" si="20"/>
        <v>696.67192586439194</v>
      </c>
      <c r="EO59" s="60">
        <f ca="1">AVERAGE(OFFSET($EN$3,0,0,'Données projet'!$E$15+1,1))-AVERAGE(OFFSET($H$3,0,0,'Données projet'!$E$15+1,1))</f>
        <v>428.8489304403459</v>
      </c>
      <c r="EP59" s="60">
        <f t="shared" si="46"/>
        <v>247.01165577562966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7.6</v>
      </c>
      <c r="FE59" s="13">
        <f>IF('Données projet'!$A$218&gt;35,FE58+FD59-FM58,IF(A59&lt;'Données projet'!$A$218,$FB$205^A59,IF(A59='Données projet'!$A$218,'Données projet'!$B$218,FE58+FD59-FM58)))</f>
        <v>204.6</v>
      </c>
      <c r="FF59" s="18">
        <f>FE59*VLOOKUP('Données projet'!$B$16,Paramètres!$A$1:$I$89,3,0)*VLOOKUP('Données projet'!$B$16,Paramètres!$A$1:$I$89,5,0)</f>
        <v>197.88911999999999</v>
      </c>
      <c r="FG59" s="14">
        <f t="shared" si="47"/>
        <v>49.279974103179534</v>
      </c>
      <c r="FH59" s="22">
        <f t="shared" si="22"/>
        <v>430.48617222970438</v>
      </c>
      <c r="FI59" s="60">
        <f t="shared" si="23"/>
        <v>723.81950556303764</v>
      </c>
      <c r="FJ59" s="60">
        <f ca="1">AVERAGE(OFFSET($FI$3,0,0,'Données projet'!$E$16+1,1))-AVERAGE(OFFSET($H$3,0,0,'Données projet'!$E$16+1,1))</f>
        <v>455.50822833641354</v>
      </c>
      <c r="FK59" s="60">
        <f t="shared" si="48"/>
        <v>261.14722581688039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 t="e">
        <f>N60*VLOOKUP('Données projet'!$B$9,Paramètres!$A$1:$I$89,3,0)*VLOOKUP('Données projet'!$B$9,Paramètres!$A$1:$I$89,5,0)</f>
        <v>#N/A</v>
      </c>
      <c r="P60" s="14" t="e">
        <f t="shared" si="33"/>
        <v>#N/A</v>
      </c>
      <c r="Q60" s="22" t="e">
        <f t="shared" si="53"/>
        <v>#N/A</v>
      </c>
      <c r="R60" s="60" t="e">
        <f t="shared" si="0"/>
        <v>#N/A</v>
      </c>
      <c r="S60" s="60" t="e">
        <f ca="1">AVERAGE(OFFSET($R$3,0,0,'Données projet'!$E$9+1,1))-AVERAGE(OFFSET($H$3,0,0,'Données projet'!$E$9+1,1))</f>
        <v>#N/A</v>
      </c>
      <c r="T60" s="60" t="e">
        <f t="shared" si="34"/>
        <v>#N/A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 t="e">
        <f>EXP(-LN(2)/35)*Z59+(1-EXP(-LN(2)/35))/(LN(2)/35)*V60*W60*VLOOKUP('Données projet'!$B$9,Paramètres!$A$1:$I$89,3,0)*0.475*44/12</f>
        <v>#N/A</v>
      </c>
      <c r="AA60" s="23" t="e">
        <f>EXP(-LN(2)/25)*AA59+(1-EXP(-LN(2)/25))/(LN(2)/25)*Calculateur!V60*Calculateur!X60*VLOOKUP('Données projet'!$B$9,Paramètres!$A$1:$I$89,3,0)*0.475*44/12</f>
        <v>#N/A</v>
      </c>
      <c r="AB60" s="23" t="e">
        <f>EXP(-LN(2)/2)*AB59+(1-EXP(-LN(2)/2))/(LN(2)/2)*V60*Y60*VLOOKUP('Données projet'!$B$9,Paramètres!$A$1:$I$89,3,0)*0.475*44/12</f>
        <v>#N/A</v>
      </c>
      <c r="AC60" s="24" t="e">
        <f t="shared" si="3"/>
        <v>#N/A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2.4</v>
      </c>
      <c r="AI60" s="14">
        <f>IF('Données projet'!$A$62&gt;35,AI59+AH60-AQ59,IF(A60&lt;'Données projet'!$A$62,$AF$205^A60,IF(A60='Données projet'!$A$62,'Données projet'!$B$62,AI59+AH60-AQ59)))</f>
        <v>237.80000000000007</v>
      </c>
      <c r="AJ60" s="14">
        <f>AI60*VLOOKUP('Données projet'!$B$10,Paramètres!$A$1:$I$89,3,0)*VLOOKUP('Données projet'!$B$10,Paramètres!$A$1:$I$89,5,0)</f>
        <v>207.7420800000001</v>
      </c>
      <c r="AK60" s="14">
        <f t="shared" si="35"/>
        <v>51.441863366522419</v>
      </c>
      <c r="AL60" s="22">
        <f t="shared" si="4"/>
        <v>451.41203469669335</v>
      </c>
      <c r="AM60" s="60">
        <f t="shared" si="5"/>
        <v>744.74536803002661</v>
      </c>
      <c r="AN60" s="60">
        <f ca="1">AVERAGE(OFFSET($AM$3,0,0,'Données projet'!$E$10+1,1))-AVERAGE(OFFSET($H$3,0,0,'Données projet'!$E$10+1,1))</f>
        <v>325.06345339097095</v>
      </c>
      <c r="AO60" s="60">
        <f t="shared" si="36"/>
        <v>318.90379036810754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0" t="e">
        <f t="shared" si="8"/>
        <v>#N/A</v>
      </c>
      <c r="BI60" s="60" t="e">
        <f ca="1">AVERAGE(OFFSET($BH$3,0,0,'Données projet'!$E$11+1,1))-AVERAGE(OFFSET($H$3,0,0,'Données projet'!$E$11+1,1))</f>
        <v>#N/A</v>
      </c>
      <c r="BJ60" s="60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0" t="e">
        <f t="shared" si="11"/>
        <v>#N/A</v>
      </c>
      <c r="CD60" s="60" t="e">
        <f ca="1">AVERAGE(OFFSET($CC$3,0,0,'Données projet'!$E$12+1,1))-AVERAGE(OFFSET($H$3,0,0,'Données projet'!$E$12+1,1))</f>
        <v>#N/A</v>
      </c>
      <c r="CE60" s="60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185.37792000000002</v>
      </c>
      <c r="CV60" s="14">
        <f t="shared" si="41"/>
        <v>46.516616531004161</v>
      </c>
      <c r="CW60" s="22">
        <f t="shared" si="13"/>
        <v>403.88298445816559</v>
      </c>
      <c r="CX60" s="60">
        <f t="shared" si="14"/>
        <v>697.21631779149891</v>
      </c>
      <c r="CY60" s="60">
        <f ca="1">AVERAGE(OFFSET($CX$3,0,0,'Données projet'!$E$13+1,1))-AVERAGE(OFFSET($H$3,0,0,'Données projet'!$E$13+1,1))</f>
        <v>415.50509041799154</v>
      </c>
      <c r="CZ60" s="60">
        <f t="shared" si="42"/>
        <v>239.93573789765657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212.2</v>
      </c>
      <c r="DP60" s="18">
        <f>DO60*VLOOKUP('Données projet'!$B$14,Paramètres!$A$1:$I$89,3,0)*VLOOKUP('Données projet'!$B$14,Paramètres!$A$1:$I$89,5,0)</f>
        <v>215.17080000000001</v>
      </c>
      <c r="DQ60" s="14">
        <f t="shared" si="43"/>
        <v>53.063930965723607</v>
      </c>
      <c r="DR60" s="22">
        <f t="shared" si="16"/>
        <v>467.17548976530185</v>
      </c>
      <c r="DS60" s="60">
        <f t="shared" si="17"/>
        <v>760.50882309863516</v>
      </c>
      <c r="DT60" s="60">
        <f ca="1">AVERAGE(OFFSET($DS$3,0,0,'Données projet'!$E$14+1,1))-AVERAGE(OFFSET($H$3,0,0,'Données projet'!$E$14+1,1))</f>
        <v>475.47920969424894</v>
      </c>
      <c r="DU60" s="60">
        <f t="shared" si="44"/>
        <v>271.73544012419364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7.6</v>
      </c>
      <c r="EJ60" s="13">
        <f>IF('Données projet'!$A$192&gt;35,EJ59+EI60-ER59,IF(A60&lt;'Données projet'!$A$192,$EG$205^A60,IF(A60='Données projet'!$A$192,'Données projet'!$B$192,EJ59+EI60-ER59)))</f>
        <v>212.2</v>
      </c>
      <c r="EK60" s="18">
        <f>EJ60*VLOOKUP('Données projet'!$B$15,Paramètres!$A$1:$I$89,3,0)*VLOOKUP('Données projet'!$B$15,Paramètres!$A$1:$I$89,5,0)</f>
        <v>191.99855999999997</v>
      </c>
      <c r="EL60" s="14">
        <f t="shared" si="45"/>
        <v>47.981536645873334</v>
      </c>
      <c r="EM60" s="22">
        <f t="shared" si="19"/>
        <v>417.96533499156266</v>
      </c>
      <c r="EN60" s="60">
        <f t="shared" si="20"/>
        <v>711.29866832489597</v>
      </c>
      <c r="EO60" s="60">
        <f ca="1">AVERAGE(OFFSET($EN$3,0,0,'Données projet'!$E$15+1,1))-AVERAGE(OFFSET($H$3,0,0,'Données projet'!$E$15+1,1))</f>
        <v>428.8489304403459</v>
      </c>
      <c r="EP60" s="60">
        <f t="shared" si="46"/>
        <v>247.01165577562966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7.6</v>
      </c>
      <c r="FE60" s="13">
        <f>IF('Données projet'!$A$218&gt;35,FE59+FD60-FM59,IF(A60&lt;'Données projet'!$A$218,$FB$205^A60,IF(A60='Données projet'!$A$218,'Données projet'!$B$218,FE59+FD60-FM59)))</f>
        <v>212.2</v>
      </c>
      <c r="FF60" s="18">
        <f>FE60*VLOOKUP('Données projet'!$B$16,Paramètres!$A$1:$I$89,3,0)*VLOOKUP('Données projet'!$B$16,Paramètres!$A$1:$I$89,5,0)</f>
        <v>205.23983999999999</v>
      </c>
      <c r="FG60" s="14">
        <f t="shared" si="47"/>
        <v>50.893986960458122</v>
      </c>
      <c r="FH60" s="22">
        <f t="shared" si="22"/>
        <v>446.0997486227979</v>
      </c>
      <c r="FI60" s="60">
        <f t="shared" si="23"/>
        <v>739.43308195613122</v>
      </c>
      <c r="FJ60" s="60">
        <f ca="1">AVERAGE(OFFSET($FI$3,0,0,'Données projet'!$E$16+1,1))-AVERAGE(OFFSET($H$3,0,0,'Données projet'!$E$16+1,1))</f>
        <v>455.50822833641354</v>
      </c>
      <c r="FK60" s="60">
        <f t="shared" si="48"/>
        <v>261.14722581688039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 t="e">
        <f>N61*VLOOKUP('Données projet'!$B$9,Paramètres!$A$1:$I$89,3,0)*VLOOKUP('Données projet'!$B$9,Paramètres!$A$1:$I$89,5,0)</f>
        <v>#N/A</v>
      </c>
      <c r="P61" s="14" t="e">
        <f t="shared" si="33"/>
        <v>#N/A</v>
      </c>
      <c r="Q61" s="22" t="e">
        <f t="shared" si="53"/>
        <v>#N/A</v>
      </c>
      <c r="R61" s="60" t="e">
        <f t="shared" si="0"/>
        <v>#N/A</v>
      </c>
      <c r="S61" s="60" t="e">
        <f ca="1">AVERAGE(OFFSET($R$3,0,0,'Données projet'!$E$9+1,1))-AVERAGE(OFFSET($H$3,0,0,'Données projet'!$E$9+1,1))</f>
        <v>#N/A</v>
      </c>
      <c r="T61" s="60" t="e">
        <f t="shared" si="34"/>
        <v>#N/A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 t="e">
        <f>EXP(-LN(2)/35)*Z60+(1-EXP(-LN(2)/35))/(LN(2)/35)*V61*W61*VLOOKUP('Données projet'!$B$9,Paramètres!$A$1:$I$89,3,0)*0.475*44/12</f>
        <v>#N/A</v>
      </c>
      <c r="AA61" s="23" t="e">
        <f>EXP(-LN(2)/25)*AA60+(1-EXP(-LN(2)/25))/(LN(2)/25)*Calculateur!V61*Calculateur!X61*VLOOKUP('Données projet'!$B$9,Paramètres!$A$1:$I$89,3,0)*0.475*44/12</f>
        <v>#N/A</v>
      </c>
      <c r="AB61" s="23" t="e">
        <f>EXP(-LN(2)/2)*AB60+(1-EXP(-LN(2)/2))/(LN(2)/2)*V61*Y61*VLOOKUP('Données projet'!$B$9,Paramètres!$A$1:$I$89,3,0)*0.475*44/12</f>
        <v>#N/A</v>
      </c>
      <c r="AC61" s="24" t="e">
        <f t="shared" si="3"/>
        <v>#N/A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2.4</v>
      </c>
      <c r="AI61" s="14">
        <f>IF('Données projet'!$A$62&gt;35,AI60+AH61-AQ60,IF(A61&lt;'Données projet'!$A$62,$AF$205^A61,IF(A61='Données projet'!$A$62,'Données projet'!$B$62,AI60+AH61-AQ60)))</f>
        <v>240.20000000000007</v>
      </c>
      <c r="AJ61" s="14">
        <f>AI61*VLOOKUP('Données projet'!$B$10,Paramètres!$A$1:$I$89,3,0)*VLOOKUP('Données projet'!$B$10,Paramètres!$A$1:$I$89,5,0)</f>
        <v>209.83872000000011</v>
      </c>
      <c r="AK61" s="14">
        <f t="shared" si="35"/>
        <v>51.90034038479439</v>
      </c>
      <c r="AL61" s="22">
        <f t="shared" si="4"/>
        <v>455.86219683685039</v>
      </c>
      <c r="AM61" s="60">
        <f t="shared" si="5"/>
        <v>749.1955301701837</v>
      </c>
      <c r="AN61" s="60">
        <f ca="1">AVERAGE(OFFSET($AM$3,0,0,'Données projet'!$E$10+1,1))-AVERAGE(OFFSET($H$3,0,0,'Données projet'!$E$10+1,1))</f>
        <v>325.06345339097095</v>
      </c>
      <c r="AO61" s="60">
        <f t="shared" si="36"/>
        <v>318.90379036810754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0" t="e">
        <f t="shared" si="8"/>
        <v>#N/A</v>
      </c>
      <c r="BI61" s="60" t="e">
        <f ca="1">AVERAGE(OFFSET($BH$3,0,0,'Données projet'!$E$11+1,1))-AVERAGE(OFFSET($H$3,0,0,'Données projet'!$E$11+1,1))</f>
        <v>#N/A</v>
      </c>
      <c r="BJ61" s="60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0" t="e">
        <f t="shared" si="11"/>
        <v>#N/A</v>
      </c>
      <c r="CD61" s="60" t="e">
        <f ca="1">AVERAGE(OFFSET($CC$3,0,0,'Données projet'!$E$12+1,1))-AVERAGE(OFFSET($H$3,0,0,'Données projet'!$E$12+1,1))</f>
        <v>#N/A</v>
      </c>
      <c r="CE61" s="60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192.01728000000003</v>
      </c>
      <c r="CV61" s="14">
        <f t="shared" si="41"/>
        <v>47.985670310783661</v>
      </c>
      <c r="CW61" s="22">
        <f t="shared" si="13"/>
        <v>418.00513845794825</v>
      </c>
      <c r="CX61" s="60">
        <f t="shared" si="14"/>
        <v>711.33847179128156</v>
      </c>
      <c r="CY61" s="60">
        <f ca="1">AVERAGE(OFFSET($CX$3,0,0,'Données projet'!$E$13+1,1))-AVERAGE(OFFSET($H$3,0,0,'Données projet'!$E$13+1,1))</f>
        <v>415.50509041799154</v>
      </c>
      <c r="CZ61" s="60">
        <f t="shared" si="42"/>
        <v>239.93573789765657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219.79999999999998</v>
      </c>
      <c r="DP61" s="18">
        <f>DO61*VLOOKUP('Données projet'!$B$14,Paramètres!$A$1:$I$89,3,0)*VLOOKUP('Données projet'!$B$14,Paramètres!$A$1:$I$89,5,0)</f>
        <v>222.87720000000002</v>
      </c>
      <c r="DQ61" s="14">
        <f t="shared" si="43"/>
        <v>54.739757243913829</v>
      </c>
      <c r="DR61" s="22">
        <f t="shared" si="16"/>
        <v>483.51620053314986</v>
      </c>
      <c r="DS61" s="60">
        <f t="shared" si="17"/>
        <v>776.84953386648317</v>
      </c>
      <c r="DT61" s="60">
        <f ca="1">AVERAGE(OFFSET($DS$3,0,0,'Données projet'!$E$14+1,1))-AVERAGE(OFFSET($H$3,0,0,'Données projet'!$E$14+1,1))</f>
        <v>475.47920969424894</v>
      </c>
      <c r="DU61" s="60">
        <f t="shared" si="44"/>
        <v>271.73544012419364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7.6</v>
      </c>
      <c r="EJ61" s="13">
        <f>IF('Données projet'!$A$192&gt;35,EJ60+EI61-ER60,IF(A61&lt;'Données projet'!$A$192,$EG$205^A61,IF(A61='Données projet'!$A$192,'Données projet'!$B$192,EJ60+EI61-ER60)))</f>
        <v>219.79999999999998</v>
      </c>
      <c r="EK61" s="18">
        <f>EJ61*VLOOKUP('Données projet'!$B$15,Paramètres!$A$1:$I$89,3,0)*VLOOKUP('Données projet'!$B$15,Paramètres!$A$1:$I$89,5,0)</f>
        <v>198.87503999999998</v>
      </c>
      <c r="EL61" s="14">
        <f t="shared" si="45"/>
        <v>49.496854461868558</v>
      </c>
      <c r="EM61" s="22">
        <f t="shared" si="19"/>
        <v>432.58104952108766</v>
      </c>
      <c r="EN61" s="60">
        <f t="shared" si="20"/>
        <v>725.91438285442098</v>
      </c>
      <c r="EO61" s="60">
        <f ca="1">AVERAGE(OFFSET($EN$3,0,0,'Données projet'!$E$15+1,1))-AVERAGE(OFFSET($H$3,0,0,'Données projet'!$E$15+1,1))</f>
        <v>428.8489304403459</v>
      </c>
      <c r="EP61" s="60">
        <f t="shared" si="46"/>
        <v>247.01165577562966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7.6</v>
      </c>
      <c r="FE61" s="13">
        <f>IF('Données projet'!$A$218&gt;35,FE60+FD61-FM60,IF(A61&lt;'Données projet'!$A$218,$FB$205^A61,IF(A61='Données projet'!$A$218,'Données projet'!$B$218,FE60+FD61-FM60)))</f>
        <v>219.79999999999998</v>
      </c>
      <c r="FF61" s="18">
        <f>FE61*VLOOKUP('Données projet'!$B$16,Paramètres!$A$1:$I$89,3,0)*VLOOKUP('Données projet'!$B$16,Paramètres!$A$1:$I$89,5,0)</f>
        <v>212.59055999999998</v>
      </c>
      <c r="FG61" s="14">
        <f t="shared" si="47"/>
        <v>52.501283653296404</v>
      </c>
      <c r="FH61" s="22">
        <f t="shared" si="22"/>
        <v>461.70162769615786</v>
      </c>
      <c r="FI61" s="60">
        <f t="shared" si="23"/>
        <v>755.03496102949111</v>
      </c>
      <c r="FJ61" s="60">
        <f ca="1">AVERAGE(OFFSET($FI$3,0,0,'Données projet'!$E$16+1,1))-AVERAGE(OFFSET($H$3,0,0,'Données projet'!$E$16+1,1))</f>
        <v>455.50822833641354</v>
      </c>
      <c r="FK61" s="60">
        <f t="shared" si="48"/>
        <v>261.14722581688039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 t="e">
        <f>N62*VLOOKUP('Données projet'!$B$9,Paramètres!$A$1:$I$89,3,0)*VLOOKUP('Données projet'!$B$9,Paramètres!$A$1:$I$89,5,0)</f>
        <v>#N/A</v>
      </c>
      <c r="P62" s="14" t="e">
        <f t="shared" si="33"/>
        <v>#N/A</v>
      </c>
      <c r="Q62" s="22" t="e">
        <f t="shared" si="53"/>
        <v>#N/A</v>
      </c>
      <c r="R62" s="60" t="e">
        <f t="shared" si="0"/>
        <v>#N/A</v>
      </c>
      <c r="S62" s="60" t="e">
        <f ca="1">AVERAGE(OFFSET($R$3,0,0,'Données projet'!$E$9+1,1))-AVERAGE(OFFSET($H$3,0,0,'Données projet'!$E$9+1,1))</f>
        <v>#N/A</v>
      </c>
      <c r="T62" s="60" t="e">
        <f t="shared" si="34"/>
        <v>#N/A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 t="e">
        <f>EXP(-LN(2)/35)*Z61+(1-EXP(-LN(2)/35))/(LN(2)/35)*V62*W62*VLOOKUP('Données projet'!$B$9,Paramètres!$A$1:$I$89,3,0)*0.475*44/12</f>
        <v>#N/A</v>
      </c>
      <c r="AA62" s="23" t="e">
        <f>EXP(-LN(2)/25)*AA61+(1-EXP(-LN(2)/25))/(LN(2)/25)*Calculateur!V62*Calculateur!X62*VLOOKUP('Données projet'!$B$9,Paramètres!$A$1:$I$89,3,0)*0.475*44/12</f>
        <v>#N/A</v>
      </c>
      <c r="AB62" s="23" t="e">
        <f>EXP(-LN(2)/2)*AB61+(1-EXP(-LN(2)/2))/(LN(2)/2)*V62*Y62*VLOOKUP('Données projet'!$B$9,Paramètres!$A$1:$I$89,3,0)*0.475*44/12</f>
        <v>#N/A</v>
      </c>
      <c r="AC62" s="24" t="e">
        <f t="shared" si="3"/>
        <v>#N/A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2.4</v>
      </c>
      <c r="AI62" s="14">
        <f>IF('Données projet'!$A$62&gt;35,AI61+AH62-AQ61,IF(A62&lt;'Données projet'!$A$62,$AF$205^A62,IF(A62='Données projet'!$A$62,'Données projet'!$B$62,AI61+AH62-AQ61)))</f>
        <v>242.60000000000008</v>
      </c>
      <c r="AJ62" s="14">
        <f>AI62*VLOOKUP('Données projet'!$B$10,Paramètres!$A$1:$I$89,3,0)*VLOOKUP('Données projet'!$B$10,Paramètres!$A$1:$I$89,5,0)</f>
        <v>211.93536000000009</v>
      </c>
      <c r="AK62" s="14">
        <f t="shared" si="35"/>
        <v>52.358284480748566</v>
      </c>
      <c r="AL62" s="22">
        <f t="shared" si="4"/>
        <v>460.31143080397055</v>
      </c>
      <c r="AM62" s="60">
        <f t="shared" si="5"/>
        <v>753.64476413730381</v>
      </c>
      <c r="AN62" s="60">
        <f ca="1">AVERAGE(OFFSET($AM$3,0,0,'Données projet'!$E$10+1,1))-AVERAGE(OFFSET($H$3,0,0,'Données projet'!$E$10+1,1))</f>
        <v>325.06345339097095</v>
      </c>
      <c r="AO62" s="60">
        <f t="shared" si="36"/>
        <v>318.90379036810754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0" t="e">
        <f t="shared" si="8"/>
        <v>#N/A</v>
      </c>
      <c r="BI62" s="60" t="e">
        <f ca="1">AVERAGE(OFFSET($BH$3,0,0,'Données projet'!$E$11+1,1))-AVERAGE(OFFSET($H$3,0,0,'Données projet'!$E$11+1,1))</f>
        <v>#N/A</v>
      </c>
      <c r="BJ62" s="60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0" t="e">
        <f t="shared" si="11"/>
        <v>#N/A</v>
      </c>
      <c r="CD62" s="60" t="e">
        <f ca="1">AVERAGE(OFFSET($CC$3,0,0,'Données projet'!$E$12+1,1))-AVERAGE(OFFSET($H$3,0,0,'Données projet'!$E$12+1,1))</f>
        <v>#N/A</v>
      </c>
      <c r="CE62" s="60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198.65664000000001</v>
      </c>
      <c r="CV62" s="14">
        <f t="shared" si="41"/>
        <v>49.448822156743425</v>
      </c>
      <c r="CW62" s="22">
        <f t="shared" si="13"/>
        <v>432.11701325632816</v>
      </c>
      <c r="CX62" s="60">
        <f t="shared" si="14"/>
        <v>725.45034658966142</v>
      </c>
      <c r="CY62" s="60">
        <f ca="1">AVERAGE(OFFSET($CX$3,0,0,'Données projet'!$E$13+1,1))-AVERAGE(OFFSET($H$3,0,0,'Données projet'!$E$13+1,1))</f>
        <v>415.50509041799154</v>
      </c>
      <c r="CZ62" s="60">
        <f t="shared" si="42"/>
        <v>239.93573789765657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227.39999999999998</v>
      </c>
      <c r="DP62" s="18">
        <f>DO62*VLOOKUP('Données projet'!$B$14,Paramètres!$A$1:$I$89,3,0)*VLOOKUP('Données projet'!$B$14,Paramètres!$A$1:$I$89,5,0)</f>
        <v>230.58360000000002</v>
      </c>
      <c r="DQ62" s="14">
        <f t="shared" si="43"/>
        <v>56.408850878327968</v>
      </c>
      <c r="DR62" s="22">
        <f t="shared" si="16"/>
        <v>499.8451852797545</v>
      </c>
      <c r="DS62" s="60">
        <f t="shared" si="17"/>
        <v>793.17851861308782</v>
      </c>
      <c r="DT62" s="60">
        <f ca="1">AVERAGE(OFFSET($DS$3,0,0,'Données projet'!$E$14+1,1))-AVERAGE(OFFSET($H$3,0,0,'Données projet'!$E$14+1,1))</f>
        <v>475.47920969424894</v>
      </c>
      <c r="DU62" s="60">
        <f t="shared" si="44"/>
        <v>271.73544012419364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7.6</v>
      </c>
      <c r="EJ62" s="13">
        <f>IF('Données projet'!$A$192&gt;35,EJ61+EI62-ER61,IF(A62&lt;'Données projet'!$A$192,$EG$205^A62,IF(A62='Données projet'!$A$192,'Données projet'!$B$192,EJ61+EI62-ER61)))</f>
        <v>227.39999999999998</v>
      </c>
      <c r="EK62" s="18">
        <f>EJ62*VLOOKUP('Données projet'!$B$15,Paramètres!$A$1:$I$89,3,0)*VLOOKUP('Données projet'!$B$15,Paramètres!$A$1:$I$89,5,0)</f>
        <v>205.75151999999994</v>
      </c>
      <c r="EL62" s="14">
        <f t="shared" si="45"/>
        <v>51.006084477955554</v>
      </c>
      <c r="EM62" s="22">
        <f t="shared" si="19"/>
        <v>447.18616113243911</v>
      </c>
      <c r="EN62" s="60">
        <f t="shared" si="20"/>
        <v>740.51949446577237</v>
      </c>
      <c r="EO62" s="60">
        <f ca="1">AVERAGE(OFFSET($EN$3,0,0,'Données projet'!$E$15+1,1))-AVERAGE(OFFSET($H$3,0,0,'Données projet'!$E$15+1,1))</f>
        <v>428.8489304403459</v>
      </c>
      <c r="EP62" s="60">
        <f t="shared" si="46"/>
        <v>247.01165577562966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7.6</v>
      </c>
      <c r="FE62" s="13">
        <f>IF('Données projet'!$A$218&gt;35,FE61+FD62-FM61,IF(A62&lt;'Données projet'!$A$218,$FB$205^A62,IF(A62='Données projet'!$A$218,'Données projet'!$B$218,FE61+FD62-FM61)))</f>
        <v>227.39999999999998</v>
      </c>
      <c r="FF62" s="18">
        <f>FE62*VLOOKUP('Données projet'!$B$16,Paramètres!$A$1:$I$89,3,0)*VLOOKUP('Données projet'!$B$16,Paramètres!$A$1:$I$89,5,0)</f>
        <v>219.94127999999995</v>
      </c>
      <c r="FG62" s="14">
        <f t="shared" si="47"/>
        <v>54.102123020446285</v>
      </c>
      <c r="FH62" s="22">
        <f t="shared" si="22"/>
        <v>477.29226026061059</v>
      </c>
      <c r="FI62" s="60">
        <f t="shared" si="23"/>
        <v>770.6255935939439</v>
      </c>
      <c r="FJ62" s="60">
        <f ca="1">AVERAGE(OFFSET($FI$3,0,0,'Données projet'!$E$16+1,1))-AVERAGE(OFFSET($H$3,0,0,'Données projet'!$E$16+1,1))</f>
        <v>455.50822833641354</v>
      </c>
      <c r="FK62" s="60">
        <f t="shared" si="48"/>
        <v>261.14722581688039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 t="e">
        <f>N63*VLOOKUP('Données projet'!$B$9,Paramètres!$A$1:$I$89,3,0)*VLOOKUP('Données projet'!$B$9,Paramètres!$A$1:$I$89,5,0)</f>
        <v>#N/A</v>
      </c>
      <c r="P63" s="14" t="e">
        <f t="shared" si="33"/>
        <v>#N/A</v>
      </c>
      <c r="Q63" s="22" t="e">
        <f t="shared" si="53"/>
        <v>#N/A</v>
      </c>
      <c r="R63" s="60" t="e">
        <f t="shared" si="0"/>
        <v>#N/A</v>
      </c>
      <c r="S63" s="60" t="e">
        <f ca="1">AVERAGE(OFFSET($R$3,0,0,'Données projet'!$E$9+1,1))-AVERAGE(OFFSET($H$3,0,0,'Données projet'!$E$9+1,1))</f>
        <v>#N/A</v>
      </c>
      <c r="T63" s="60" t="e">
        <f t="shared" si="34"/>
        <v>#N/A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 t="e">
        <f>EXP(-LN(2)/35)*Z62+(1-EXP(-LN(2)/35))/(LN(2)/35)*V63*W63*VLOOKUP('Données projet'!$B$9,Paramètres!$A$1:$I$89,3,0)*0.475*44/12</f>
        <v>#N/A</v>
      </c>
      <c r="AA63" s="23" t="e">
        <f>EXP(-LN(2)/25)*AA62+(1-EXP(-LN(2)/25))/(LN(2)/25)*Calculateur!V63*Calculateur!X63*VLOOKUP('Données projet'!$B$9,Paramètres!$A$1:$I$89,3,0)*0.475*44/12</f>
        <v>#N/A</v>
      </c>
      <c r="AB63" s="23" t="e">
        <f>EXP(-LN(2)/2)*AB62+(1-EXP(-LN(2)/2))/(LN(2)/2)*V63*Y63*VLOOKUP('Données projet'!$B$9,Paramètres!$A$1:$I$89,3,0)*0.475*44/12</f>
        <v>#N/A</v>
      </c>
      <c r="AC63" s="24" t="e">
        <f t="shared" si="3"/>
        <v>#N/A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245</v>
      </c>
      <c r="AG63" s="13">
        <f>VLOOKUP(A63,'Données projet'!$A$61:$I$81,9,0)</f>
        <v>2.4</v>
      </c>
      <c r="AH63" s="13">
        <f t="array" ref="AH63">INDEX(AG:AG,MIN(IF(ISNUMBER(AG63:AG259),ROW(AG63:AG259),"")))</f>
        <v>2.4</v>
      </c>
      <c r="AI63" s="14">
        <f>IF('Données projet'!$A$62&gt;35,AI62+AH63-AQ62,IF(A63&lt;'Données projet'!$A$62,$AF$205^A63,IF(A63='Données projet'!$A$62,'Données projet'!$B$62,AI62+AH63-AQ62)))</f>
        <v>245.00000000000009</v>
      </c>
      <c r="AJ63" s="14">
        <f>AI63*VLOOKUP('Données projet'!$B$10,Paramètres!$A$1:$I$89,3,0)*VLOOKUP('Données projet'!$B$10,Paramètres!$A$1:$I$89,5,0)</f>
        <v>214.03200000000012</v>
      </c>
      <c r="AK63" s="14">
        <f t="shared" si="35"/>
        <v>52.815701536972284</v>
      </c>
      <c r="AL63" s="22">
        <f t="shared" si="4"/>
        <v>464.75974684356021</v>
      </c>
      <c r="AM63" s="60">
        <f t="shared" si="5"/>
        <v>758.09308017689352</v>
      </c>
      <c r="AN63" s="60">
        <f ca="1">AVERAGE(OFFSET($AM$3,0,0,'Données projet'!$E$10+1,1))-AVERAGE(OFFSET($H$3,0,0,'Données projet'!$E$10+1,1))</f>
        <v>325.06345339097095</v>
      </c>
      <c r="AO63" s="60">
        <f t="shared" si="36"/>
        <v>318.90379036810754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25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0" t="e">
        <f t="shared" si="8"/>
        <v>#N/A</v>
      </c>
      <c r="BI63" s="60" t="e">
        <f ca="1">AVERAGE(OFFSET($BH$3,0,0,'Données projet'!$E$11+1,1))-AVERAGE(OFFSET($H$3,0,0,'Données projet'!$E$11+1,1))</f>
        <v>#N/A</v>
      </c>
      <c r="BJ63" s="60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0" t="e">
        <f t="shared" si="11"/>
        <v>#N/A</v>
      </c>
      <c r="CD63" s="60" t="e">
        <f ca="1">AVERAGE(OFFSET($CC$3,0,0,'Données projet'!$E$12+1,1))-AVERAGE(OFFSET($H$3,0,0,'Données projet'!$E$12+1,1))</f>
        <v>#N/A</v>
      </c>
      <c r="CE63" s="60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205.29599999999999</v>
      </c>
      <c r="CV63" s="14">
        <f t="shared" si="41"/>
        <v>50.906291934375353</v>
      </c>
      <c r="CW63" s="22">
        <f t="shared" si="13"/>
        <v>446.21899178570374</v>
      </c>
      <c r="CX63" s="60">
        <f t="shared" si="14"/>
        <v>739.55232511903705</v>
      </c>
      <c r="CY63" s="60">
        <f ca="1">AVERAGE(OFFSET($CX$3,0,0,'Données projet'!$E$13+1,1))-AVERAGE(OFFSET($H$3,0,0,'Données projet'!$E$13+1,1))</f>
        <v>415.50509041799154</v>
      </c>
      <c r="CZ63" s="60">
        <f t="shared" si="42"/>
        <v>239.93573789765657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235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234.99999999999997</v>
      </c>
      <c r="DP63" s="18">
        <f>DO63*VLOOKUP('Données projet'!$B$14,Paramètres!$A$1:$I$89,3,0)*VLOOKUP('Données projet'!$B$14,Paramètres!$A$1:$I$89,5,0)</f>
        <v>238.29000000000002</v>
      </c>
      <c r="DQ63" s="14">
        <f t="shared" si="43"/>
        <v>58.071462681001513</v>
      </c>
      <c r="DR63" s="22">
        <f t="shared" si="16"/>
        <v>516.16288083607753</v>
      </c>
      <c r="DS63" s="60">
        <f t="shared" si="17"/>
        <v>809.49621416941091</v>
      </c>
      <c r="DT63" s="60">
        <f ca="1">AVERAGE(OFFSET($DS$3,0,0,'Données projet'!$E$14+1,1))-AVERAGE(OFFSET($H$3,0,0,'Données projet'!$E$14+1,1))</f>
        <v>475.47920969424894</v>
      </c>
      <c r="DU63" s="60">
        <f t="shared" si="44"/>
        <v>271.73544012419364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42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235</v>
      </c>
      <c r="EH63" s="13">
        <f>VLOOKUP(A63,'Données projet'!$A$191:$I$211,9,0)</f>
        <v>7.6</v>
      </c>
      <c r="EI63" s="13">
        <f t="array" ref="EI63">INDEX(EH:EH,MIN(IF(ISNUMBER(EH63:EH259),ROW(EH63:EH259),"")))</f>
        <v>7.6</v>
      </c>
      <c r="EJ63" s="13">
        <f>IF('Données projet'!$A$192&gt;35,EJ62+EI63-ER62,IF(A63&lt;'Données projet'!$A$192,$EG$205^A63,IF(A63='Données projet'!$A$192,'Données projet'!$B$192,EJ62+EI63-ER62)))</f>
        <v>234.99999999999997</v>
      </c>
      <c r="EK63" s="18">
        <f>EJ63*VLOOKUP('Données projet'!$B$15,Paramètres!$A$1:$I$89,3,0)*VLOOKUP('Données projet'!$B$15,Paramètres!$A$1:$I$89,5,0)</f>
        <v>212.62799999999999</v>
      </c>
      <c r="EL63" s="14">
        <f t="shared" si="45"/>
        <v>52.509453483719035</v>
      </c>
      <c r="EM63" s="22">
        <f t="shared" si="19"/>
        <v>461.78106481747727</v>
      </c>
      <c r="EN63" s="60">
        <f t="shared" si="20"/>
        <v>755.11439815081053</v>
      </c>
      <c r="EO63" s="60">
        <f ca="1">AVERAGE(OFFSET($EN$3,0,0,'Données projet'!$E$15+1,1))-AVERAGE(OFFSET($H$3,0,0,'Données projet'!$E$15+1,1))</f>
        <v>428.8489304403459</v>
      </c>
      <c r="EP63" s="60">
        <f t="shared" si="46"/>
        <v>247.01165577562966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42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235</v>
      </c>
      <c r="FC63" s="13">
        <f>VLOOKUP(A63,'Données projet'!$A$217:$I$237,9,0)</f>
        <v>7.6</v>
      </c>
      <c r="FD63" s="13">
        <f t="array" ref="FD63">INDEX(FC:FC,MIN(IF(ISNUMBER(FC63:FC259),ROW(FC63:FC259),"")))</f>
        <v>7.6</v>
      </c>
      <c r="FE63" s="13">
        <f>IF('Données projet'!$A$218&gt;35,FE62+FD63-FM62,IF(A63&lt;'Données projet'!$A$218,$FB$205^A63,IF(A63='Données projet'!$A$218,'Données projet'!$B$218,FE62+FD63-FM62)))</f>
        <v>234.99999999999997</v>
      </c>
      <c r="FF63" s="18">
        <f>FE63*VLOOKUP('Données projet'!$B$16,Paramètres!$A$1:$I$89,3,0)*VLOOKUP('Données projet'!$B$16,Paramètres!$A$1:$I$89,5,0)</f>
        <v>227.292</v>
      </c>
      <c r="FG63" s="14">
        <f t="shared" si="47"/>
        <v>55.6967456174837</v>
      </c>
      <c r="FH63" s="22">
        <f t="shared" si="22"/>
        <v>492.87206528378402</v>
      </c>
      <c r="FI63" s="60">
        <f t="shared" si="23"/>
        <v>786.20539861711734</v>
      </c>
      <c r="FJ63" s="60">
        <f ca="1">AVERAGE(OFFSET($FI$3,0,0,'Données projet'!$E$16+1,1))-AVERAGE(OFFSET($H$3,0,0,'Données projet'!$E$16+1,1))</f>
        <v>455.50822833641354</v>
      </c>
      <c r="FK63" s="60">
        <f t="shared" si="48"/>
        <v>261.14722581688039</v>
      </c>
      <c r="FL63" s="16">
        <f>IF(ISNA(VLOOKUP(A63,'Données projet'!$A$217:$I$237,3,0)),0,VLOOKUP(A63,'Données projet'!$A$217:$I$237,3,0))</f>
        <v>4</v>
      </c>
      <c r="FM63" s="16">
        <f>IF(ISNA(VLOOKUP(A63,'Données projet'!$A$217:$I$237,4,0)),0,VLOOKUP(A63,'Données projet'!$A$217:$I$237,4,0))</f>
        <v>42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 t="e">
        <f>N64*VLOOKUP('Données projet'!$B$9,Paramètres!$A$1:$I$89,3,0)*VLOOKUP('Données projet'!$B$9,Paramètres!$A$1:$I$89,5,0)</f>
        <v>#N/A</v>
      </c>
      <c r="P64" s="14" t="e">
        <f t="shared" si="33"/>
        <v>#N/A</v>
      </c>
      <c r="Q64" s="22" t="e">
        <f t="shared" si="53"/>
        <v>#N/A</v>
      </c>
      <c r="R64" s="60" t="e">
        <f t="shared" si="0"/>
        <v>#N/A</v>
      </c>
      <c r="S64" s="60" t="e">
        <f ca="1">AVERAGE(OFFSET($R$3,0,0,'Données projet'!$E$9+1,1))-AVERAGE(OFFSET($H$3,0,0,'Données projet'!$E$9+1,1))</f>
        <v>#N/A</v>
      </c>
      <c r="T64" s="60" t="e">
        <f t="shared" si="34"/>
        <v>#N/A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 t="e">
        <f>EXP(-LN(2)/35)*Z63+(1-EXP(-LN(2)/35))/(LN(2)/35)*V64*W64*VLOOKUP('Données projet'!$B$9,Paramètres!$A$1:$I$89,3,0)*0.475*44/12</f>
        <v>#N/A</v>
      </c>
      <c r="AA64" s="23" t="e">
        <f>EXP(-LN(2)/25)*AA63+(1-EXP(-LN(2)/25))/(LN(2)/25)*Calculateur!V64*Calculateur!X64*VLOOKUP('Données projet'!$B$9,Paramètres!$A$1:$I$89,3,0)*0.475*44/12</f>
        <v>#N/A</v>
      </c>
      <c r="AB64" s="23" t="e">
        <f>EXP(-LN(2)/2)*AB63+(1-EXP(-LN(2)/2))/(LN(2)/2)*V64*Y64*VLOOKUP('Données projet'!$B$9,Paramètres!$A$1:$I$89,3,0)*0.475*44/12</f>
        <v>#N/A</v>
      </c>
      <c r="AC64" s="24" t="e">
        <f t="shared" si="3"/>
        <v>#N/A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</v>
      </c>
      <c r="AI64" s="14">
        <f>IF('Données projet'!$A$62&gt;35,AI63+AH64-AQ63,IF(A64&lt;'Données projet'!$A$62,$AF$205^A64,IF(A64='Données projet'!$A$62,'Données projet'!$B$62,AI63+AH64-AQ63)))</f>
        <v>227.00000000000009</v>
      </c>
      <c r="AJ64" s="14">
        <f>AI64*VLOOKUP('Données projet'!$B$10,Paramètres!$A$1:$I$89,3,0)*VLOOKUP('Données projet'!$B$10,Paramètres!$A$1:$I$89,5,0)</f>
        <v>198.30720000000011</v>
      </c>
      <c r="AK64" s="14">
        <f t="shared" si="35"/>
        <v>49.371957679623414</v>
      </c>
      <c r="AL64" s="22">
        <f t="shared" si="4"/>
        <v>431.37453295867766</v>
      </c>
      <c r="AM64" s="60">
        <f t="shared" si="5"/>
        <v>724.70786629201098</v>
      </c>
      <c r="AN64" s="60">
        <f ca="1">AVERAGE(OFFSET($AM$3,0,0,'Données projet'!$E$10+1,1))-AVERAGE(OFFSET($H$3,0,0,'Données projet'!$E$10+1,1))</f>
        <v>325.06345339097095</v>
      </c>
      <c r="AO64" s="60">
        <f t="shared" si="36"/>
        <v>318.90379036810754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0" t="e">
        <f t="shared" si="8"/>
        <v>#N/A</v>
      </c>
      <c r="BI64" s="60" t="e">
        <f ca="1">AVERAGE(OFFSET($BH$3,0,0,'Données projet'!$E$11+1,1))-AVERAGE(OFFSET($H$3,0,0,'Données projet'!$E$11+1,1))</f>
        <v>#N/A</v>
      </c>
      <c r="BJ64" s="60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0" t="e">
        <f t="shared" si="11"/>
        <v>#N/A</v>
      </c>
      <c r="CD64" s="60" t="e">
        <f ca="1">AVERAGE(OFFSET($CC$3,0,0,'Données projet'!$E$12+1,1))-AVERAGE(OFFSET($H$3,0,0,'Données projet'!$E$12+1,1))</f>
        <v>#N/A</v>
      </c>
      <c r="CE64" s="60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174.89472000000001</v>
      </c>
      <c r="CV64" s="14">
        <f t="shared" si="41"/>
        <v>44.184460410211607</v>
      </c>
      <c r="CW64" s="22">
        <f t="shared" si="13"/>
        <v>381.56290588111852</v>
      </c>
      <c r="CX64" s="60">
        <f t="shared" si="14"/>
        <v>674.89623921445184</v>
      </c>
      <c r="CY64" s="60">
        <f ca="1">AVERAGE(OFFSET($CX$3,0,0,'Données projet'!$E$13+1,1))-AVERAGE(OFFSET($H$3,0,0,'Données projet'!$E$13+1,1))</f>
        <v>415.50509041799154</v>
      </c>
      <c r="CZ64" s="60">
        <f t="shared" si="42"/>
        <v>239.93573789765657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200.19999999999996</v>
      </c>
      <c r="DP64" s="18">
        <f>DO64*VLOOKUP('Données projet'!$B$14,Paramètres!$A$1:$I$89,3,0)*VLOOKUP('Données projet'!$B$14,Paramètres!$A$1:$I$89,5,0)</f>
        <v>203.00279999999995</v>
      </c>
      <c r="DQ64" s="14">
        <f t="shared" si="43"/>
        <v>50.403518824343074</v>
      </c>
      <c r="DR64" s="22">
        <f t="shared" si="16"/>
        <v>441.3493386190641</v>
      </c>
      <c r="DS64" s="60">
        <f t="shared" si="17"/>
        <v>734.68267195239741</v>
      </c>
      <c r="DT64" s="60">
        <f ca="1">AVERAGE(OFFSET($DS$3,0,0,'Données projet'!$E$14+1,1))-AVERAGE(OFFSET($H$3,0,0,'Données projet'!$E$14+1,1))</f>
        <v>475.47920969424894</v>
      </c>
      <c r="DU64" s="60">
        <f t="shared" si="44"/>
        <v>271.73544012419364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7.2</v>
      </c>
      <c r="EJ64" s="13">
        <f>IF('Données projet'!$A$192&gt;35,EJ63+EI64-ER63,IF(A64&lt;'Données projet'!$A$192,$EG$205^A64,IF(A64='Données projet'!$A$192,'Données projet'!$B$192,EJ63+EI64-ER63)))</f>
        <v>200.19999999999996</v>
      </c>
      <c r="EK64" s="18">
        <f>EJ64*VLOOKUP('Données projet'!$B$15,Paramètres!$A$1:$I$89,3,0)*VLOOKUP('Données projet'!$B$15,Paramètres!$A$1:$I$89,5,0)</f>
        <v>181.14095999999995</v>
      </c>
      <c r="EL64" s="14">
        <f t="shared" si="45"/>
        <v>45.575935320610945</v>
      </c>
      <c r="EM64" s="22">
        <f t="shared" si="19"/>
        <v>394.86525935006392</v>
      </c>
      <c r="EN64" s="60">
        <f t="shared" si="20"/>
        <v>688.19859268339724</v>
      </c>
      <c r="EO64" s="60">
        <f ca="1">AVERAGE(OFFSET($EN$3,0,0,'Données projet'!$E$15+1,1))-AVERAGE(OFFSET($H$3,0,0,'Données projet'!$E$15+1,1))</f>
        <v>428.8489304403459</v>
      </c>
      <c r="EP64" s="60">
        <f t="shared" si="46"/>
        <v>247.01165577562966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7.2</v>
      </c>
      <c r="FE64" s="13">
        <f>IF('Données projet'!$A$218&gt;35,FE63+FD64-FM63,IF(A64&lt;'Données projet'!$A$218,$FB$205^A64,IF(A64='Données projet'!$A$218,'Données projet'!$B$218,FE63+FD64-FM63)))</f>
        <v>200.19999999999996</v>
      </c>
      <c r="FF64" s="18">
        <f>FE64*VLOOKUP('Données projet'!$B$16,Paramètres!$A$1:$I$89,3,0)*VLOOKUP('Données projet'!$B$16,Paramètres!$A$1:$I$89,5,0)</f>
        <v>193.63343999999998</v>
      </c>
      <c r="FG64" s="14">
        <f t="shared" si="47"/>
        <v>48.342367086681229</v>
      </c>
      <c r="FH64" s="22">
        <f t="shared" si="22"/>
        <v>421.44119734263637</v>
      </c>
      <c r="FI64" s="60">
        <f t="shared" si="23"/>
        <v>714.77453067596969</v>
      </c>
      <c r="FJ64" s="60">
        <f ca="1">AVERAGE(OFFSET($FI$3,0,0,'Données projet'!$E$16+1,1))-AVERAGE(OFFSET($H$3,0,0,'Données projet'!$E$16+1,1))</f>
        <v>455.50822833641354</v>
      </c>
      <c r="FK64" s="60">
        <f t="shared" si="48"/>
        <v>261.14722581688039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 t="e">
        <f>N65*VLOOKUP('Données projet'!$B$9,Paramètres!$A$1:$I$89,3,0)*VLOOKUP('Données projet'!$B$9,Paramètres!$A$1:$I$89,5,0)</f>
        <v>#N/A</v>
      </c>
      <c r="P65" s="14" t="e">
        <f t="shared" si="33"/>
        <v>#N/A</v>
      </c>
      <c r="Q65" s="22" t="e">
        <f t="shared" si="53"/>
        <v>#N/A</v>
      </c>
      <c r="R65" s="60" t="e">
        <f t="shared" si="0"/>
        <v>#N/A</v>
      </c>
      <c r="S65" s="60" t="e">
        <f ca="1">AVERAGE(OFFSET($R$3,0,0,'Données projet'!$E$9+1,1))-AVERAGE(OFFSET($H$3,0,0,'Données projet'!$E$9+1,1))</f>
        <v>#N/A</v>
      </c>
      <c r="T65" s="60" t="e">
        <f t="shared" si="34"/>
        <v>#N/A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 t="e">
        <f>EXP(-LN(2)/35)*Z64+(1-EXP(-LN(2)/35))/(LN(2)/35)*V65*W65*VLOOKUP('Données projet'!$B$9,Paramètres!$A$1:$I$89,3,0)*0.475*44/12</f>
        <v>#N/A</v>
      </c>
      <c r="AA65" s="23" t="e">
        <f>EXP(-LN(2)/25)*AA64+(1-EXP(-LN(2)/25))/(LN(2)/25)*Calculateur!V65*Calculateur!X65*VLOOKUP('Données projet'!$B$9,Paramètres!$A$1:$I$89,3,0)*0.475*44/12</f>
        <v>#N/A</v>
      </c>
      <c r="AB65" s="23" t="e">
        <f>EXP(-LN(2)/2)*AB64+(1-EXP(-LN(2)/2))/(LN(2)/2)*V65*Y65*VLOOKUP('Données projet'!$B$9,Paramètres!$A$1:$I$89,3,0)*0.475*44/12</f>
        <v>#N/A</v>
      </c>
      <c r="AC65" s="24" t="e">
        <f t="shared" si="3"/>
        <v>#N/A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</v>
      </c>
      <c r="AI65" s="14">
        <f>IF('Données projet'!$A$62&gt;35,AI64+AH65-AQ64,IF(A65&lt;'Données projet'!$A$62,$AF$205^A65,IF(A65='Données projet'!$A$62,'Données projet'!$B$62,AI64+AH65-AQ64)))</f>
        <v>234.00000000000009</v>
      </c>
      <c r="AJ65" s="14">
        <f>AI65*VLOOKUP('Données projet'!$B$10,Paramètres!$A$1:$I$89,3,0)*VLOOKUP('Données projet'!$B$10,Paramètres!$A$1:$I$89,5,0)</f>
        <v>204.4224000000001</v>
      </c>
      <c r="AK65" s="14">
        <f t="shared" si="35"/>
        <v>50.714836797527312</v>
      </c>
      <c r="AL65" s="22">
        <f t="shared" si="4"/>
        <v>444.3640207556935</v>
      </c>
      <c r="AM65" s="60">
        <f t="shared" si="5"/>
        <v>737.69735408902682</v>
      </c>
      <c r="AN65" s="60">
        <f ca="1">AVERAGE(OFFSET($AM$3,0,0,'Données projet'!$E$10+1,1))-AVERAGE(OFFSET($H$3,0,0,'Données projet'!$E$10+1,1))</f>
        <v>325.06345339097095</v>
      </c>
      <c r="AO65" s="60">
        <f t="shared" si="36"/>
        <v>318.90379036810754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0" t="e">
        <f t="shared" si="8"/>
        <v>#N/A</v>
      </c>
      <c r="BI65" s="60" t="e">
        <f ca="1">AVERAGE(OFFSET($BH$3,0,0,'Données projet'!$E$11+1,1))-AVERAGE(OFFSET($H$3,0,0,'Données projet'!$E$11+1,1))</f>
        <v>#N/A</v>
      </c>
      <c r="BJ65" s="60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0" t="e">
        <f t="shared" si="11"/>
        <v>#N/A</v>
      </c>
      <c r="CD65" s="60" t="e">
        <f ca="1">AVERAGE(OFFSET($CC$3,0,0,'Données projet'!$E$12+1,1))-AVERAGE(OFFSET($H$3,0,0,'Données projet'!$E$12+1,1))</f>
        <v>#N/A</v>
      </c>
      <c r="CE65" s="60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181.18463999999997</v>
      </c>
      <c r="CV65" s="14">
        <f t="shared" si="41"/>
        <v>45.585646034700282</v>
      </c>
      <c r="CW65" s="22">
        <f t="shared" si="13"/>
        <v>394.95824817710292</v>
      </c>
      <c r="CX65" s="60">
        <f t="shared" si="14"/>
        <v>688.29158151043623</v>
      </c>
      <c r="CY65" s="60">
        <f ca="1">AVERAGE(OFFSET($CX$3,0,0,'Données projet'!$E$13+1,1))-AVERAGE(OFFSET($H$3,0,0,'Données projet'!$E$13+1,1))</f>
        <v>415.50509041799154</v>
      </c>
      <c r="CZ65" s="60">
        <f t="shared" si="42"/>
        <v>239.93573789765657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207.39999999999995</v>
      </c>
      <c r="DP65" s="18">
        <f>DO65*VLOOKUP('Données projet'!$B$14,Paramètres!$A$1:$I$89,3,0)*VLOOKUP('Données projet'!$B$14,Paramètres!$A$1:$I$89,5,0)</f>
        <v>210.30359999999996</v>
      </c>
      <c r="DQ65" s="14">
        <f t="shared" si="43"/>
        <v>52.001924357524459</v>
      </c>
      <c r="DR65" s="22">
        <f t="shared" si="16"/>
        <v>456.84878825602163</v>
      </c>
      <c r="DS65" s="60">
        <f t="shared" si="17"/>
        <v>750.18212158935489</v>
      </c>
      <c r="DT65" s="60">
        <f ca="1">AVERAGE(OFFSET($DS$3,0,0,'Données projet'!$E$14+1,1))-AVERAGE(OFFSET($H$3,0,0,'Données projet'!$E$14+1,1))</f>
        <v>475.47920969424894</v>
      </c>
      <c r="DU65" s="60">
        <f t="shared" si="44"/>
        <v>271.73544012419364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7.2</v>
      </c>
      <c r="EJ65" s="13">
        <f>IF('Données projet'!$A$192&gt;35,EJ64+EI65-ER64,IF(A65&lt;'Données projet'!$A$192,$EG$205^A65,IF(A65='Données projet'!$A$192,'Données projet'!$B$192,EJ64+EI65-ER64)))</f>
        <v>207.39999999999995</v>
      </c>
      <c r="EK65" s="18">
        <f>EJ65*VLOOKUP('Données projet'!$B$15,Paramètres!$A$1:$I$89,3,0)*VLOOKUP('Données projet'!$B$15,Paramètres!$A$1:$I$89,5,0)</f>
        <v>187.65551999999994</v>
      </c>
      <c r="EL65" s="14">
        <f t="shared" si="45"/>
        <v>47.021247649900147</v>
      </c>
      <c r="EM65" s="22">
        <f t="shared" si="19"/>
        <v>408.72870365690932</v>
      </c>
      <c r="EN65" s="60">
        <f t="shared" si="20"/>
        <v>702.06203699024263</v>
      </c>
      <c r="EO65" s="60">
        <f ca="1">AVERAGE(OFFSET($EN$3,0,0,'Données projet'!$E$15+1,1))-AVERAGE(OFFSET($H$3,0,0,'Données projet'!$E$15+1,1))</f>
        <v>428.8489304403459</v>
      </c>
      <c r="EP65" s="60">
        <f t="shared" si="46"/>
        <v>247.01165577562966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7.2</v>
      </c>
      <c r="FE65" s="13">
        <f>IF('Données projet'!$A$218&gt;35,FE64+FD65-FM64,IF(A65&lt;'Données projet'!$A$218,$FB$205^A65,IF(A65='Données projet'!$A$218,'Données projet'!$B$218,FE64+FD65-FM64)))</f>
        <v>207.39999999999995</v>
      </c>
      <c r="FF65" s="18">
        <f>FE65*VLOOKUP('Données projet'!$B$16,Paramètres!$A$1:$I$89,3,0)*VLOOKUP('Données projet'!$B$16,Paramètres!$A$1:$I$89,5,0)</f>
        <v>200.59727999999996</v>
      </c>
      <c r="FG65" s="14">
        <f t="shared" si="47"/>
        <v>49.875409002022977</v>
      </c>
      <c r="FH65" s="22">
        <f t="shared" si="22"/>
        <v>436.23993334518991</v>
      </c>
      <c r="FI65" s="60">
        <f t="shared" si="23"/>
        <v>729.57326667852317</v>
      </c>
      <c r="FJ65" s="60">
        <f ca="1">AVERAGE(OFFSET($FI$3,0,0,'Données projet'!$E$16+1,1))-AVERAGE(OFFSET($H$3,0,0,'Données projet'!$E$16+1,1))</f>
        <v>455.50822833641354</v>
      </c>
      <c r="FK65" s="60">
        <f t="shared" si="48"/>
        <v>261.14722581688039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 t="e">
        <f>N66*VLOOKUP('Données projet'!$B$9,Paramètres!$A$1:$I$89,3,0)*VLOOKUP('Données projet'!$B$9,Paramètres!$A$1:$I$89,5,0)</f>
        <v>#N/A</v>
      </c>
      <c r="P66" s="14" t="e">
        <f t="shared" si="33"/>
        <v>#N/A</v>
      </c>
      <c r="Q66" s="22" t="e">
        <f t="shared" si="53"/>
        <v>#N/A</v>
      </c>
      <c r="R66" s="60" t="e">
        <f t="shared" si="0"/>
        <v>#N/A</v>
      </c>
      <c r="S66" s="60" t="e">
        <f ca="1">AVERAGE(OFFSET($R$3,0,0,'Données projet'!$E$9+1,1))-AVERAGE(OFFSET($H$3,0,0,'Données projet'!$E$9+1,1))</f>
        <v>#N/A</v>
      </c>
      <c r="T66" s="60" t="e">
        <f t="shared" si="34"/>
        <v>#N/A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 t="e">
        <f>EXP(-LN(2)/35)*Z65+(1-EXP(-LN(2)/35))/(LN(2)/35)*V66*W66*VLOOKUP('Données projet'!$B$9,Paramètres!$A$1:$I$89,3,0)*0.475*44/12</f>
        <v>#N/A</v>
      </c>
      <c r="AA66" s="23" t="e">
        <f>EXP(-LN(2)/25)*AA65+(1-EXP(-LN(2)/25))/(LN(2)/25)*Calculateur!V66*Calculateur!X66*VLOOKUP('Données projet'!$B$9,Paramètres!$A$1:$I$89,3,0)*0.475*44/12</f>
        <v>#N/A</v>
      </c>
      <c r="AB66" s="23" t="e">
        <f>EXP(-LN(2)/2)*AB65+(1-EXP(-LN(2)/2))/(LN(2)/2)*V66*Y66*VLOOKUP('Données projet'!$B$9,Paramètres!$A$1:$I$89,3,0)*0.475*44/12</f>
        <v>#N/A</v>
      </c>
      <c r="AC66" s="24" t="e">
        <f t="shared" si="3"/>
        <v>#N/A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</v>
      </c>
      <c r="AI66" s="14">
        <f>IF('Données projet'!$A$62&gt;35,AI65+AH66-AQ65,IF(A66&lt;'Données projet'!$A$62,$AF$205^A66,IF(A66='Données projet'!$A$62,'Données projet'!$B$62,AI65+AH66-AQ65)))</f>
        <v>241.00000000000009</v>
      </c>
      <c r="AJ66" s="14">
        <f>AI66*VLOOKUP('Données projet'!$B$10,Paramètres!$A$1:$I$89,3,0)*VLOOKUP('Données projet'!$B$10,Paramètres!$A$1:$I$89,5,0)</f>
        <v>210.53760000000011</v>
      </c>
      <c r="AK66" s="14">
        <f t="shared" si="35"/>
        <v>52.053047337322276</v>
      </c>
      <c r="AL66" s="22">
        <f t="shared" si="4"/>
        <v>457.34537744583645</v>
      </c>
      <c r="AM66" s="60">
        <f t="shared" si="5"/>
        <v>750.67871077916971</v>
      </c>
      <c r="AN66" s="60">
        <f ca="1">AVERAGE(OFFSET($AM$3,0,0,'Données projet'!$E$10+1,1))-AVERAGE(OFFSET($H$3,0,0,'Données projet'!$E$10+1,1))</f>
        <v>325.06345339097095</v>
      </c>
      <c r="AO66" s="60">
        <f t="shared" si="36"/>
        <v>318.90379036810754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0" t="e">
        <f t="shared" si="8"/>
        <v>#N/A</v>
      </c>
      <c r="BI66" s="60" t="e">
        <f ca="1">AVERAGE(OFFSET($BH$3,0,0,'Données projet'!$E$11+1,1))-AVERAGE(OFFSET($H$3,0,0,'Données projet'!$E$11+1,1))</f>
        <v>#N/A</v>
      </c>
      <c r="BJ66" s="60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0" t="e">
        <f t="shared" si="11"/>
        <v>#N/A</v>
      </c>
      <c r="CD66" s="60" t="e">
        <f ca="1">AVERAGE(OFFSET($CC$3,0,0,'Données projet'!$E$12+1,1))-AVERAGE(OFFSET($H$3,0,0,'Données projet'!$E$12+1,1))</f>
        <v>#N/A</v>
      </c>
      <c r="CE66" s="60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187.47455999999997</v>
      </c>
      <c r="CV66" s="14">
        <f t="shared" si="41"/>
        <v>46.981179851370101</v>
      </c>
      <c r="CW66" s="22">
        <f t="shared" si="13"/>
        <v>408.34374690780288</v>
      </c>
      <c r="CX66" s="60">
        <f t="shared" si="14"/>
        <v>701.6770802411362</v>
      </c>
      <c r="CY66" s="60">
        <f ca="1">AVERAGE(OFFSET($CX$3,0,0,'Données projet'!$E$13+1,1))-AVERAGE(OFFSET($H$3,0,0,'Données projet'!$E$13+1,1))</f>
        <v>415.50509041799154</v>
      </c>
      <c r="CZ66" s="60">
        <f t="shared" si="42"/>
        <v>239.93573789765657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214.59999999999994</v>
      </c>
      <c r="DP66" s="18">
        <f>DO66*VLOOKUP('Données projet'!$B$14,Paramètres!$A$1:$I$89,3,0)*VLOOKUP('Données projet'!$B$14,Paramètres!$A$1:$I$89,5,0)</f>
        <v>217.60439999999994</v>
      </c>
      <c r="DQ66" s="14">
        <f t="shared" si="43"/>
        <v>53.593882578706356</v>
      </c>
      <c r="DR66" s="22">
        <f t="shared" si="16"/>
        <v>472.33700882458015</v>
      </c>
      <c r="DS66" s="60">
        <f t="shared" si="17"/>
        <v>765.67034215791341</v>
      </c>
      <c r="DT66" s="60">
        <f ca="1">AVERAGE(OFFSET($DS$3,0,0,'Données projet'!$E$14+1,1))-AVERAGE(OFFSET($H$3,0,0,'Données projet'!$E$14+1,1))</f>
        <v>475.47920969424894</v>
      </c>
      <c r="DU66" s="60">
        <f t="shared" si="44"/>
        <v>271.73544012419364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7.2</v>
      </c>
      <c r="EJ66" s="13">
        <f>IF('Données projet'!$A$192&gt;35,EJ65+EI66-ER65,IF(A66&lt;'Données projet'!$A$192,$EG$205^A66,IF(A66='Données projet'!$A$192,'Données projet'!$B$192,EJ65+EI66-ER65)))</f>
        <v>214.59999999999994</v>
      </c>
      <c r="EK66" s="18">
        <f>EJ66*VLOOKUP('Données projet'!$B$15,Paramètres!$A$1:$I$89,3,0)*VLOOKUP('Données projet'!$B$15,Paramètres!$A$1:$I$89,5,0)</f>
        <v>194.17007999999996</v>
      </c>
      <c r="EL66" s="14">
        <f t="shared" si="45"/>
        <v>48.460730182351035</v>
      </c>
      <c r="EM66" s="22">
        <f t="shared" si="19"/>
        <v>422.5819944009279</v>
      </c>
      <c r="EN66" s="60">
        <f t="shared" si="20"/>
        <v>715.91532773426115</v>
      </c>
      <c r="EO66" s="60">
        <f ca="1">AVERAGE(OFFSET($EN$3,0,0,'Données projet'!$E$15+1,1))-AVERAGE(OFFSET($H$3,0,0,'Données projet'!$E$15+1,1))</f>
        <v>428.8489304403459</v>
      </c>
      <c r="EP66" s="60">
        <f t="shared" si="46"/>
        <v>247.01165577562966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7.2</v>
      </c>
      <c r="FE66" s="13">
        <f>IF('Données projet'!$A$218&gt;35,FE65+FD66-FM65,IF(A66&lt;'Données projet'!$A$218,$FB$205^A66,IF(A66='Données projet'!$A$218,'Données projet'!$B$218,FE65+FD66-FM65)))</f>
        <v>214.59999999999994</v>
      </c>
      <c r="FF66" s="18">
        <f>FE66*VLOOKUP('Données projet'!$B$16,Paramètres!$A$1:$I$89,3,0)*VLOOKUP('Données projet'!$B$16,Paramètres!$A$1:$I$89,5,0)</f>
        <v>207.56111999999996</v>
      </c>
      <c r="FG66" s="14">
        <f t="shared" si="47"/>
        <v>51.40226725537714</v>
      </c>
      <c r="FH66" s="22">
        <f t="shared" si="22"/>
        <v>451.02789946978169</v>
      </c>
      <c r="FI66" s="60">
        <f t="shared" si="23"/>
        <v>744.36123280311494</v>
      </c>
      <c r="FJ66" s="60">
        <f ca="1">AVERAGE(OFFSET($FI$3,0,0,'Données projet'!$E$16+1,1))-AVERAGE(OFFSET($H$3,0,0,'Données projet'!$E$16+1,1))</f>
        <v>455.50822833641354</v>
      </c>
      <c r="FK66" s="60">
        <f t="shared" si="48"/>
        <v>261.14722581688039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 t="e">
        <f>N67*VLOOKUP('Données projet'!$B$9,Paramètres!$A$1:$I$89,3,0)*VLOOKUP('Données projet'!$B$9,Paramètres!$A$1:$I$89,5,0)</f>
        <v>#N/A</v>
      </c>
      <c r="P67" s="14" t="e">
        <f t="shared" si="33"/>
        <v>#N/A</v>
      </c>
      <c r="Q67" s="22" t="e">
        <f t="shared" ref="Q67:Q98" si="54">(O67+P67)*0.475*44/12</f>
        <v>#N/A</v>
      </c>
      <c r="R67" s="60" t="e">
        <f t="shared" ref="R67:R130" si="55">Q67+(I67+J67)*44/12</f>
        <v>#N/A</v>
      </c>
      <c r="S67" s="60" t="e">
        <f ca="1">AVERAGE(OFFSET($R$3,0,0,'Données projet'!$E$9+1,1))-AVERAGE(OFFSET($H$3,0,0,'Données projet'!$E$9+1,1))</f>
        <v>#N/A</v>
      </c>
      <c r="T67" s="60" t="e">
        <f t="shared" si="34"/>
        <v>#N/A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 t="e">
        <f>EXP(-LN(2)/35)*Z66+(1-EXP(-LN(2)/35))/(LN(2)/35)*V67*W67*VLOOKUP('Données projet'!$B$9,Paramètres!$A$1:$I$89,3,0)*0.475*44/12</f>
        <v>#N/A</v>
      </c>
      <c r="AA67" s="23" t="e">
        <f>EXP(-LN(2)/25)*AA66+(1-EXP(-LN(2)/25))/(LN(2)/25)*Calculateur!V67*Calculateur!X67*VLOOKUP('Données projet'!$B$9,Paramètres!$A$1:$I$89,3,0)*0.475*44/12</f>
        <v>#N/A</v>
      </c>
      <c r="AB67" s="23" t="e">
        <f>EXP(-LN(2)/2)*AB66+(1-EXP(-LN(2)/2))/(LN(2)/2)*V67*Y67*VLOOKUP('Données projet'!$B$9,Paramètres!$A$1:$I$89,3,0)*0.475*44/12</f>
        <v>#N/A</v>
      </c>
      <c r="AC67" s="24" t="e">
        <f t="shared" si="3"/>
        <v>#N/A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</v>
      </c>
      <c r="AI67" s="14">
        <f>IF('Données projet'!$A$62&gt;35,AI66+AH67-AQ66,IF(A67&lt;'Données projet'!$A$62,$AF$205^A67,IF(A67='Données projet'!$A$62,'Données projet'!$B$62,AI66+AH67-AQ66)))</f>
        <v>248.00000000000009</v>
      </c>
      <c r="AJ67" s="14">
        <f>AI67*VLOOKUP('Données projet'!$B$10,Paramètres!$A$1:$I$89,3,0)*VLOOKUP('Données projet'!$B$10,Paramètres!$A$1:$I$89,5,0)</f>
        <v>216.6528000000001</v>
      </c>
      <c r="AK67" s="14">
        <f t="shared" si="35"/>
        <v>53.38674047237987</v>
      </c>
      <c r="AL67" s="22">
        <f t="shared" si="4"/>
        <v>470.31886632272835</v>
      </c>
      <c r="AM67" s="60">
        <f t="shared" si="5"/>
        <v>763.65219965606161</v>
      </c>
      <c r="AN67" s="60">
        <f ca="1">AVERAGE(OFFSET($AM$3,0,0,'Données projet'!$E$10+1,1))-AVERAGE(OFFSET($H$3,0,0,'Données projet'!$E$10+1,1))</f>
        <v>325.06345339097095</v>
      </c>
      <c r="AO67" s="60">
        <f t="shared" si="36"/>
        <v>318.90379036810754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0" t="e">
        <f t="shared" si="8"/>
        <v>#N/A</v>
      </c>
      <c r="BI67" s="60" t="e">
        <f ca="1">AVERAGE(OFFSET($BH$3,0,0,'Données projet'!$E$11+1,1))-AVERAGE(OFFSET($H$3,0,0,'Données projet'!$E$11+1,1))</f>
        <v>#N/A</v>
      </c>
      <c r="BJ67" s="60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0" t="e">
        <f t="shared" si="11"/>
        <v>#N/A</v>
      </c>
      <c r="CD67" s="60" t="e">
        <f ca="1">AVERAGE(OFFSET($CC$3,0,0,'Données projet'!$E$12+1,1))-AVERAGE(OFFSET($H$3,0,0,'Données projet'!$E$12+1,1))</f>
        <v>#N/A</v>
      </c>
      <c r="CE67" s="60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193.76447999999996</v>
      </c>
      <c r="CV67" s="14">
        <f t="shared" si="41"/>
        <v>48.371273222646451</v>
      </c>
      <c r="CW67" s="22">
        <f t="shared" si="13"/>
        <v>421.71977019610921</v>
      </c>
      <c r="CX67" s="60">
        <f t="shared" si="14"/>
        <v>715.05310352944252</v>
      </c>
      <c r="CY67" s="60">
        <f ca="1">AVERAGE(OFFSET($CX$3,0,0,'Données projet'!$E$13+1,1))-AVERAGE(OFFSET($H$3,0,0,'Données projet'!$E$13+1,1))</f>
        <v>415.50509041799154</v>
      </c>
      <c r="CZ67" s="60">
        <f t="shared" si="42"/>
        <v>239.93573789765657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221.79999999999993</v>
      </c>
      <c r="DP67" s="18">
        <f>DO67*VLOOKUP('Données projet'!$B$14,Paramètres!$A$1:$I$89,3,0)*VLOOKUP('Données projet'!$B$14,Paramètres!$A$1:$I$89,5,0)</f>
        <v>224.90519999999995</v>
      </c>
      <c r="DQ67" s="14">
        <f t="shared" si="43"/>
        <v>55.17963460003309</v>
      </c>
      <c r="DR67" s="22">
        <f t="shared" si="16"/>
        <v>487.81442026172425</v>
      </c>
      <c r="DS67" s="60">
        <f t="shared" si="17"/>
        <v>781.14775359505757</v>
      </c>
      <c r="DT67" s="60">
        <f ca="1">AVERAGE(OFFSET($DS$3,0,0,'Données projet'!$E$14+1,1))-AVERAGE(OFFSET($H$3,0,0,'Données projet'!$E$14+1,1))</f>
        <v>475.47920969424894</v>
      </c>
      <c r="DU67" s="60">
        <f t="shared" si="44"/>
        <v>271.73544012419364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7.2</v>
      </c>
      <c r="EJ67" s="13">
        <f>IF('Données projet'!$A$192&gt;35,EJ66+EI67-ER66,IF(A67&lt;'Données projet'!$A$192,$EG$205^A67,IF(A67='Données projet'!$A$192,'Données projet'!$B$192,EJ66+EI67-ER66)))</f>
        <v>221.79999999999993</v>
      </c>
      <c r="EK67" s="18">
        <f>EJ67*VLOOKUP('Données projet'!$B$15,Paramètres!$A$1:$I$89,3,0)*VLOOKUP('Données projet'!$B$15,Paramètres!$A$1:$I$89,5,0)</f>
        <v>200.68463999999992</v>
      </c>
      <c r="EL67" s="14">
        <f t="shared" si="45"/>
        <v>49.894600936700193</v>
      </c>
      <c r="EM67" s="22">
        <f t="shared" si="19"/>
        <v>436.42551129808606</v>
      </c>
      <c r="EN67" s="60">
        <f t="shared" si="20"/>
        <v>729.75884463141938</v>
      </c>
      <c r="EO67" s="60">
        <f ca="1">AVERAGE(OFFSET($EN$3,0,0,'Données projet'!$E$15+1,1))-AVERAGE(OFFSET($H$3,0,0,'Données projet'!$E$15+1,1))</f>
        <v>428.8489304403459</v>
      </c>
      <c r="EP67" s="60">
        <f t="shared" si="46"/>
        <v>247.01165577562966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7.2</v>
      </c>
      <c r="FE67" s="13">
        <f>IF('Données projet'!$A$218&gt;35,FE66+FD67-FM66,IF(A67&lt;'Données projet'!$A$218,$FB$205^A67,IF(A67='Données projet'!$A$218,'Données projet'!$B$218,FE66+FD67-FM66)))</f>
        <v>221.79999999999993</v>
      </c>
      <c r="FF67" s="18">
        <f>FE67*VLOOKUP('Données projet'!$B$16,Paramètres!$A$1:$I$89,3,0)*VLOOKUP('Données projet'!$B$16,Paramètres!$A$1:$I$89,5,0)</f>
        <v>214.52495999999994</v>
      </c>
      <c r="FG67" s="14">
        <f t="shared" si="47"/>
        <v>52.923173099085716</v>
      </c>
      <c r="FH67" s="22">
        <f t="shared" si="22"/>
        <v>465.80549848090754</v>
      </c>
      <c r="FI67" s="60">
        <f t="shared" si="23"/>
        <v>759.1388318142408</v>
      </c>
      <c r="FJ67" s="60">
        <f ca="1">AVERAGE(OFFSET($FI$3,0,0,'Données projet'!$E$16+1,1))-AVERAGE(OFFSET($H$3,0,0,'Données projet'!$E$16+1,1))</f>
        <v>455.50822833641354</v>
      </c>
      <c r="FK67" s="60">
        <f t="shared" si="48"/>
        <v>261.14722581688039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 t="e">
        <f>N68*VLOOKUP('Données projet'!$B$9,Paramètres!$A$1:$I$89,3,0)*VLOOKUP('Données projet'!$B$9,Paramètres!$A$1:$I$89,5,0)</f>
        <v>#N/A</v>
      </c>
      <c r="P68" s="14" t="e">
        <f t="shared" si="33"/>
        <v>#N/A</v>
      </c>
      <c r="Q68" s="22" t="e">
        <f t="shared" si="54"/>
        <v>#N/A</v>
      </c>
      <c r="R68" s="60" t="e">
        <f t="shared" si="55"/>
        <v>#N/A</v>
      </c>
      <c r="S68" s="60" t="e">
        <f ca="1">AVERAGE(OFFSET($R$3,0,0,'Données projet'!$E$9+1,1))-AVERAGE(OFFSET($H$3,0,0,'Données projet'!$E$9+1,1))</f>
        <v>#N/A</v>
      </c>
      <c r="T68" s="60" t="e">
        <f t="shared" si="34"/>
        <v>#N/A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 t="e">
        <f>EXP(-LN(2)/35)*Z67+(1-EXP(-LN(2)/35))/(LN(2)/35)*V68*W68*VLOOKUP('Données projet'!$B$9,Paramètres!$A$1:$I$89,3,0)*0.475*44/12</f>
        <v>#N/A</v>
      </c>
      <c r="AA68" s="23" t="e">
        <f>EXP(-LN(2)/25)*AA67+(1-EXP(-LN(2)/25))/(LN(2)/25)*Calculateur!V68*Calculateur!X68*VLOOKUP('Données projet'!$B$9,Paramètres!$A$1:$I$89,3,0)*0.475*44/12</f>
        <v>#N/A</v>
      </c>
      <c r="AB68" s="23" t="e">
        <f>EXP(-LN(2)/2)*AB67+(1-EXP(-LN(2)/2))/(LN(2)/2)*V68*Y68*VLOOKUP('Données projet'!$B$9,Paramètres!$A$1:$I$89,3,0)*0.475*44/12</f>
        <v>#N/A</v>
      </c>
      <c r="AC68" s="24" t="e">
        <f t="shared" ref="AC68:AC131" si="57">SUM(Z68:AB68)</f>
        <v>#N/A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255</v>
      </c>
      <c r="AG68" s="13">
        <f>VLOOKUP(A68,'Données projet'!$A$61:$I$81,9,0)</f>
        <v>7</v>
      </c>
      <c r="AH68" s="13">
        <f t="array" ref="AH68">INDEX(AG:AG,MIN(IF(ISNUMBER(AG68:AG264),ROW(AG68:AG264),"")))</f>
        <v>7</v>
      </c>
      <c r="AI68" s="14">
        <f>IF('Données projet'!$A$62&gt;35,AI67+AH68-AQ67,IF(A68&lt;'Données projet'!$A$62,$AF$205^A68,IF(A68='Données projet'!$A$62,'Données projet'!$B$62,AI67+AH68-AQ67)))</f>
        <v>255.00000000000009</v>
      </c>
      <c r="AJ68" s="14">
        <f>AI68*VLOOKUP('Données projet'!$B$10,Paramètres!$A$1:$I$89,3,0)*VLOOKUP('Données projet'!$B$10,Paramètres!$A$1:$I$89,5,0)</f>
        <v>222.76800000000011</v>
      </c>
      <c r="AK68" s="14">
        <f t="shared" si="35"/>
        <v>54.716058356609508</v>
      </c>
      <c r="AL68" s="22">
        <f t="shared" ref="AL68:AL131" si="58">(AJ68+AK68)*0.475*44/12</f>
        <v>483.28473497109513</v>
      </c>
      <c r="AM68" s="60">
        <f t="shared" ref="AM68:AM131" si="59">AL68+(AD68+AE68)*44/12</f>
        <v>776.61806830442845</v>
      </c>
      <c r="AN68" s="60">
        <f ca="1">AVERAGE(OFFSET($AM$3,0,0,'Données projet'!$E$10+1,1))-AVERAGE(OFFSET($H$3,0,0,'Données projet'!$E$10+1,1))</f>
        <v>325.06345339097095</v>
      </c>
      <c r="AO68" s="60">
        <f t="shared" si="36"/>
        <v>318.90379036810754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0" t="e">
        <f t="shared" ref="BH68:BH131" si="62">BG68+(AY68+AZ68)*44/12</f>
        <v>#N/A</v>
      </c>
      <c r="BI68" s="60" t="e">
        <f ca="1">AVERAGE(OFFSET($BH$3,0,0,'Données projet'!$E$11+1,1))-AVERAGE(OFFSET($H$3,0,0,'Données projet'!$E$11+1,1))</f>
        <v>#N/A</v>
      </c>
      <c r="BJ68" s="60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0" t="e">
        <f t="shared" ref="CC68:CC131" si="65">CB68+(BT68+BU68)*44/12</f>
        <v>#N/A</v>
      </c>
      <c r="CD68" s="60" t="e">
        <f ca="1">AVERAGE(OFFSET($CC$3,0,0,'Données projet'!$E$12+1,1))-AVERAGE(OFFSET($H$3,0,0,'Données projet'!$E$12+1,1))</f>
        <v>#N/A</v>
      </c>
      <c r="CE68" s="60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200.05439999999993</v>
      </c>
      <c r="CV68" s="14">
        <f t="shared" si="41"/>
        <v>49.756123009618186</v>
      </c>
      <c r="CW68" s="22">
        <f t="shared" ref="CW68:CW131" si="67">(CU68+CV68)*0.475*44/12</f>
        <v>435.0866609084182</v>
      </c>
      <c r="CX68" s="60">
        <f t="shared" ref="CX68:CX131" si="68">CW68+(CO68+CP68)*44/12</f>
        <v>728.41999424175151</v>
      </c>
      <c r="CY68" s="60">
        <f ca="1">AVERAGE(OFFSET($CX$3,0,0,'Données projet'!$E$13+1,1))-AVERAGE(OFFSET($H$3,0,0,'Données projet'!$E$13+1,1))</f>
        <v>415.50509041799154</v>
      </c>
      <c r="CZ68" s="60">
        <f t="shared" si="42"/>
        <v>239.93573789765657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228.99999999999991</v>
      </c>
      <c r="DP68" s="18">
        <f>DO68*VLOOKUP('Données projet'!$B$14,Paramètres!$A$1:$I$89,3,0)*VLOOKUP('Données projet'!$B$14,Paramètres!$A$1:$I$89,5,0)</f>
        <v>232.2059999999999</v>
      </c>
      <c r="DQ68" s="14">
        <f t="shared" si="43"/>
        <v>56.759404991217522</v>
      </c>
      <c r="DR68" s="22">
        <f t="shared" ref="DR68:DR131" si="70">(DP68+DQ68)*0.475*44/12</f>
        <v>503.281413693037</v>
      </c>
      <c r="DS68" s="60">
        <f t="shared" ref="DS68:DS131" si="71">DR68+(DJ68+DK68)*44/12</f>
        <v>796.61474702637031</v>
      </c>
      <c r="DT68" s="60">
        <f ca="1">AVERAGE(OFFSET($DS$3,0,0,'Données projet'!$E$14+1,1))-AVERAGE(OFFSET($H$3,0,0,'Données projet'!$E$14+1,1))</f>
        <v>475.47920969424894</v>
      </c>
      <c r="DU68" s="60">
        <f t="shared" si="44"/>
        <v>271.73544012419364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229</v>
      </c>
      <c r="EH68" s="13">
        <f>VLOOKUP(A68,'Données projet'!$A$191:$I$211,9,0)</f>
        <v>7.2</v>
      </c>
      <c r="EI68" s="13">
        <f t="array" ref="EI68">INDEX(EH:EH,MIN(IF(ISNUMBER(EH68:EH264),ROW(EH68:EH264),"")))</f>
        <v>7.2</v>
      </c>
      <c r="EJ68" s="13">
        <f>IF('Données projet'!$A$192&gt;35,EJ67+EI68-ER67,IF(A68&lt;'Données projet'!$A$192,$EG$205^A68,IF(A68='Données projet'!$A$192,'Données projet'!$B$192,EJ67+EI68-ER67)))</f>
        <v>228.99999999999991</v>
      </c>
      <c r="EK68" s="18">
        <f>EJ68*VLOOKUP('Données projet'!$B$15,Paramètres!$A$1:$I$89,3,0)*VLOOKUP('Données projet'!$B$15,Paramètres!$A$1:$I$89,5,0)</f>
        <v>207.19919999999991</v>
      </c>
      <c r="EL68" s="14">
        <f t="shared" si="45"/>
        <v>51.3230629736655</v>
      </c>
      <c r="EM68" s="22">
        <f t="shared" ref="EM68:EM131" si="73">(EK68+EL68)*0.475*44/12</f>
        <v>450.25960801246725</v>
      </c>
      <c r="EN68" s="60">
        <f t="shared" ref="EN68:EN131" si="74">EM68+(EE68+EF68)*44/12</f>
        <v>743.59294134580057</v>
      </c>
      <c r="EO68" s="60">
        <f ca="1">AVERAGE(OFFSET($EN$3,0,0,'Données projet'!$E$15+1,1))-AVERAGE(OFFSET($H$3,0,0,'Données projet'!$E$15+1,1))</f>
        <v>428.8489304403459</v>
      </c>
      <c r="EP68" s="60">
        <f t="shared" si="46"/>
        <v>247.01165577562966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229</v>
      </c>
      <c r="FC68" s="13">
        <f>VLOOKUP(A68,'Données projet'!$A$217:$I$237,9,0)</f>
        <v>7.2</v>
      </c>
      <c r="FD68" s="13">
        <f t="array" ref="FD68">INDEX(FC:FC,MIN(IF(ISNUMBER(FC68:FC264),ROW(FC68:FC264),"")))</f>
        <v>7.2</v>
      </c>
      <c r="FE68" s="13">
        <f>IF('Données projet'!$A$218&gt;35,FE67+FD68-FM67,IF(A68&lt;'Données projet'!$A$218,$FB$205^A68,IF(A68='Données projet'!$A$218,'Données projet'!$B$218,FE67+FD68-FM67)))</f>
        <v>228.99999999999991</v>
      </c>
      <c r="FF68" s="18">
        <f>FE68*VLOOKUP('Données projet'!$B$16,Paramètres!$A$1:$I$89,3,0)*VLOOKUP('Données projet'!$B$16,Paramètres!$A$1:$I$89,5,0)</f>
        <v>221.48879999999991</v>
      </c>
      <c r="FG68" s="14">
        <f t="shared" si="47"/>
        <v>54.43834191952984</v>
      </c>
      <c r="FH68" s="22">
        <f t="shared" ref="FH68:FH131" si="76">(FF68+FG68)*0.475*44/12</f>
        <v>480.57310550984766</v>
      </c>
      <c r="FI68" s="60">
        <f t="shared" ref="FI68:FI131" si="77">FH68+(EZ68+FA68)*44/12</f>
        <v>773.90643884318092</v>
      </c>
      <c r="FJ68" s="60">
        <f ca="1">AVERAGE(OFFSET($FI$3,0,0,'Données projet'!$E$16+1,1))-AVERAGE(OFFSET($H$3,0,0,'Données projet'!$E$16+1,1))</f>
        <v>455.50822833641354</v>
      </c>
      <c r="FK68" s="60">
        <f t="shared" si="48"/>
        <v>261.14722581688039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 t="e">
        <f>N69*VLOOKUP('Données projet'!$B$9,Paramètres!$A$1:$I$89,3,0)*VLOOKUP('Données projet'!$B$9,Paramètres!$A$1:$I$89,5,0)</f>
        <v>#N/A</v>
      </c>
      <c r="P69" s="14" t="e">
        <f t="shared" ref="P69:P132" si="87">EXP(-1.0587+0.8836*LN(O69)+0.284)</f>
        <v>#N/A</v>
      </c>
      <c r="Q69" s="22" t="e">
        <f t="shared" si="54"/>
        <v>#N/A</v>
      </c>
      <c r="R69" s="60" t="e">
        <f t="shared" si="55"/>
        <v>#N/A</v>
      </c>
      <c r="S69" s="60" t="e">
        <f ca="1">AVERAGE(OFFSET($R$3,0,0,'Données projet'!$E$9+1,1))-AVERAGE(OFFSET($H$3,0,0,'Données projet'!$E$9+1,1))</f>
        <v>#N/A</v>
      </c>
      <c r="T69" s="60" t="e">
        <f t="shared" ref="T69:T132" si="88">$T$3</f>
        <v>#N/A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 t="e">
        <f>EXP(-LN(2)/35)*Z68+(1-EXP(-LN(2)/35))/(LN(2)/35)*V69*W69*VLOOKUP('Données projet'!$B$9,Paramètres!$A$1:$I$89,3,0)*0.475*44/12</f>
        <v>#N/A</v>
      </c>
      <c r="AA69" s="23" t="e">
        <f>EXP(-LN(2)/25)*AA68+(1-EXP(-LN(2)/25))/(LN(2)/25)*Calculateur!V69*Calculateur!X69*VLOOKUP('Données projet'!$B$9,Paramètres!$A$1:$I$89,3,0)*0.475*44/12</f>
        <v>#N/A</v>
      </c>
      <c r="AB69" s="23" t="e">
        <f>EXP(-LN(2)/2)*AB68+(1-EXP(-LN(2)/2))/(LN(2)/2)*V69*Y69*VLOOKUP('Données projet'!$B$9,Paramètres!$A$1:$I$89,3,0)*0.475*44/12</f>
        <v>#N/A</v>
      </c>
      <c r="AC69" s="24" t="e">
        <f t="shared" si="57"/>
        <v>#N/A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1.6</v>
      </c>
      <c r="AI69" s="14">
        <f>IF('Données projet'!$A$62&gt;35,AI68+AH69-AQ68,IF(A69&lt;'Données projet'!$A$62,$AF$205^A69,IF(A69='Données projet'!$A$62,'Données projet'!$B$62,AI68+AH69-AQ68)))</f>
        <v>256.60000000000008</v>
      </c>
      <c r="AJ69" s="14">
        <f>AI69*VLOOKUP('Données projet'!$B$10,Paramètres!$A$1:$I$89,3,0)*VLOOKUP('Données projet'!$B$10,Paramètres!$A$1:$I$89,5,0)</f>
        <v>224.16576000000009</v>
      </c>
      <c r="AK69" s="14">
        <f t="shared" ref="AK69:AK132" si="89">EXP(-1.0587+0.8836*LN(AJ69)+0.284)</f>
        <v>55.019302246962667</v>
      </c>
      <c r="AL69" s="22">
        <f t="shared" si="58"/>
        <v>486.24731674679333</v>
      </c>
      <c r="AM69" s="60">
        <f t="shared" si="59"/>
        <v>779.58065008012659</v>
      </c>
      <c r="AN69" s="60">
        <f ca="1">AVERAGE(OFFSET($AM$3,0,0,'Données projet'!$E$10+1,1))-AVERAGE(OFFSET($H$3,0,0,'Données projet'!$E$10+1,1))</f>
        <v>325.06345339097095</v>
      </c>
      <c r="AO69" s="60">
        <f t="shared" ref="AO69:AO132" si="90">$AO$3</f>
        <v>318.90379036810754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0" t="e">
        <f t="shared" si="62"/>
        <v>#N/A</v>
      </c>
      <c r="BI69" s="60" t="e">
        <f ca="1">AVERAGE(OFFSET($BH$3,0,0,'Données projet'!$E$11+1,1))-AVERAGE(OFFSET($H$3,0,0,'Données projet'!$E$11+1,1))</f>
        <v>#N/A</v>
      </c>
      <c r="BJ69" s="60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0" t="e">
        <f t="shared" si="65"/>
        <v>#N/A</v>
      </c>
      <c r="CD69" s="60" t="e">
        <f ca="1">AVERAGE(OFFSET($CC$3,0,0,'Données projet'!$E$12+1,1))-AVERAGE(OFFSET($H$3,0,0,'Données projet'!$E$12+1,1))</f>
        <v>#N/A</v>
      </c>
      <c r="CE69" s="60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205.99487999999997</v>
      </c>
      <c r="CV69" s="14">
        <f t="shared" ref="CV69:CV132" si="95">EXP(-1.0587+0.8836*LN(CU69)+0.284)</f>
        <v>51.059387760357858</v>
      </c>
      <c r="CW69" s="22">
        <f t="shared" si="67"/>
        <v>447.70284968262325</v>
      </c>
      <c r="CX69" s="60">
        <f t="shared" si="68"/>
        <v>741.03618301595657</v>
      </c>
      <c r="CY69" s="60">
        <f ca="1">AVERAGE(OFFSET($CX$3,0,0,'Données projet'!$E$13+1,1))-AVERAGE(OFFSET($H$3,0,0,'Données projet'!$E$13+1,1))</f>
        <v>415.50509041799154</v>
      </c>
      <c r="CZ69" s="60">
        <f t="shared" ref="CZ69:CZ132" si="96">$CZ$3</f>
        <v>239.93573789765657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235.79999999999993</v>
      </c>
      <c r="DP69" s="18">
        <f>DO69*VLOOKUP('Données projet'!$B$14,Paramètres!$A$1:$I$89,3,0)*VLOOKUP('Données projet'!$B$14,Paramètres!$A$1:$I$89,5,0)</f>
        <v>239.10119999999995</v>
      </c>
      <c r="DQ69" s="14">
        <f t="shared" ref="DQ69:DQ132" si="97">EXP(-1.0587+0.8836*LN(DP69)+0.284)</f>
        <v>58.246107075777331</v>
      </c>
      <c r="DR69" s="22">
        <f t="shared" si="70"/>
        <v>517.87989315697871</v>
      </c>
      <c r="DS69" s="60">
        <f t="shared" si="71"/>
        <v>811.21322649031208</v>
      </c>
      <c r="DT69" s="60">
        <f ca="1">AVERAGE(OFFSET($DS$3,0,0,'Données projet'!$E$14+1,1))-AVERAGE(OFFSET($H$3,0,0,'Données projet'!$E$14+1,1))</f>
        <v>475.47920969424894</v>
      </c>
      <c r="DU69" s="60">
        <f t="shared" ref="DU69:DU132" si="98">$DU$3</f>
        <v>271.73544012419364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6.8</v>
      </c>
      <c r="EJ69" s="13">
        <f>IF('Données projet'!$A$192&gt;35,EJ68+EI69-ER68,IF(A69&lt;'Données projet'!$A$192,$EG$205^A69,IF(A69='Données projet'!$A$192,'Données projet'!$B$192,EJ68+EI69-ER68)))</f>
        <v>235.79999999999993</v>
      </c>
      <c r="EK69" s="18">
        <f>EJ69*VLOOKUP('Données projet'!$B$15,Paramètres!$A$1:$I$89,3,0)*VLOOKUP('Données projet'!$B$15,Paramètres!$A$1:$I$89,5,0)</f>
        <v>213.35183999999992</v>
      </c>
      <c r="EL69" s="14">
        <f t="shared" ref="EL69:EL132" si="99">EXP(-1.0587+0.8836*LN(EK69)+0.284)</f>
        <v>52.667370665417188</v>
      </c>
      <c r="EM69" s="22">
        <f t="shared" si="73"/>
        <v>463.31679190893482</v>
      </c>
      <c r="EN69" s="60">
        <f t="shared" si="74"/>
        <v>756.65012524226813</v>
      </c>
      <c r="EO69" s="60">
        <f ca="1">AVERAGE(OFFSET($EN$3,0,0,'Données projet'!$E$15+1,1))-AVERAGE(OFFSET($H$3,0,0,'Données projet'!$E$15+1,1))</f>
        <v>428.8489304403459</v>
      </c>
      <c r="EP69" s="60">
        <f t="shared" ref="EP69:EP132" si="100">$EP$3</f>
        <v>247.01165577562966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6.8</v>
      </c>
      <c r="FE69" s="13">
        <f>IF('Données projet'!$A$218&gt;35,FE68+FD69-FM68,IF(A69&lt;'Données projet'!$A$218,$FB$205^A69,IF(A69='Données projet'!$A$218,'Données projet'!$B$218,FE68+FD69-FM68)))</f>
        <v>235.79999999999993</v>
      </c>
      <c r="FF69" s="18">
        <f>FE69*VLOOKUP('Données projet'!$B$16,Paramètres!$A$1:$I$89,3,0)*VLOOKUP('Données projet'!$B$16,Paramètres!$A$1:$I$89,5,0)</f>
        <v>228.06575999999993</v>
      </c>
      <c r="FG69" s="14">
        <f t="shared" ref="FG69:FG132" si="101">EXP(-1.0587+0.8836*LN(FF69)+0.284)</f>
        <v>55.864248276798108</v>
      </c>
      <c r="FH69" s="22">
        <f t="shared" si="76"/>
        <v>494.51143108208981</v>
      </c>
      <c r="FI69" s="60">
        <f t="shared" si="77"/>
        <v>787.84476441542313</v>
      </c>
      <c r="FJ69" s="60">
        <f ca="1">AVERAGE(OFFSET($FI$3,0,0,'Données projet'!$E$16+1,1))-AVERAGE(OFFSET($H$3,0,0,'Données projet'!$E$16+1,1))</f>
        <v>455.50822833641354</v>
      </c>
      <c r="FK69" s="60">
        <f t="shared" ref="FK69:FK132" si="102">$FK$3</f>
        <v>261.14722581688039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 t="e">
        <f>N70*VLOOKUP('Données projet'!$B$9,Paramètres!$A$1:$I$89,3,0)*VLOOKUP('Données projet'!$B$9,Paramètres!$A$1:$I$89,5,0)</f>
        <v>#N/A</v>
      </c>
      <c r="P70" s="14" t="e">
        <f t="shared" si="87"/>
        <v>#N/A</v>
      </c>
      <c r="Q70" s="22" t="e">
        <f t="shared" si="54"/>
        <v>#N/A</v>
      </c>
      <c r="R70" s="60" t="e">
        <f t="shared" si="55"/>
        <v>#N/A</v>
      </c>
      <c r="S70" s="60" t="e">
        <f ca="1">AVERAGE(OFFSET($R$3,0,0,'Données projet'!$E$9+1,1))-AVERAGE(OFFSET($H$3,0,0,'Données projet'!$E$9+1,1))</f>
        <v>#N/A</v>
      </c>
      <c r="T70" s="60" t="e">
        <f t="shared" si="88"/>
        <v>#N/A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 t="e">
        <f>EXP(-LN(2)/35)*Z69+(1-EXP(-LN(2)/35))/(LN(2)/35)*V70*W70*VLOOKUP('Données projet'!$B$9,Paramètres!$A$1:$I$89,3,0)*0.475*44/12</f>
        <v>#N/A</v>
      </c>
      <c r="AA70" s="23" t="e">
        <f>EXP(-LN(2)/25)*AA69+(1-EXP(-LN(2)/25))/(LN(2)/25)*Calculateur!V70*Calculateur!X70*VLOOKUP('Données projet'!$B$9,Paramètres!$A$1:$I$89,3,0)*0.475*44/12</f>
        <v>#N/A</v>
      </c>
      <c r="AB70" s="23" t="e">
        <f>EXP(-LN(2)/2)*AB69+(1-EXP(-LN(2)/2))/(LN(2)/2)*V70*Y70*VLOOKUP('Données projet'!$B$9,Paramètres!$A$1:$I$89,3,0)*0.475*44/12</f>
        <v>#N/A</v>
      </c>
      <c r="AC70" s="24" t="e">
        <f t="shared" si="57"/>
        <v>#N/A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1.6</v>
      </c>
      <c r="AI70" s="14">
        <f>IF('Données projet'!$A$62&gt;35,AI69+AH70-AQ69,IF(A70&lt;'Données projet'!$A$62,$AF$205^A70,IF(A70='Données projet'!$A$62,'Données projet'!$B$62,AI69+AH70-AQ69)))</f>
        <v>258.2000000000001</v>
      </c>
      <c r="AJ70" s="14">
        <f>AI70*VLOOKUP('Données projet'!$B$10,Paramètres!$A$1:$I$89,3,0)*VLOOKUP('Données projet'!$B$10,Paramètres!$A$1:$I$89,5,0)</f>
        <v>225.56352000000012</v>
      </c>
      <c r="AK70" s="14">
        <f t="shared" si="89"/>
        <v>55.322326121575635</v>
      </c>
      <c r="AL70" s="22">
        <f t="shared" si="58"/>
        <v>489.2095153284111</v>
      </c>
      <c r="AM70" s="60">
        <f t="shared" si="59"/>
        <v>782.54284866174442</v>
      </c>
      <c r="AN70" s="60">
        <f ca="1">AVERAGE(OFFSET($AM$3,0,0,'Données projet'!$E$10+1,1))-AVERAGE(OFFSET($H$3,0,0,'Données projet'!$E$10+1,1))</f>
        <v>325.06345339097095</v>
      </c>
      <c r="AO70" s="60">
        <f t="shared" si="90"/>
        <v>318.90379036810754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0" t="e">
        <f t="shared" si="62"/>
        <v>#N/A</v>
      </c>
      <c r="BI70" s="60" t="e">
        <f ca="1">AVERAGE(OFFSET($BH$3,0,0,'Données projet'!$E$11+1,1))-AVERAGE(OFFSET($H$3,0,0,'Données projet'!$E$11+1,1))</f>
        <v>#N/A</v>
      </c>
      <c r="BJ70" s="60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0" t="e">
        <f t="shared" si="65"/>
        <v>#N/A</v>
      </c>
      <c r="CD70" s="60" t="e">
        <f ca="1">AVERAGE(OFFSET($CC$3,0,0,'Données projet'!$E$12+1,1))-AVERAGE(OFFSET($H$3,0,0,'Données projet'!$E$12+1,1))</f>
        <v>#N/A</v>
      </c>
      <c r="CE70" s="60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211.93535999999995</v>
      </c>
      <c r="CV70" s="14">
        <f t="shared" si="95"/>
        <v>52.358284480748523</v>
      </c>
      <c r="CW70" s="22">
        <f t="shared" si="67"/>
        <v>460.31143080397027</v>
      </c>
      <c r="CX70" s="60">
        <f t="shared" si="68"/>
        <v>753.64476413730358</v>
      </c>
      <c r="CY70" s="60">
        <f ca="1">AVERAGE(OFFSET($CX$3,0,0,'Données projet'!$E$13+1,1))-AVERAGE(OFFSET($H$3,0,0,'Données projet'!$E$13+1,1))</f>
        <v>415.50509041799154</v>
      </c>
      <c r="CZ70" s="60">
        <f t="shared" si="96"/>
        <v>239.93573789765657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242.59999999999994</v>
      </c>
      <c r="DP70" s="18">
        <f>DO70*VLOOKUP('Données projet'!$B$14,Paramètres!$A$1:$I$89,3,0)*VLOOKUP('Données projet'!$B$14,Paramètres!$A$1:$I$89,5,0)</f>
        <v>245.99639999999997</v>
      </c>
      <c r="DQ70" s="14">
        <f t="shared" si="97"/>
        <v>59.72782632026442</v>
      </c>
      <c r="DR70" s="22">
        <f t="shared" si="70"/>
        <v>532.46969417446041</v>
      </c>
      <c r="DS70" s="60">
        <f t="shared" si="71"/>
        <v>825.80302750779379</v>
      </c>
      <c r="DT70" s="60">
        <f ca="1">AVERAGE(OFFSET($DS$3,0,0,'Données projet'!$E$14+1,1))-AVERAGE(OFFSET($H$3,0,0,'Données projet'!$E$14+1,1))</f>
        <v>475.47920969424894</v>
      </c>
      <c r="DU70" s="60">
        <f t="shared" si="98"/>
        <v>271.73544012419364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6.8</v>
      </c>
      <c r="EJ70" s="13">
        <f>IF('Données projet'!$A$192&gt;35,EJ69+EI70-ER69,IF(A70&lt;'Données projet'!$A$192,$EG$205^A70,IF(A70='Données projet'!$A$192,'Données projet'!$B$192,EJ69+EI70-ER69)))</f>
        <v>242.59999999999994</v>
      </c>
      <c r="EK70" s="18">
        <f>EJ70*VLOOKUP('Données projet'!$B$15,Paramètres!$A$1:$I$89,3,0)*VLOOKUP('Données projet'!$B$15,Paramètres!$A$1:$I$89,5,0)</f>
        <v>219.50447999999992</v>
      </c>
      <c r="EL70" s="14">
        <f t="shared" si="99"/>
        <v>54.007172767040167</v>
      </c>
      <c r="EM70" s="22">
        <f t="shared" si="73"/>
        <v>476.36612856926143</v>
      </c>
      <c r="EN70" s="60">
        <f t="shared" si="74"/>
        <v>769.69946190259475</v>
      </c>
      <c r="EO70" s="60">
        <f ca="1">AVERAGE(OFFSET($EN$3,0,0,'Données projet'!$E$15+1,1))-AVERAGE(OFFSET($H$3,0,0,'Données projet'!$E$15+1,1))</f>
        <v>428.8489304403459</v>
      </c>
      <c r="EP70" s="60">
        <f t="shared" si="100"/>
        <v>247.01165577562966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6.8</v>
      </c>
      <c r="FE70" s="13">
        <f>IF('Données projet'!$A$218&gt;35,FE69+FD70-FM69,IF(A70&lt;'Données projet'!$A$218,$FB$205^A70,IF(A70='Données projet'!$A$218,'Données projet'!$B$218,FE69+FD70-FM69)))</f>
        <v>242.59999999999994</v>
      </c>
      <c r="FF70" s="18">
        <f>FE70*VLOOKUP('Données projet'!$B$16,Paramètres!$A$1:$I$89,3,0)*VLOOKUP('Données projet'!$B$16,Paramètres!$A$1:$I$89,5,0)</f>
        <v>234.64271999999994</v>
      </c>
      <c r="FG70" s="14">
        <f t="shared" si="101"/>
        <v>57.285375557336316</v>
      </c>
      <c r="FH70" s="22">
        <f t="shared" si="76"/>
        <v>508.44143309569387</v>
      </c>
      <c r="FI70" s="60">
        <f t="shared" si="77"/>
        <v>801.77476642902718</v>
      </c>
      <c r="FJ70" s="60">
        <f ca="1">AVERAGE(OFFSET($FI$3,0,0,'Données projet'!$E$16+1,1))-AVERAGE(OFFSET($H$3,0,0,'Données projet'!$E$16+1,1))</f>
        <v>455.50822833641354</v>
      </c>
      <c r="FK70" s="60">
        <f t="shared" si="102"/>
        <v>261.14722581688039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 t="e">
        <f>N71*VLOOKUP('Données projet'!$B$9,Paramètres!$A$1:$I$89,3,0)*VLOOKUP('Données projet'!$B$9,Paramètres!$A$1:$I$89,5,0)</f>
        <v>#N/A</v>
      </c>
      <c r="P71" s="14" t="e">
        <f t="shared" si="87"/>
        <v>#N/A</v>
      </c>
      <c r="Q71" s="22" t="e">
        <f t="shared" si="54"/>
        <v>#N/A</v>
      </c>
      <c r="R71" s="60" t="e">
        <f t="shared" si="55"/>
        <v>#N/A</v>
      </c>
      <c r="S71" s="60" t="e">
        <f ca="1">AVERAGE(OFFSET($R$3,0,0,'Données projet'!$E$9+1,1))-AVERAGE(OFFSET($H$3,0,0,'Données projet'!$E$9+1,1))</f>
        <v>#N/A</v>
      </c>
      <c r="T71" s="60" t="e">
        <f t="shared" si="88"/>
        <v>#N/A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 t="e">
        <f>EXP(-LN(2)/35)*Z70+(1-EXP(-LN(2)/35))/(LN(2)/35)*V71*W71*VLOOKUP('Données projet'!$B$9,Paramètres!$A$1:$I$89,3,0)*0.475*44/12</f>
        <v>#N/A</v>
      </c>
      <c r="AA71" s="23" t="e">
        <f>EXP(-LN(2)/25)*AA70+(1-EXP(-LN(2)/25))/(LN(2)/25)*Calculateur!V71*Calculateur!X71*VLOOKUP('Données projet'!$B$9,Paramètres!$A$1:$I$89,3,0)*0.475*44/12</f>
        <v>#N/A</v>
      </c>
      <c r="AB71" s="23" t="e">
        <f>EXP(-LN(2)/2)*AB70+(1-EXP(-LN(2)/2))/(LN(2)/2)*V71*Y71*VLOOKUP('Données projet'!$B$9,Paramètres!$A$1:$I$89,3,0)*0.475*44/12</f>
        <v>#N/A</v>
      </c>
      <c r="AC71" s="24" t="e">
        <f t="shared" si="57"/>
        <v>#N/A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1.6</v>
      </c>
      <c r="AI71" s="14">
        <f>IF('Données projet'!$A$62&gt;35,AI70+AH71-AQ70,IF(A71&lt;'Données projet'!$A$62,$AF$205^A71,IF(A71='Données projet'!$A$62,'Données projet'!$B$62,AI70+AH71-AQ70)))</f>
        <v>259.80000000000013</v>
      </c>
      <c r="AJ71" s="14">
        <f>AI71*VLOOKUP('Données projet'!$B$10,Paramètres!$A$1:$I$89,3,0)*VLOOKUP('Données projet'!$B$10,Paramètres!$A$1:$I$89,5,0)</f>
        <v>226.96128000000013</v>
      </c>
      <c r="AK71" s="14">
        <f t="shared" si="89"/>
        <v>55.625131501998666</v>
      </c>
      <c r="AL71" s="22">
        <f t="shared" si="58"/>
        <v>492.17133336598118</v>
      </c>
      <c r="AM71" s="60">
        <f t="shared" si="59"/>
        <v>785.5046666993145</v>
      </c>
      <c r="AN71" s="60">
        <f ca="1">AVERAGE(OFFSET($AM$3,0,0,'Données projet'!$E$10+1,1))-AVERAGE(OFFSET($H$3,0,0,'Données projet'!$E$10+1,1))</f>
        <v>325.06345339097095</v>
      </c>
      <c r="AO71" s="60">
        <f t="shared" si="90"/>
        <v>318.90379036810754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0" t="e">
        <f t="shared" si="62"/>
        <v>#N/A</v>
      </c>
      <c r="BI71" s="60" t="e">
        <f ca="1">AVERAGE(OFFSET($BH$3,0,0,'Données projet'!$E$11+1,1))-AVERAGE(OFFSET($H$3,0,0,'Données projet'!$E$11+1,1))</f>
        <v>#N/A</v>
      </c>
      <c r="BJ71" s="60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0" t="e">
        <f t="shared" si="65"/>
        <v>#N/A</v>
      </c>
      <c r="CD71" s="60" t="e">
        <f ca="1">AVERAGE(OFFSET($CC$3,0,0,'Données projet'!$E$12+1,1))-AVERAGE(OFFSET($H$3,0,0,'Données projet'!$E$12+1,1))</f>
        <v>#N/A</v>
      </c>
      <c r="CE71" s="60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217.87583999999998</v>
      </c>
      <c r="CV71" s="14">
        <f t="shared" si="95"/>
        <v>53.652949670124926</v>
      </c>
      <c r="CW71" s="22">
        <f t="shared" si="67"/>
        <v>472.9126420088009</v>
      </c>
      <c r="CX71" s="60">
        <f t="shared" si="68"/>
        <v>766.24597534213422</v>
      </c>
      <c r="CY71" s="60">
        <f ca="1">AVERAGE(OFFSET($CX$3,0,0,'Données projet'!$E$13+1,1))-AVERAGE(OFFSET($H$3,0,0,'Données projet'!$E$13+1,1))</f>
        <v>415.50509041799154</v>
      </c>
      <c r="CZ71" s="60">
        <f t="shared" si="96"/>
        <v>239.93573789765657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249.39999999999995</v>
      </c>
      <c r="DP71" s="18">
        <f>DO71*VLOOKUP('Données projet'!$B$14,Paramètres!$A$1:$I$89,3,0)*VLOOKUP('Données projet'!$B$14,Paramètres!$A$1:$I$89,5,0)</f>
        <v>252.89159999999998</v>
      </c>
      <c r="DQ71" s="14">
        <f t="shared" si="97"/>
        <v>61.204718436590312</v>
      </c>
      <c r="DR71" s="22">
        <f t="shared" si="70"/>
        <v>547.05108794372802</v>
      </c>
      <c r="DS71" s="60">
        <f t="shared" si="71"/>
        <v>840.38442127706139</v>
      </c>
      <c r="DT71" s="60">
        <f ca="1">AVERAGE(OFFSET($DS$3,0,0,'Données projet'!$E$14+1,1))-AVERAGE(OFFSET($H$3,0,0,'Données projet'!$E$14+1,1))</f>
        <v>475.47920969424894</v>
      </c>
      <c r="DU71" s="60">
        <f t="shared" si="98"/>
        <v>271.73544012419364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6.8</v>
      </c>
      <c r="EJ71" s="13">
        <f>IF('Données projet'!$A$192&gt;35,EJ70+EI71-ER70,IF(A71&lt;'Données projet'!$A$192,$EG$205^A71,IF(A71='Données projet'!$A$192,'Données projet'!$B$192,EJ70+EI71-ER70)))</f>
        <v>249.39999999999995</v>
      </c>
      <c r="EK71" s="18">
        <f>EJ71*VLOOKUP('Données projet'!$B$15,Paramètres!$A$1:$I$89,3,0)*VLOOKUP('Données projet'!$B$15,Paramètres!$A$1:$I$89,5,0)</f>
        <v>225.65711999999994</v>
      </c>
      <c r="EL71" s="14">
        <f t="shared" si="99"/>
        <v>55.342610076561513</v>
      </c>
      <c r="EM71" s="22">
        <f t="shared" si="73"/>
        <v>489.40786321667775</v>
      </c>
      <c r="EN71" s="60">
        <f t="shared" si="74"/>
        <v>782.74119655001107</v>
      </c>
      <c r="EO71" s="60">
        <f ca="1">AVERAGE(OFFSET($EN$3,0,0,'Données projet'!$E$15+1,1))-AVERAGE(OFFSET($H$3,0,0,'Données projet'!$E$15+1,1))</f>
        <v>428.8489304403459</v>
      </c>
      <c r="EP71" s="60">
        <f t="shared" si="100"/>
        <v>247.01165577562966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6.8</v>
      </c>
      <c r="FE71" s="13">
        <f>IF('Données projet'!$A$218&gt;35,FE70+FD71-FM70,IF(A71&lt;'Données projet'!$A$218,$FB$205^A71,IF(A71='Données projet'!$A$218,'Données projet'!$B$218,FE70+FD71-FM70)))</f>
        <v>249.39999999999995</v>
      </c>
      <c r="FF71" s="18">
        <f>FE71*VLOOKUP('Données projet'!$B$16,Paramètres!$A$1:$I$89,3,0)*VLOOKUP('Données projet'!$B$16,Paramètres!$A$1:$I$89,5,0)</f>
        <v>241.21967999999995</v>
      </c>
      <c r="FG71" s="14">
        <f t="shared" si="101"/>
        <v>58.701873105526744</v>
      </c>
      <c r="FH71" s="22">
        <f t="shared" si="76"/>
        <v>522.36337165879229</v>
      </c>
      <c r="FI71" s="60">
        <f t="shared" si="77"/>
        <v>815.69670499212566</v>
      </c>
      <c r="FJ71" s="60">
        <f ca="1">AVERAGE(OFFSET($FI$3,0,0,'Données projet'!$E$16+1,1))-AVERAGE(OFFSET($H$3,0,0,'Données projet'!$E$16+1,1))</f>
        <v>455.50822833641354</v>
      </c>
      <c r="FK71" s="60">
        <f t="shared" si="102"/>
        <v>261.14722581688039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 t="e">
        <f>N72*VLOOKUP('Données projet'!$B$9,Paramètres!$A$1:$I$89,3,0)*VLOOKUP('Données projet'!$B$9,Paramètres!$A$1:$I$89,5,0)</f>
        <v>#N/A</v>
      </c>
      <c r="P72" s="14" t="e">
        <f t="shared" si="87"/>
        <v>#N/A</v>
      </c>
      <c r="Q72" s="22" t="e">
        <f t="shared" si="54"/>
        <v>#N/A</v>
      </c>
      <c r="R72" s="60" t="e">
        <f t="shared" si="55"/>
        <v>#N/A</v>
      </c>
      <c r="S72" s="60" t="e">
        <f ca="1">AVERAGE(OFFSET($R$3,0,0,'Données projet'!$E$9+1,1))-AVERAGE(OFFSET($H$3,0,0,'Données projet'!$E$9+1,1))</f>
        <v>#N/A</v>
      </c>
      <c r="T72" s="60" t="e">
        <f t="shared" si="88"/>
        <v>#N/A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 t="e">
        <f>EXP(-LN(2)/35)*Z71+(1-EXP(-LN(2)/35))/(LN(2)/35)*V72*W72*VLOOKUP('Données projet'!$B$9,Paramètres!$A$1:$I$89,3,0)*0.475*44/12</f>
        <v>#N/A</v>
      </c>
      <c r="AA72" s="23" t="e">
        <f>EXP(-LN(2)/25)*AA71+(1-EXP(-LN(2)/25))/(LN(2)/25)*Calculateur!V72*Calculateur!X72*VLOOKUP('Données projet'!$B$9,Paramètres!$A$1:$I$89,3,0)*0.475*44/12</f>
        <v>#N/A</v>
      </c>
      <c r="AB72" s="23" t="e">
        <f>EXP(-LN(2)/2)*AB71+(1-EXP(-LN(2)/2))/(LN(2)/2)*V72*Y72*VLOOKUP('Données projet'!$B$9,Paramètres!$A$1:$I$89,3,0)*0.475*44/12</f>
        <v>#N/A</v>
      </c>
      <c r="AC72" s="24" t="e">
        <f t="shared" si="57"/>
        <v>#N/A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1.6</v>
      </c>
      <c r="AI72" s="14">
        <f>IF('Données projet'!$A$62&gt;35,AI71+AH72-AQ71,IF(A72&lt;'Données projet'!$A$62,$AF$205^A72,IF(A72='Données projet'!$A$62,'Données projet'!$B$62,AI71+AH72-AQ71)))</f>
        <v>261.40000000000015</v>
      </c>
      <c r="AJ72" s="14">
        <f>AI72*VLOOKUP('Données projet'!$B$10,Paramètres!$A$1:$I$89,3,0)*VLOOKUP('Données projet'!$B$10,Paramètres!$A$1:$I$89,5,0)</f>
        <v>228.35904000000016</v>
      </c>
      <c r="AK72" s="14">
        <f t="shared" si="89"/>
        <v>55.927719889956698</v>
      </c>
      <c r="AL72" s="22">
        <f t="shared" si="58"/>
        <v>495.13277347500815</v>
      </c>
      <c r="AM72" s="60">
        <f t="shared" si="59"/>
        <v>788.46610680834146</v>
      </c>
      <c r="AN72" s="60">
        <f ca="1">AVERAGE(OFFSET($AM$3,0,0,'Données projet'!$E$10+1,1))-AVERAGE(OFFSET($H$3,0,0,'Données projet'!$E$10+1,1))</f>
        <v>325.06345339097095</v>
      </c>
      <c r="AO72" s="60">
        <f t="shared" si="90"/>
        <v>318.90379036810754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0" t="e">
        <f t="shared" si="62"/>
        <v>#N/A</v>
      </c>
      <c r="BI72" s="60" t="e">
        <f ca="1">AVERAGE(OFFSET($BH$3,0,0,'Données projet'!$E$11+1,1))-AVERAGE(OFFSET($H$3,0,0,'Données projet'!$E$11+1,1))</f>
        <v>#N/A</v>
      </c>
      <c r="BJ72" s="60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0" t="e">
        <f t="shared" si="65"/>
        <v>#N/A</v>
      </c>
      <c r="CD72" s="60" t="e">
        <f ca="1">AVERAGE(OFFSET($CC$3,0,0,'Données projet'!$E$12+1,1))-AVERAGE(OFFSET($H$3,0,0,'Données projet'!$E$12+1,1))</f>
        <v>#N/A</v>
      </c>
      <c r="CE72" s="60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223.81631999999999</v>
      </c>
      <c r="CV72" s="14">
        <f t="shared" si="95"/>
        <v>54.94351196072666</v>
      </c>
      <c r="CW72" s="22">
        <f t="shared" si="67"/>
        <v>485.50670733159899</v>
      </c>
      <c r="CX72" s="60">
        <f t="shared" si="68"/>
        <v>778.8400406649323</v>
      </c>
      <c r="CY72" s="60">
        <f ca="1">AVERAGE(OFFSET($CX$3,0,0,'Données projet'!$E$13+1,1))-AVERAGE(OFFSET($H$3,0,0,'Données projet'!$E$13+1,1))</f>
        <v>415.50509041799154</v>
      </c>
      <c r="CZ72" s="60">
        <f t="shared" si="96"/>
        <v>239.93573789765657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256.19999999999993</v>
      </c>
      <c r="DP72" s="18">
        <f>DO72*VLOOKUP('Données projet'!$B$14,Paramètres!$A$1:$I$89,3,0)*VLOOKUP('Données projet'!$B$14,Paramètres!$A$1:$I$89,5,0)</f>
        <v>259.78679999999997</v>
      </c>
      <c r="DQ72" s="14">
        <f t="shared" si="97"/>
        <v>62.676930162260739</v>
      </c>
      <c r="DR72" s="22">
        <f t="shared" si="70"/>
        <v>561.62433003260401</v>
      </c>
      <c r="DS72" s="60">
        <f t="shared" si="71"/>
        <v>854.95766336593738</v>
      </c>
      <c r="DT72" s="60">
        <f ca="1">AVERAGE(OFFSET($DS$3,0,0,'Données projet'!$E$14+1,1))-AVERAGE(OFFSET($H$3,0,0,'Données projet'!$E$14+1,1))</f>
        <v>475.47920969424894</v>
      </c>
      <c r="DU72" s="60">
        <f t="shared" si="98"/>
        <v>271.73544012419364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6.8</v>
      </c>
      <c r="EJ72" s="13">
        <f>IF('Données projet'!$A$192&gt;35,EJ71+EI72-ER71,IF(A72&lt;'Données projet'!$A$192,$EG$205^A72,IF(A72='Données projet'!$A$192,'Données projet'!$B$192,EJ71+EI72-ER71)))</f>
        <v>256.19999999999993</v>
      </c>
      <c r="EK72" s="18">
        <f>EJ72*VLOOKUP('Données projet'!$B$15,Paramètres!$A$1:$I$89,3,0)*VLOOKUP('Données projet'!$B$15,Paramètres!$A$1:$I$89,5,0)</f>
        <v>231.80975999999993</v>
      </c>
      <c r="EL72" s="14">
        <f t="shared" si="99"/>
        <v>56.673815277159328</v>
      </c>
      <c r="EM72" s="22">
        <f t="shared" si="73"/>
        <v>502.44222694105241</v>
      </c>
      <c r="EN72" s="60">
        <f t="shared" si="74"/>
        <v>795.77556027438573</v>
      </c>
      <c r="EO72" s="60">
        <f ca="1">AVERAGE(OFFSET($EN$3,0,0,'Données projet'!$E$15+1,1))-AVERAGE(OFFSET($H$3,0,0,'Données projet'!$E$15+1,1))</f>
        <v>428.8489304403459</v>
      </c>
      <c r="EP72" s="60">
        <f t="shared" si="100"/>
        <v>247.01165577562966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6.8</v>
      </c>
      <c r="FE72" s="13">
        <f>IF('Données projet'!$A$218&gt;35,FE71+FD72-FM71,IF(A72&lt;'Données projet'!$A$218,$FB$205^A72,IF(A72='Données projet'!$A$218,'Données projet'!$B$218,FE71+FD72-FM71)))</f>
        <v>256.19999999999993</v>
      </c>
      <c r="FF72" s="18">
        <f>FE72*VLOOKUP('Données projet'!$B$16,Paramètres!$A$1:$I$89,3,0)*VLOOKUP('Données projet'!$B$16,Paramètres!$A$1:$I$89,5,0)</f>
        <v>247.79663999999997</v>
      </c>
      <c r="FG72" s="14">
        <f t="shared" si="101"/>
        <v>60.113881658336368</v>
      </c>
      <c r="FH72" s="22">
        <f t="shared" si="76"/>
        <v>536.27749188826908</v>
      </c>
      <c r="FI72" s="60">
        <f t="shared" si="77"/>
        <v>829.61082522160245</v>
      </c>
      <c r="FJ72" s="60">
        <f ca="1">AVERAGE(OFFSET($FI$3,0,0,'Données projet'!$E$16+1,1))-AVERAGE(OFFSET($H$3,0,0,'Données projet'!$E$16+1,1))</f>
        <v>455.50822833641354</v>
      </c>
      <c r="FK72" s="60">
        <f t="shared" si="102"/>
        <v>261.14722581688039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 t="e">
        <f>N73*VLOOKUP('Données projet'!$B$9,Paramètres!$A$1:$I$89,3,0)*VLOOKUP('Données projet'!$B$9,Paramètres!$A$1:$I$89,5,0)</f>
        <v>#N/A</v>
      </c>
      <c r="P73" s="14" t="e">
        <f t="shared" si="87"/>
        <v>#N/A</v>
      </c>
      <c r="Q73" s="22" t="e">
        <f t="shared" si="54"/>
        <v>#N/A</v>
      </c>
      <c r="R73" s="60" t="e">
        <f t="shared" si="55"/>
        <v>#N/A</v>
      </c>
      <c r="S73" s="60" t="e">
        <f ca="1">AVERAGE(OFFSET($R$3,0,0,'Données projet'!$E$9+1,1))-AVERAGE(OFFSET($H$3,0,0,'Données projet'!$E$9+1,1))</f>
        <v>#N/A</v>
      </c>
      <c r="T73" s="60" t="e">
        <f t="shared" si="88"/>
        <v>#N/A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 t="e">
        <f>EXP(-LN(2)/35)*Z72+(1-EXP(-LN(2)/35))/(LN(2)/35)*V73*W73*VLOOKUP('Données projet'!$B$9,Paramètres!$A$1:$I$89,3,0)*0.475*44/12</f>
        <v>#N/A</v>
      </c>
      <c r="AA73" s="23" t="e">
        <f>EXP(-LN(2)/25)*AA72+(1-EXP(-LN(2)/25))/(LN(2)/25)*Calculateur!V73*Calculateur!X73*VLOOKUP('Données projet'!$B$9,Paramètres!$A$1:$I$89,3,0)*0.475*44/12</f>
        <v>#N/A</v>
      </c>
      <c r="AB73" s="23" t="e">
        <f>EXP(-LN(2)/2)*AB72+(1-EXP(-LN(2)/2))/(LN(2)/2)*V73*Y73*VLOOKUP('Données projet'!$B$9,Paramètres!$A$1:$I$89,3,0)*0.475*44/12</f>
        <v>#N/A</v>
      </c>
      <c r="AC73" s="24" t="e">
        <f t="shared" si="57"/>
        <v>#N/A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1.6</v>
      </c>
      <c r="AH73" s="13">
        <f t="array" ref="AH73">INDEX(AG:AG,MIN(IF(ISNUMBER(AG73:AG269),ROW(AG73:AG269),"")))</f>
        <v>1.6</v>
      </c>
      <c r="AI73" s="14">
        <f>IF('Données projet'!$A$62&gt;35,AI72+AH73-AQ72,IF(A73&lt;'Données projet'!$A$62,$AF$205^A73,IF(A73='Données projet'!$A$62,'Données projet'!$B$62,AI72+AH73-AQ72)))</f>
        <v>263.00000000000017</v>
      </c>
      <c r="AJ73" s="14">
        <f>AI73*VLOOKUP('Données projet'!$B$10,Paramètres!$A$1:$I$89,3,0)*VLOOKUP('Données projet'!$B$10,Paramètres!$A$1:$I$89,5,0)</f>
        <v>229.7568000000002</v>
      </c>
      <c r="AK73" s="14">
        <f t="shared" si="89"/>
        <v>56.230092767727569</v>
      </c>
      <c r="AL73" s="22">
        <f t="shared" si="58"/>
        <v>498.09383823712591</v>
      </c>
      <c r="AM73" s="60">
        <f t="shared" si="59"/>
        <v>791.42717157045922</v>
      </c>
      <c r="AN73" s="60">
        <f ca="1">AVERAGE(OFFSET($AM$3,0,0,'Données projet'!$E$10+1,1))-AVERAGE(OFFSET($H$3,0,0,'Données projet'!$E$10+1,1))</f>
        <v>325.06345339097095</v>
      </c>
      <c r="AO73" s="60">
        <f t="shared" si="90"/>
        <v>318.90379036810754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0" t="e">
        <f t="shared" si="62"/>
        <v>#N/A</v>
      </c>
      <c r="BI73" s="60" t="e">
        <f ca="1">AVERAGE(OFFSET($BH$3,0,0,'Données projet'!$E$11+1,1))-AVERAGE(OFFSET($H$3,0,0,'Données projet'!$E$11+1,1))</f>
        <v>#N/A</v>
      </c>
      <c r="BJ73" s="60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0" t="e">
        <f t="shared" si="65"/>
        <v>#N/A</v>
      </c>
      <c r="CD73" s="60" t="e">
        <f ca="1">AVERAGE(OFFSET($CC$3,0,0,'Données projet'!$E$12+1,1))-AVERAGE(OFFSET($H$3,0,0,'Données projet'!$E$12+1,1))</f>
        <v>#N/A</v>
      </c>
      <c r="CE73" s="60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229.75679999999997</v>
      </c>
      <c r="CV73" s="14">
        <f t="shared" si="95"/>
        <v>56.23009276772752</v>
      </c>
      <c r="CW73" s="22">
        <f t="shared" si="67"/>
        <v>498.09383823712534</v>
      </c>
      <c r="CX73" s="60">
        <f t="shared" si="68"/>
        <v>791.42717157045865</v>
      </c>
      <c r="CY73" s="60">
        <f ca="1">AVERAGE(OFFSET($CX$3,0,0,'Données projet'!$E$13+1,1))-AVERAGE(OFFSET($H$3,0,0,'Données projet'!$E$13+1,1))</f>
        <v>415.50509041799154</v>
      </c>
      <c r="CZ73" s="60">
        <f t="shared" si="96"/>
        <v>239.93573789765657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263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262.99999999999994</v>
      </c>
      <c r="DP73" s="18">
        <f>DO73*VLOOKUP('Données projet'!$B$14,Paramètres!$A$1:$I$89,3,0)*VLOOKUP('Données projet'!$B$14,Paramètres!$A$1:$I$89,5,0)</f>
        <v>266.68199999999996</v>
      </c>
      <c r="DQ73" s="14">
        <f t="shared" si="97"/>
        <v>64.144600001897771</v>
      </c>
      <c r="DR73" s="22">
        <f t="shared" si="70"/>
        <v>576.189661669972</v>
      </c>
      <c r="DS73" s="60">
        <f t="shared" si="71"/>
        <v>869.52299500330537</v>
      </c>
      <c r="DT73" s="60">
        <f ca="1">AVERAGE(OFFSET($DS$3,0,0,'Données projet'!$E$14+1,1))-AVERAGE(OFFSET($H$3,0,0,'Données projet'!$E$14+1,1))</f>
        <v>475.47920969424894</v>
      </c>
      <c r="DU73" s="60">
        <f t="shared" si="98"/>
        <v>271.73544012419364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42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263</v>
      </c>
      <c r="EH73" s="13">
        <f>VLOOKUP(A73,'Données projet'!$A$191:$I$211,9,0)</f>
        <v>6.8</v>
      </c>
      <c r="EI73" s="13">
        <f t="array" ref="EI73">INDEX(EH:EH,MIN(IF(ISNUMBER(EH73:EH269),ROW(EH73:EH269),"")))</f>
        <v>6.8</v>
      </c>
      <c r="EJ73" s="13">
        <f>IF('Données projet'!$A$192&gt;35,EJ72+EI73-ER72,IF(A73&lt;'Données projet'!$A$192,$EG$205^A73,IF(A73='Données projet'!$A$192,'Données projet'!$B$192,EJ72+EI73-ER72)))</f>
        <v>262.99999999999994</v>
      </c>
      <c r="EK73" s="18">
        <f>EJ73*VLOOKUP('Données projet'!$B$15,Paramètres!$A$1:$I$89,3,0)*VLOOKUP('Données projet'!$B$15,Paramètres!$A$1:$I$89,5,0)</f>
        <v>237.96239999999995</v>
      </c>
      <c r="EL73" s="14">
        <f t="shared" si="99"/>
        <v>58.00091360766335</v>
      </c>
      <c r="EM73" s="22">
        <f t="shared" si="73"/>
        <v>515.4694378666801</v>
      </c>
      <c r="EN73" s="60">
        <f t="shared" si="74"/>
        <v>808.80277120001347</v>
      </c>
      <c r="EO73" s="60">
        <f ca="1">AVERAGE(OFFSET($EN$3,0,0,'Données projet'!$E$15+1,1))-AVERAGE(OFFSET($H$3,0,0,'Données projet'!$E$15+1,1))</f>
        <v>428.8489304403459</v>
      </c>
      <c r="EP73" s="60">
        <f t="shared" si="100"/>
        <v>247.01165577562966</v>
      </c>
      <c r="EQ73" s="16">
        <f>IF(ISNA(VLOOKUP(A73,'Données projet'!$A$191:$I$211,3,0)),0,VLOOKUP(A73,'Données projet'!$A$191:$I$211,3,0))</f>
        <v>5</v>
      </c>
      <c r="ER73" s="16">
        <f>IF(ISNA(VLOOKUP(A73,'Données projet'!$A$191:$I$211,4,0)),0,VLOOKUP(A73,'Données projet'!$A$191:$I$211,4,0))</f>
        <v>42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263</v>
      </c>
      <c r="FC73" s="13">
        <f>VLOOKUP(A73,'Données projet'!$A$217:$I$237,9,0)</f>
        <v>6.8</v>
      </c>
      <c r="FD73" s="13">
        <f t="array" ref="FD73">INDEX(FC:FC,MIN(IF(ISNUMBER(FC73:FC269),ROW(FC73:FC269),"")))</f>
        <v>6.8</v>
      </c>
      <c r="FE73" s="13">
        <f>IF('Données projet'!$A$218&gt;35,FE72+FD73-FM72,IF(A73&lt;'Données projet'!$A$218,$FB$205^A73,IF(A73='Données projet'!$A$218,'Données projet'!$B$218,FE72+FD73-FM72)))</f>
        <v>262.99999999999994</v>
      </c>
      <c r="FF73" s="18">
        <f>FE73*VLOOKUP('Données projet'!$B$16,Paramètres!$A$1:$I$89,3,0)*VLOOKUP('Données projet'!$B$16,Paramètres!$A$1:$I$89,5,0)</f>
        <v>254.37359999999998</v>
      </c>
      <c r="FG73" s="14">
        <f t="shared" si="101"/>
        <v>61.521534056516209</v>
      </c>
      <c r="FH73" s="22">
        <f t="shared" si="76"/>
        <v>550.1840251484324</v>
      </c>
      <c r="FI73" s="60">
        <f t="shared" si="77"/>
        <v>843.51735848176577</v>
      </c>
      <c r="FJ73" s="60">
        <f ca="1">AVERAGE(OFFSET($FI$3,0,0,'Données projet'!$E$16+1,1))-AVERAGE(OFFSET($H$3,0,0,'Données projet'!$E$16+1,1))</f>
        <v>455.50822833641354</v>
      </c>
      <c r="FK73" s="60">
        <f t="shared" si="102"/>
        <v>261.14722581688039</v>
      </c>
      <c r="FL73" s="16">
        <f>IF(ISNA(VLOOKUP(A73,'Données projet'!$A$217:$I$237,3,0)),0,VLOOKUP(A73,'Données projet'!$A$217:$I$237,3,0))</f>
        <v>5</v>
      </c>
      <c r="FM73" s="16">
        <f>IF(ISNA(VLOOKUP(A73,'Données projet'!$A$217:$I$237,4,0)),0,VLOOKUP(A73,'Données projet'!$A$217:$I$237,4,0))</f>
        <v>42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 t="e">
        <f>N74*VLOOKUP('Données projet'!$B$9,Paramètres!$A$1:$I$89,3,0)*VLOOKUP('Données projet'!$B$9,Paramètres!$A$1:$I$89,5,0)</f>
        <v>#N/A</v>
      </c>
      <c r="P74" s="14" t="e">
        <f t="shared" si="87"/>
        <v>#N/A</v>
      </c>
      <c r="Q74" s="22" t="e">
        <f t="shared" si="54"/>
        <v>#N/A</v>
      </c>
      <c r="R74" s="60" t="e">
        <f t="shared" si="55"/>
        <v>#N/A</v>
      </c>
      <c r="S74" s="60" t="e">
        <f ca="1">AVERAGE(OFFSET($R$3,0,0,'Données projet'!$E$9+1,1))-AVERAGE(OFFSET($H$3,0,0,'Données projet'!$E$9+1,1))</f>
        <v>#N/A</v>
      </c>
      <c r="T74" s="60" t="e">
        <f t="shared" si="88"/>
        <v>#N/A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 t="e">
        <f>EXP(-LN(2)/35)*Z73+(1-EXP(-LN(2)/35))/(LN(2)/35)*V74*W74*VLOOKUP('Données projet'!$B$9,Paramètres!$A$1:$I$89,3,0)*0.475*44/12</f>
        <v>#N/A</v>
      </c>
      <c r="AA74" s="23" t="e">
        <f>EXP(-LN(2)/25)*AA73+(1-EXP(-LN(2)/25))/(LN(2)/25)*Calculateur!V74*Calculateur!X74*VLOOKUP('Données projet'!$B$9,Paramètres!$A$1:$I$89,3,0)*0.475*44/12</f>
        <v>#N/A</v>
      </c>
      <c r="AB74" s="23" t="e">
        <f>EXP(-LN(2)/2)*AB73+(1-EXP(-LN(2)/2))/(LN(2)/2)*V74*Y74*VLOOKUP('Données projet'!$B$9,Paramètres!$A$1:$I$89,3,0)*0.475*44/12</f>
        <v>#N/A</v>
      </c>
      <c r="AC74" s="24" t="e">
        <f t="shared" si="57"/>
        <v>#N/A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5.6</v>
      </c>
      <c r="AI74" s="14">
        <f>IF('Données projet'!$A$62&gt;35,AI73+AH74-AQ73,IF(A74&lt;'Données projet'!$A$62,$AF$205^A74,IF(A74='Données projet'!$A$62,'Données projet'!$B$62,AI73+AH74-AQ73)))</f>
        <v>247.60000000000019</v>
      </c>
      <c r="AJ74" s="14">
        <f>AI74*VLOOKUP('Données projet'!$B$10,Paramètres!$A$1:$I$89,3,0)*VLOOKUP('Données projet'!$B$10,Paramètres!$A$1:$I$89,5,0)</f>
        <v>216.3033600000002</v>
      </c>
      <c r="AK74" s="14">
        <f t="shared" si="89"/>
        <v>53.3106486100057</v>
      </c>
      <c r="AL74" s="22">
        <f t="shared" si="58"/>
        <v>469.57773166242691</v>
      </c>
      <c r="AM74" s="60">
        <f t="shared" si="59"/>
        <v>762.91106499576017</v>
      </c>
      <c r="AN74" s="60">
        <f ca="1">AVERAGE(OFFSET($AM$3,0,0,'Données projet'!$E$10+1,1))-AVERAGE(OFFSET($H$3,0,0,'Données projet'!$E$10+1,1))</f>
        <v>325.06345339097095</v>
      </c>
      <c r="AO74" s="60">
        <f t="shared" si="90"/>
        <v>318.90379036810754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0" t="e">
        <f t="shared" si="62"/>
        <v>#N/A</v>
      </c>
      <c r="BI74" s="60" t="e">
        <f ca="1">AVERAGE(OFFSET($BH$3,0,0,'Données projet'!$E$11+1,1))-AVERAGE(OFFSET($H$3,0,0,'Données projet'!$E$11+1,1))</f>
        <v>#N/A</v>
      </c>
      <c r="BJ74" s="60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0" t="e">
        <f t="shared" si="65"/>
        <v>#N/A</v>
      </c>
      <c r="CD74" s="60" t="e">
        <f ca="1">AVERAGE(OFFSET($CC$3,0,0,'Données projet'!$E$12+1,1))-AVERAGE(OFFSET($H$3,0,0,'Données projet'!$E$12+1,1))</f>
        <v>#N/A</v>
      </c>
      <c r="CE74" s="60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198.48191999999997</v>
      </c>
      <c r="CV74" s="14">
        <f t="shared" si="95"/>
        <v>49.410391887159271</v>
      </c>
      <c r="CW74" s="22">
        <f t="shared" si="67"/>
        <v>431.74577653680234</v>
      </c>
      <c r="CX74" s="60">
        <f t="shared" si="68"/>
        <v>725.07910987013565</v>
      </c>
      <c r="CY74" s="60">
        <f ca="1">AVERAGE(OFFSET($CX$3,0,0,'Données projet'!$E$13+1,1))-AVERAGE(OFFSET($H$3,0,0,'Données projet'!$E$13+1,1))</f>
        <v>415.50509041799154</v>
      </c>
      <c r="CZ74" s="60">
        <f t="shared" si="96"/>
        <v>239.93573789765657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227.19999999999993</v>
      </c>
      <c r="DP74" s="18">
        <f>DO74*VLOOKUP('Données projet'!$B$14,Paramètres!$A$1:$I$89,3,0)*VLOOKUP('Données projet'!$B$14,Paramètres!$A$1:$I$89,5,0)</f>
        <v>230.38079999999994</v>
      </c>
      <c r="DQ74" s="14">
        <f t="shared" si="97"/>
        <v>56.365011465139979</v>
      </c>
      <c r="DR74" s="22">
        <f t="shared" si="70"/>
        <v>499.41562163511867</v>
      </c>
      <c r="DS74" s="60">
        <f t="shared" si="71"/>
        <v>792.74895496845193</v>
      </c>
      <c r="DT74" s="60">
        <f ca="1">AVERAGE(OFFSET($DS$3,0,0,'Données projet'!$E$14+1,1))-AVERAGE(OFFSET($H$3,0,0,'Données projet'!$E$14+1,1))</f>
        <v>475.47920969424894</v>
      </c>
      <c r="DU74" s="60">
        <f t="shared" si="98"/>
        <v>271.73544012419364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6.2</v>
      </c>
      <c r="EJ74" s="13">
        <f>IF('Données projet'!$A$192&gt;35,EJ73+EI74-ER73,IF(A74&lt;'Données projet'!$A$192,$EG$205^A74,IF(A74='Données projet'!$A$192,'Données projet'!$B$192,EJ73+EI74-ER73)))</f>
        <v>227.19999999999993</v>
      </c>
      <c r="EK74" s="18">
        <f>EJ74*VLOOKUP('Données projet'!$B$15,Paramètres!$A$1:$I$89,3,0)*VLOOKUP('Données projet'!$B$15,Paramètres!$A$1:$I$89,5,0)</f>
        <v>205.57055999999994</v>
      </c>
      <c r="EL74" s="14">
        <f t="shared" si="99"/>
        <v>50.966443946767392</v>
      </c>
      <c r="EM74" s="22">
        <f t="shared" si="73"/>
        <v>446.80194854061978</v>
      </c>
      <c r="EN74" s="60">
        <f t="shared" si="74"/>
        <v>740.13528187395309</v>
      </c>
      <c r="EO74" s="60">
        <f ca="1">AVERAGE(OFFSET($EN$3,0,0,'Données projet'!$E$15+1,1))-AVERAGE(OFFSET($H$3,0,0,'Données projet'!$E$15+1,1))</f>
        <v>428.8489304403459</v>
      </c>
      <c r="EP74" s="60">
        <f t="shared" si="100"/>
        <v>247.01165577562966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6.2</v>
      </c>
      <c r="FE74" s="13">
        <f>IF('Données projet'!$A$218&gt;35,FE73+FD74-FM73,IF(A74&lt;'Données projet'!$A$218,$FB$205^A74,IF(A74='Données projet'!$A$218,'Données projet'!$B$218,FE73+FD74-FM73)))</f>
        <v>227.19999999999993</v>
      </c>
      <c r="FF74" s="18">
        <f>FE74*VLOOKUP('Données projet'!$B$16,Paramètres!$A$1:$I$89,3,0)*VLOOKUP('Données projet'!$B$16,Paramètres!$A$1:$I$89,5,0)</f>
        <v>219.74783999999994</v>
      </c>
      <c r="FG74" s="14">
        <f t="shared" si="101"/>
        <v>54.060076332940561</v>
      </c>
      <c r="FH74" s="22">
        <f t="shared" si="76"/>
        <v>476.88212094653812</v>
      </c>
      <c r="FI74" s="60">
        <f t="shared" si="77"/>
        <v>770.21545427987144</v>
      </c>
      <c r="FJ74" s="60">
        <f ca="1">AVERAGE(OFFSET($FI$3,0,0,'Données projet'!$E$16+1,1))-AVERAGE(OFFSET($H$3,0,0,'Données projet'!$E$16+1,1))</f>
        <v>455.50822833641354</v>
      </c>
      <c r="FK74" s="60">
        <f t="shared" si="102"/>
        <v>261.14722581688039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 t="e">
        <f>N75*VLOOKUP('Données projet'!$B$9,Paramètres!$A$1:$I$89,3,0)*VLOOKUP('Données projet'!$B$9,Paramètres!$A$1:$I$89,5,0)</f>
        <v>#N/A</v>
      </c>
      <c r="P75" s="14" t="e">
        <f t="shared" si="87"/>
        <v>#N/A</v>
      </c>
      <c r="Q75" s="22" t="e">
        <f t="shared" si="54"/>
        <v>#N/A</v>
      </c>
      <c r="R75" s="60" t="e">
        <f t="shared" si="55"/>
        <v>#N/A</v>
      </c>
      <c r="S75" s="60" t="e">
        <f ca="1">AVERAGE(OFFSET($R$3,0,0,'Données projet'!$E$9+1,1))-AVERAGE(OFFSET($H$3,0,0,'Données projet'!$E$9+1,1))</f>
        <v>#N/A</v>
      </c>
      <c r="T75" s="60" t="e">
        <f t="shared" si="88"/>
        <v>#N/A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 t="e">
        <f>EXP(-LN(2)/35)*Z74+(1-EXP(-LN(2)/35))/(LN(2)/35)*V75*W75*VLOOKUP('Données projet'!$B$9,Paramètres!$A$1:$I$89,3,0)*0.475*44/12</f>
        <v>#N/A</v>
      </c>
      <c r="AA75" s="23" t="e">
        <f>EXP(-LN(2)/25)*AA74+(1-EXP(-LN(2)/25))/(LN(2)/25)*Calculateur!V75*Calculateur!X75*VLOOKUP('Données projet'!$B$9,Paramètres!$A$1:$I$89,3,0)*0.475*44/12</f>
        <v>#N/A</v>
      </c>
      <c r="AB75" s="23" t="e">
        <f>EXP(-LN(2)/2)*AB74+(1-EXP(-LN(2)/2))/(LN(2)/2)*V75*Y75*VLOOKUP('Données projet'!$B$9,Paramètres!$A$1:$I$89,3,0)*0.475*44/12</f>
        <v>#N/A</v>
      </c>
      <c r="AC75" s="24" t="e">
        <f t="shared" si="57"/>
        <v>#N/A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5.6</v>
      </c>
      <c r="AI75" s="14">
        <f>IF('Données projet'!$A$62&gt;35,AI74+AH75-AQ74,IF(A75&lt;'Données projet'!$A$62,$AF$205^A75,IF(A75='Données projet'!$A$62,'Données projet'!$B$62,AI74+AH75-AQ74)))</f>
        <v>253.20000000000019</v>
      </c>
      <c r="AJ75" s="14">
        <f>AI75*VLOOKUP('Données projet'!$B$10,Paramètres!$A$1:$I$89,3,0)*VLOOKUP('Données projet'!$B$10,Paramètres!$A$1:$I$89,5,0)</f>
        <v>221.19552000000019</v>
      </c>
      <c r="AK75" s="14">
        <f t="shared" si="89"/>
        <v>54.374644071922795</v>
      </c>
      <c r="AL75" s="22">
        <f t="shared" si="58"/>
        <v>479.95136909193252</v>
      </c>
      <c r="AM75" s="60">
        <f t="shared" si="59"/>
        <v>773.28470242526578</v>
      </c>
      <c r="AN75" s="60">
        <f ca="1">AVERAGE(OFFSET($AM$3,0,0,'Données projet'!$E$10+1,1))-AVERAGE(OFFSET($H$3,0,0,'Données projet'!$E$10+1,1))</f>
        <v>325.06345339097095</v>
      </c>
      <c r="AO75" s="60">
        <f t="shared" si="90"/>
        <v>318.90379036810754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0" t="e">
        <f t="shared" si="62"/>
        <v>#N/A</v>
      </c>
      <c r="BI75" s="60" t="e">
        <f ca="1">AVERAGE(OFFSET($BH$3,0,0,'Données projet'!$E$11+1,1))-AVERAGE(OFFSET($H$3,0,0,'Données projet'!$E$11+1,1))</f>
        <v>#N/A</v>
      </c>
      <c r="BJ75" s="60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0" t="e">
        <f t="shared" si="65"/>
        <v>#N/A</v>
      </c>
      <c r="CD75" s="60" t="e">
        <f ca="1">AVERAGE(OFFSET($CC$3,0,0,'Données projet'!$E$12+1,1))-AVERAGE(OFFSET($H$3,0,0,'Données projet'!$E$12+1,1))</f>
        <v>#N/A</v>
      </c>
      <c r="CE75" s="60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203.89823999999999</v>
      </c>
      <c r="CV75" s="14">
        <f t="shared" si="95"/>
        <v>50.599918019430213</v>
      </c>
      <c r="CW75" s="22">
        <f t="shared" si="67"/>
        <v>443.25095855050762</v>
      </c>
      <c r="CX75" s="60">
        <f t="shared" si="68"/>
        <v>736.58429188384093</v>
      </c>
      <c r="CY75" s="60">
        <f ca="1">AVERAGE(OFFSET($CX$3,0,0,'Données projet'!$E$13+1,1))-AVERAGE(OFFSET($H$3,0,0,'Données projet'!$E$13+1,1))</f>
        <v>415.50509041799154</v>
      </c>
      <c r="CZ75" s="60">
        <f t="shared" si="96"/>
        <v>239.93573789765657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233.39999999999992</v>
      </c>
      <c r="DP75" s="18">
        <f>DO75*VLOOKUP('Données projet'!$B$14,Paramètres!$A$1:$I$89,3,0)*VLOOKUP('Données projet'!$B$14,Paramètres!$A$1:$I$89,5,0)</f>
        <v>236.66759999999994</v>
      </c>
      <c r="DQ75" s="14">
        <f t="shared" si="97"/>
        <v>57.721965974560838</v>
      </c>
      <c r="DR75" s="22">
        <f t="shared" si="70"/>
        <v>512.72849407235992</v>
      </c>
      <c r="DS75" s="60">
        <f t="shared" si="71"/>
        <v>806.06182740569329</v>
      </c>
      <c r="DT75" s="60">
        <f ca="1">AVERAGE(OFFSET($DS$3,0,0,'Données projet'!$E$14+1,1))-AVERAGE(OFFSET($H$3,0,0,'Données projet'!$E$14+1,1))</f>
        <v>475.47920969424894</v>
      </c>
      <c r="DU75" s="60">
        <f t="shared" si="98"/>
        <v>271.73544012419364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6.2</v>
      </c>
      <c r="EJ75" s="13">
        <f>IF('Données projet'!$A$192&gt;35,EJ74+EI75-ER74,IF(A75&lt;'Données projet'!$A$192,$EG$205^A75,IF(A75='Données projet'!$A$192,'Données projet'!$B$192,EJ74+EI75-ER74)))</f>
        <v>233.39999999999992</v>
      </c>
      <c r="EK75" s="18">
        <f>EJ75*VLOOKUP('Données projet'!$B$15,Paramètres!$A$1:$I$89,3,0)*VLOOKUP('Données projet'!$B$15,Paramètres!$A$1:$I$89,5,0)</f>
        <v>211.18031999999994</v>
      </c>
      <c r="EL75" s="14">
        <f t="shared" si="99"/>
        <v>52.193431117443019</v>
      </c>
      <c r="EM75" s="22">
        <f t="shared" si="73"/>
        <v>458.70928319621316</v>
      </c>
      <c r="EN75" s="60">
        <f t="shared" si="74"/>
        <v>752.04261652954642</v>
      </c>
      <c r="EO75" s="60">
        <f ca="1">AVERAGE(OFFSET($EN$3,0,0,'Données projet'!$E$15+1,1))-AVERAGE(OFFSET($H$3,0,0,'Données projet'!$E$15+1,1))</f>
        <v>428.8489304403459</v>
      </c>
      <c r="EP75" s="60">
        <f t="shared" si="100"/>
        <v>247.01165577562966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6.2</v>
      </c>
      <c r="FE75" s="13">
        <f>IF('Données projet'!$A$218&gt;35,FE74+FD75-FM74,IF(A75&lt;'Données projet'!$A$218,$FB$205^A75,IF(A75='Données projet'!$A$218,'Données projet'!$B$218,FE74+FD75-FM74)))</f>
        <v>233.39999999999992</v>
      </c>
      <c r="FF75" s="18">
        <f>FE75*VLOOKUP('Données projet'!$B$16,Paramètres!$A$1:$I$89,3,0)*VLOOKUP('Données projet'!$B$16,Paramètres!$A$1:$I$89,5,0)</f>
        <v>225.74447999999992</v>
      </c>
      <c r="FG75" s="14">
        <f t="shared" si="101"/>
        <v>55.36154088431374</v>
      </c>
      <c r="FH75" s="22">
        <f t="shared" si="76"/>
        <v>489.59298637351299</v>
      </c>
      <c r="FI75" s="60">
        <f t="shared" si="77"/>
        <v>782.92631970684624</v>
      </c>
      <c r="FJ75" s="60">
        <f ca="1">AVERAGE(OFFSET($FI$3,0,0,'Données projet'!$E$16+1,1))-AVERAGE(OFFSET($H$3,0,0,'Données projet'!$E$16+1,1))</f>
        <v>455.50822833641354</v>
      </c>
      <c r="FK75" s="60">
        <f t="shared" si="102"/>
        <v>261.14722581688039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 t="e">
        <f>N76*VLOOKUP('Données projet'!$B$9,Paramètres!$A$1:$I$89,3,0)*VLOOKUP('Données projet'!$B$9,Paramètres!$A$1:$I$89,5,0)</f>
        <v>#N/A</v>
      </c>
      <c r="P76" s="14" t="e">
        <f t="shared" si="87"/>
        <v>#N/A</v>
      </c>
      <c r="Q76" s="22" t="e">
        <f t="shared" si="54"/>
        <v>#N/A</v>
      </c>
      <c r="R76" s="60" t="e">
        <f t="shared" si="55"/>
        <v>#N/A</v>
      </c>
      <c r="S76" s="60" t="e">
        <f ca="1">AVERAGE(OFFSET($R$3,0,0,'Données projet'!$E$9+1,1))-AVERAGE(OFFSET($H$3,0,0,'Données projet'!$E$9+1,1))</f>
        <v>#N/A</v>
      </c>
      <c r="T76" s="60" t="e">
        <f t="shared" si="88"/>
        <v>#N/A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 t="e">
        <f>EXP(-LN(2)/35)*Z75+(1-EXP(-LN(2)/35))/(LN(2)/35)*V76*W76*VLOOKUP('Données projet'!$B$9,Paramètres!$A$1:$I$89,3,0)*0.475*44/12</f>
        <v>#N/A</v>
      </c>
      <c r="AA76" s="23" t="e">
        <f>EXP(-LN(2)/25)*AA75+(1-EXP(-LN(2)/25))/(LN(2)/25)*Calculateur!V76*Calculateur!X76*VLOOKUP('Données projet'!$B$9,Paramètres!$A$1:$I$89,3,0)*0.475*44/12</f>
        <v>#N/A</v>
      </c>
      <c r="AB76" s="23" t="e">
        <f>EXP(-LN(2)/2)*AB75+(1-EXP(-LN(2)/2))/(LN(2)/2)*V76*Y76*VLOOKUP('Données projet'!$B$9,Paramètres!$A$1:$I$89,3,0)*0.475*44/12</f>
        <v>#N/A</v>
      </c>
      <c r="AC76" s="24" t="e">
        <f t="shared" si="57"/>
        <v>#N/A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5.6</v>
      </c>
      <c r="AI76" s="14">
        <f>IF('Données projet'!$A$62&gt;35,AI75+AH76-AQ75,IF(A76&lt;'Données projet'!$A$62,$AF$205^A76,IF(A76='Données projet'!$A$62,'Données projet'!$B$62,AI75+AH76-AQ75)))</f>
        <v>258.80000000000018</v>
      </c>
      <c r="AJ76" s="14">
        <f>AI76*VLOOKUP('Données projet'!$B$10,Paramètres!$A$1:$I$89,3,0)*VLOOKUP('Données projet'!$B$10,Paramètres!$A$1:$I$89,5,0)</f>
        <v>226.08768000000018</v>
      </c>
      <c r="AK76" s="14">
        <f t="shared" si="89"/>
        <v>55.435903662934521</v>
      </c>
      <c r="AL76" s="22">
        <f t="shared" si="58"/>
        <v>490.32024154627794</v>
      </c>
      <c r="AM76" s="60">
        <f t="shared" si="59"/>
        <v>783.65357487961126</v>
      </c>
      <c r="AN76" s="60">
        <f ca="1">AVERAGE(OFFSET($AM$3,0,0,'Données projet'!$E$10+1,1))-AVERAGE(OFFSET($H$3,0,0,'Données projet'!$E$10+1,1))</f>
        <v>325.06345339097095</v>
      </c>
      <c r="AO76" s="60">
        <f t="shared" si="90"/>
        <v>318.90379036810754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0" t="e">
        <f t="shared" si="62"/>
        <v>#N/A</v>
      </c>
      <c r="BI76" s="60" t="e">
        <f ca="1">AVERAGE(OFFSET($BH$3,0,0,'Données projet'!$E$11+1,1))-AVERAGE(OFFSET($H$3,0,0,'Données projet'!$E$11+1,1))</f>
        <v>#N/A</v>
      </c>
      <c r="BJ76" s="60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0" t="e">
        <f t="shared" si="65"/>
        <v>#N/A</v>
      </c>
      <c r="CD76" s="60" t="e">
        <f ca="1">AVERAGE(OFFSET($CC$3,0,0,'Données projet'!$E$12+1,1))-AVERAGE(OFFSET($H$3,0,0,'Données projet'!$E$12+1,1))</f>
        <v>#N/A</v>
      </c>
      <c r="CE76" s="60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209.31455999999994</v>
      </c>
      <c r="CV76" s="14">
        <f t="shared" si="95"/>
        <v>51.7857713242147</v>
      </c>
      <c r="CW76" s="22">
        <f t="shared" si="67"/>
        <v>454.74974372300716</v>
      </c>
      <c r="CX76" s="60">
        <f t="shared" si="68"/>
        <v>748.08307705634047</v>
      </c>
      <c r="CY76" s="60">
        <f ca="1">AVERAGE(OFFSET($CX$3,0,0,'Données projet'!$E$13+1,1))-AVERAGE(OFFSET($H$3,0,0,'Données projet'!$E$13+1,1))</f>
        <v>415.50509041799154</v>
      </c>
      <c r="CZ76" s="60">
        <f t="shared" si="96"/>
        <v>239.93573789765657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239.59999999999991</v>
      </c>
      <c r="DP76" s="18">
        <f>DO76*VLOOKUP('Données projet'!$B$14,Paramètres!$A$1:$I$89,3,0)*VLOOKUP('Données projet'!$B$14,Paramètres!$A$1:$I$89,5,0)</f>
        <v>242.95439999999994</v>
      </c>
      <c r="DQ76" s="14">
        <f t="shared" si="97"/>
        <v>59.074730698078945</v>
      </c>
      <c r="DR76" s="22">
        <f t="shared" si="70"/>
        <v>526.034069299154</v>
      </c>
      <c r="DS76" s="60">
        <f t="shared" si="71"/>
        <v>819.36740263248726</v>
      </c>
      <c r="DT76" s="60">
        <f ca="1">AVERAGE(OFFSET($DS$3,0,0,'Données projet'!$E$14+1,1))-AVERAGE(OFFSET($H$3,0,0,'Données projet'!$E$14+1,1))</f>
        <v>475.47920969424894</v>
      </c>
      <c r="DU76" s="60">
        <f t="shared" si="98"/>
        <v>271.73544012419364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6.2</v>
      </c>
      <c r="EJ76" s="13">
        <f>IF('Données projet'!$A$192&gt;35,EJ75+EI76-ER75,IF(A76&lt;'Données projet'!$A$192,$EG$205^A76,IF(A76='Données projet'!$A$192,'Données projet'!$B$192,EJ75+EI76-ER75)))</f>
        <v>239.59999999999991</v>
      </c>
      <c r="EK76" s="18">
        <f>EJ76*VLOOKUP('Données projet'!$B$15,Paramètres!$A$1:$I$89,3,0)*VLOOKUP('Données projet'!$B$15,Paramètres!$A$1:$I$89,5,0)</f>
        <v>216.7900799999999</v>
      </c>
      <c r="EL76" s="14">
        <f t="shared" si="99"/>
        <v>53.416629794462551</v>
      </c>
      <c r="EM76" s="22">
        <f t="shared" si="73"/>
        <v>470.61001955868869</v>
      </c>
      <c r="EN76" s="60">
        <f t="shared" si="74"/>
        <v>763.94335289202195</v>
      </c>
      <c r="EO76" s="60">
        <f ca="1">AVERAGE(OFFSET($EN$3,0,0,'Données projet'!$E$15+1,1))-AVERAGE(OFFSET($H$3,0,0,'Données projet'!$E$15+1,1))</f>
        <v>428.8489304403459</v>
      </c>
      <c r="EP76" s="60">
        <f t="shared" si="100"/>
        <v>247.01165577562966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6.2</v>
      </c>
      <c r="FE76" s="13">
        <f>IF('Données projet'!$A$218&gt;35,FE75+FD76-FM75,IF(A76&lt;'Données projet'!$A$218,$FB$205^A76,IF(A76='Données projet'!$A$218,'Données projet'!$B$218,FE75+FD76-FM75)))</f>
        <v>239.59999999999991</v>
      </c>
      <c r="FF76" s="18">
        <f>FE76*VLOOKUP('Données projet'!$B$16,Paramètres!$A$1:$I$89,3,0)*VLOOKUP('Données projet'!$B$16,Paramètres!$A$1:$I$89,5,0)</f>
        <v>231.74111999999991</v>
      </c>
      <c r="FG76" s="14">
        <f t="shared" si="101"/>
        <v>56.658986982752438</v>
      </c>
      <c r="FH76" s="22">
        <f t="shared" si="76"/>
        <v>502.29685299496032</v>
      </c>
      <c r="FI76" s="60">
        <f t="shared" si="77"/>
        <v>795.63018632829358</v>
      </c>
      <c r="FJ76" s="60">
        <f ca="1">AVERAGE(OFFSET($FI$3,0,0,'Données projet'!$E$16+1,1))-AVERAGE(OFFSET($H$3,0,0,'Données projet'!$E$16+1,1))</f>
        <v>455.50822833641354</v>
      </c>
      <c r="FK76" s="60">
        <f t="shared" si="102"/>
        <v>261.14722581688039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 t="e">
        <f>N77*VLOOKUP('Données projet'!$B$9,Paramètres!$A$1:$I$89,3,0)*VLOOKUP('Données projet'!$B$9,Paramètres!$A$1:$I$89,5,0)</f>
        <v>#N/A</v>
      </c>
      <c r="P77" s="14" t="e">
        <f t="shared" si="87"/>
        <v>#N/A</v>
      </c>
      <c r="Q77" s="22" t="e">
        <f t="shared" si="54"/>
        <v>#N/A</v>
      </c>
      <c r="R77" s="60" t="e">
        <f t="shared" si="55"/>
        <v>#N/A</v>
      </c>
      <c r="S77" s="60" t="e">
        <f ca="1">AVERAGE(OFFSET($R$3,0,0,'Données projet'!$E$9+1,1))-AVERAGE(OFFSET($H$3,0,0,'Données projet'!$E$9+1,1))</f>
        <v>#N/A</v>
      </c>
      <c r="T77" s="60" t="e">
        <f t="shared" si="88"/>
        <v>#N/A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 t="e">
        <f>EXP(-LN(2)/35)*Z76+(1-EXP(-LN(2)/35))/(LN(2)/35)*V77*W77*VLOOKUP('Données projet'!$B$9,Paramètres!$A$1:$I$89,3,0)*0.475*44/12</f>
        <v>#N/A</v>
      </c>
      <c r="AA77" s="23" t="e">
        <f>EXP(-LN(2)/25)*AA76+(1-EXP(-LN(2)/25))/(LN(2)/25)*Calculateur!V77*Calculateur!X77*VLOOKUP('Données projet'!$B$9,Paramètres!$A$1:$I$89,3,0)*0.475*44/12</f>
        <v>#N/A</v>
      </c>
      <c r="AB77" s="23" t="e">
        <f>EXP(-LN(2)/2)*AB76+(1-EXP(-LN(2)/2))/(LN(2)/2)*V77*Y77*VLOOKUP('Données projet'!$B$9,Paramètres!$A$1:$I$89,3,0)*0.475*44/12</f>
        <v>#N/A</v>
      </c>
      <c r="AC77" s="24" t="e">
        <f t="shared" si="57"/>
        <v>#N/A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5.6</v>
      </c>
      <c r="AI77" s="14">
        <f>IF('Données projet'!$A$62&gt;35,AI76+AH77-AQ76,IF(A77&lt;'Données projet'!$A$62,$AF$205^A77,IF(A77='Données projet'!$A$62,'Données projet'!$B$62,AI76+AH77-AQ76)))</f>
        <v>264.4000000000002</v>
      </c>
      <c r="AJ77" s="14">
        <f>AI77*VLOOKUP('Données projet'!$B$10,Paramètres!$A$1:$I$89,3,0)*VLOOKUP('Données projet'!$B$10,Paramètres!$A$1:$I$89,5,0)</f>
        <v>230.97984000000022</v>
      </c>
      <c r="AK77" s="14">
        <f t="shared" si="89"/>
        <v>56.494493400807478</v>
      </c>
      <c r="AL77" s="22">
        <f t="shared" si="58"/>
        <v>500.68446400640681</v>
      </c>
      <c r="AM77" s="60">
        <f t="shared" si="59"/>
        <v>794.01779733974013</v>
      </c>
      <c r="AN77" s="60">
        <f ca="1">AVERAGE(OFFSET($AM$3,0,0,'Données projet'!$E$10+1,1))-AVERAGE(OFFSET($H$3,0,0,'Données projet'!$E$10+1,1))</f>
        <v>325.06345339097095</v>
      </c>
      <c r="AO77" s="60">
        <f t="shared" si="90"/>
        <v>318.90379036810754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0" t="e">
        <f t="shared" si="62"/>
        <v>#N/A</v>
      </c>
      <c r="BI77" s="60" t="e">
        <f ca="1">AVERAGE(OFFSET($BH$3,0,0,'Données projet'!$E$11+1,1))-AVERAGE(OFFSET($H$3,0,0,'Données projet'!$E$11+1,1))</f>
        <v>#N/A</v>
      </c>
      <c r="BJ77" s="60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0" t="e">
        <f t="shared" si="65"/>
        <v>#N/A</v>
      </c>
      <c r="CD77" s="60" t="e">
        <f ca="1">AVERAGE(OFFSET($CC$3,0,0,'Données projet'!$E$12+1,1))-AVERAGE(OFFSET($H$3,0,0,'Données projet'!$E$12+1,1))</f>
        <v>#N/A</v>
      </c>
      <c r="CE77" s="60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214.73087999999996</v>
      </c>
      <c r="CV77" s="14">
        <f t="shared" si="95"/>
        <v>52.968057768221847</v>
      </c>
      <c r="CW77" s="22">
        <f t="shared" si="67"/>
        <v>466.24231661298631</v>
      </c>
      <c r="CX77" s="60">
        <f t="shared" si="68"/>
        <v>759.57564994631957</v>
      </c>
      <c r="CY77" s="60">
        <f ca="1">AVERAGE(OFFSET($CX$3,0,0,'Données projet'!$E$13+1,1))-AVERAGE(OFFSET($H$3,0,0,'Données projet'!$E$13+1,1))</f>
        <v>415.50509041799154</v>
      </c>
      <c r="CZ77" s="60">
        <f t="shared" si="96"/>
        <v>239.93573789765657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245.7999999999999</v>
      </c>
      <c r="DP77" s="18">
        <f>DO77*VLOOKUP('Données projet'!$B$14,Paramètres!$A$1:$I$89,3,0)*VLOOKUP('Données projet'!$B$14,Paramètres!$A$1:$I$89,5,0)</f>
        <v>249.24119999999988</v>
      </c>
      <c r="DQ77" s="14">
        <f t="shared" si="97"/>
        <v>60.42342651744687</v>
      </c>
      <c r="DR77" s="22">
        <f t="shared" si="70"/>
        <v>539.3325578512198</v>
      </c>
      <c r="DS77" s="60">
        <f t="shared" si="71"/>
        <v>832.66589118455317</v>
      </c>
      <c r="DT77" s="60">
        <f ca="1">AVERAGE(OFFSET($DS$3,0,0,'Données projet'!$E$14+1,1))-AVERAGE(OFFSET($H$3,0,0,'Données projet'!$E$14+1,1))</f>
        <v>475.47920969424894</v>
      </c>
      <c r="DU77" s="60">
        <f t="shared" si="98"/>
        <v>271.73544012419364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6.2</v>
      </c>
      <c r="EJ77" s="13">
        <f>IF('Données projet'!$A$192&gt;35,EJ76+EI77-ER76,IF(A77&lt;'Données projet'!$A$192,$EG$205^A77,IF(A77='Données projet'!$A$192,'Données projet'!$B$192,EJ76+EI77-ER76)))</f>
        <v>245.7999999999999</v>
      </c>
      <c r="EK77" s="18">
        <f>EJ77*VLOOKUP('Données projet'!$B$15,Paramètres!$A$1:$I$89,3,0)*VLOOKUP('Données projet'!$B$15,Paramètres!$A$1:$I$89,5,0)</f>
        <v>222.3998399999999</v>
      </c>
      <c r="EL77" s="14">
        <f t="shared" si="99"/>
        <v>54.636149281681448</v>
      </c>
      <c r="EM77" s="22">
        <f t="shared" si="73"/>
        <v>482.50434799892832</v>
      </c>
      <c r="EN77" s="60">
        <f t="shared" si="74"/>
        <v>775.83768133226158</v>
      </c>
      <c r="EO77" s="60">
        <f ca="1">AVERAGE(OFFSET($EN$3,0,0,'Données projet'!$E$15+1,1))-AVERAGE(OFFSET($H$3,0,0,'Données projet'!$E$15+1,1))</f>
        <v>428.8489304403459</v>
      </c>
      <c r="EP77" s="60">
        <f t="shared" si="100"/>
        <v>247.01165577562966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6.2</v>
      </c>
      <c r="FE77" s="13">
        <f>IF('Données projet'!$A$218&gt;35,FE76+FD77-FM76,IF(A77&lt;'Données projet'!$A$218,$FB$205^A77,IF(A77='Données projet'!$A$218,'Données projet'!$B$218,FE76+FD77-FM76)))</f>
        <v>245.7999999999999</v>
      </c>
      <c r="FF77" s="18">
        <f>FE77*VLOOKUP('Données projet'!$B$16,Paramètres!$A$1:$I$89,3,0)*VLOOKUP('Données projet'!$B$16,Paramètres!$A$1:$I$89,5,0)</f>
        <v>237.73775999999989</v>
      </c>
      <c r="FG77" s="14">
        <f t="shared" si="101"/>
        <v>57.952530566790166</v>
      </c>
      <c r="FH77" s="22">
        <f t="shared" si="76"/>
        <v>514.99392273715932</v>
      </c>
      <c r="FI77" s="60">
        <f t="shared" si="77"/>
        <v>808.32725607049269</v>
      </c>
      <c r="FJ77" s="60">
        <f ca="1">AVERAGE(OFFSET($FI$3,0,0,'Données projet'!$E$16+1,1))-AVERAGE(OFFSET($H$3,0,0,'Données projet'!$E$16+1,1))</f>
        <v>455.50822833641354</v>
      </c>
      <c r="FK77" s="60">
        <f t="shared" si="102"/>
        <v>261.14722581688039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 t="e">
        <f>N78*VLOOKUP('Données projet'!$B$9,Paramètres!$A$1:$I$89,3,0)*VLOOKUP('Données projet'!$B$9,Paramètres!$A$1:$I$89,5,0)</f>
        <v>#N/A</v>
      </c>
      <c r="P78" s="14" t="e">
        <f t="shared" si="87"/>
        <v>#N/A</v>
      </c>
      <c r="Q78" s="22" t="e">
        <f t="shared" si="54"/>
        <v>#N/A</v>
      </c>
      <c r="R78" s="60" t="e">
        <f t="shared" si="55"/>
        <v>#N/A</v>
      </c>
      <c r="S78" s="60" t="e">
        <f ca="1">AVERAGE(OFFSET($R$3,0,0,'Données projet'!$E$9+1,1))-AVERAGE(OFFSET($H$3,0,0,'Données projet'!$E$9+1,1))</f>
        <v>#N/A</v>
      </c>
      <c r="T78" s="60" t="e">
        <f t="shared" si="88"/>
        <v>#N/A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 t="e">
        <f>EXP(-LN(2)/35)*Z77+(1-EXP(-LN(2)/35))/(LN(2)/35)*V78*W78*VLOOKUP('Données projet'!$B$9,Paramètres!$A$1:$I$89,3,0)*0.475*44/12</f>
        <v>#N/A</v>
      </c>
      <c r="AA78" s="23" t="e">
        <f>EXP(-LN(2)/25)*AA77+(1-EXP(-LN(2)/25))/(LN(2)/25)*Calculateur!V78*Calculateur!X78*VLOOKUP('Données projet'!$B$9,Paramètres!$A$1:$I$89,3,0)*0.475*44/12</f>
        <v>#N/A</v>
      </c>
      <c r="AB78" s="23" t="e">
        <f>EXP(-LN(2)/2)*AB77+(1-EXP(-LN(2)/2))/(LN(2)/2)*V78*Y78*VLOOKUP('Données projet'!$B$9,Paramètres!$A$1:$I$89,3,0)*0.475*44/12</f>
        <v>#N/A</v>
      </c>
      <c r="AC78" s="24" t="e">
        <f t="shared" si="57"/>
        <v>#N/A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270</v>
      </c>
      <c r="AG78" s="13">
        <f>VLOOKUP(A78,'Données projet'!$A$61:$I$81,9,0)</f>
        <v>5.6</v>
      </c>
      <c r="AH78" s="13">
        <f t="array" ref="AH78">INDEX(AG:AG,MIN(IF(ISNUMBER(AG78:AG274),ROW(AG78:AG274),"")))</f>
        <v>5.6</v>
      </c>
      <c r="AI78" s="14">
        <f>IF('Données projet'!$A$62&gt;35,AI77+AH78-AQ77,IF(A78&lt;'Données projet'!$A$62,$AF$205^A78,IF(A78='Données projet'!$A$62,'Données projet'!$B$62,AI77+AH78-AQ77)))</f>
        <v>270.00000000000023</v>
      </c>
      <c r="AJ78" s="14">
        <f>AI78*VLOOKUP('Données projet'!$B$10,Paramètres!$A$1:$I$89,3,0)*VLOOKUP('Données projet'!$B$10,Paramètres!$A$1:$I$89,5,0)</f>
        <v>235.87200000000021</v>
      </c>
      <c r="AK78" s="14">
        <f t="shared" si="89"/>
        <v>57.550476347015326</v>
      </c>
      <c r="AL78" s="22">
        <f t="shared" si="58"/>
        <v>511.04414630438538</v>
      </c>
      <c r="AM78" s="60">
        <f t="shared" si="59"/>
        <v>804.37747963771869</v>
      </c>
      <c r="AN78" s="60">
        <f ca="1">AVERAGE(OFFSET($AM$3,0,0,'Données projet'!$E$10+1,1))-AVERAGE(OFFSET($H$3,0,0,'Données projet'!$E$10+1,1))</f>
        <v>325.06345339097095</v>
      </c>
      <c r="AO78" s="60">
        <f t="shared" si="90"/>
        <v>318.90379036810754</v>
      </c>
      <c r="AP78" s="16">
        <f>IF(ISNA(VLOOKUP(A78,'Données projet'!$A$61:$I$81,3,0)),0,VLOOKUP(A78,'Données projet'!$A$61:$I$81,3,0))</f>
        <v>7</v>
      </c>
      <c r="AQ78" s="16">
        <f>IF(ISNA(VLOOKUP(A78,'Données projet'!$A$61:$I$81,4,0)),0,VLOOKUP(A78,'Données projet'!$A$61:$I$81,4,0))</f>
        <v>9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0" t="e">
        <f t="shared" si="62"/>
        <v>#N/A</v>
      </c>
      <c r="BI78" s="60" t="e">
        <f ca="1">AVERAGE(OFFSET($BH$3,0,0,'Données projet'!$E$11+1,1))-AVERAGE(OFFSET($H$3,0,0,'Données projet'!$E$11+1,1))</f>
        <v>#N/A</v>
      </c>
      <c r="BJ78" s="60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0" t="e">
        <f t="shared" si="65"/>
        <v>#N/A</v>
      </c>
      <c r="CD78" s="60" t="e">
        <f ca="1">AVERAGE(OFFSET($CC$3,0,0,'Données projet'!$E$12+1,1))-AVERAGE(OFFSET($H$3,0,0,'Données projet'!$E$12+1,1))</f>
        <v>#N/A</v>
      </c>
      <c r="CE78" s="60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220.14719999999991</v>
      </c>
      <c r="CV78" s="14">
        <f t="shared" si="95"/>
        <v>54.146877667769637</v>
      </c>
      <c r="CW78" s="22">
        <f t="shared" si="67"/>
        <v>477.72885193803194</v>
      </c>
      <c r="CX78" s="60">
        <f t="shared" si="68"/>
        <v>771.06218527136525</v>
      </c>
      <c r="CY78" s="60">
        <f ca="1">AVERAGE(OFFSET($CX$3,0,0,'Données projet'!$E$13+1,1))-AVERAGE(OFFSET($H$3,0,0,'Données projet'!$E$13+1,1))</f>
        <v>415.50509041799154</v>
      </c>
      <c r="CZ78" s="60">
        <f t="shared" si="96"/>
        <v>239.93573789765657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252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251.99999999999989</v>
      </c>
      <c r="DP78" s="18">
        <f>DO78*VLOOKUP('Données projet'!$B$14,Paramètres!$A$1:$I$89,3,0)*VLOOKUP('Données projet'!$B$14,Paramètres!$A$1:$I$89,5,0)</f>
        <v>255.52799999999991</v>
      </c>
      <c r="DQ78" s="14">
        <f t="shared" si="97"/>
        <v>61.768167868721477</v>
      </c>
      <c r="DR78" s="22">
        <f t="shared" si="70"/>
        <v>552.62415903802309</v>
      </c>
      <c r="DS78" s="60">
        <f t="shared" si="71"/>
        <v>845.95749237135647</v>
      </c>
      <c r="DT78" s="60">
        <f ca="1">AVERAGE(OFFSET($DS$3,0,0,'Données projet'!$E$14+1,1))-AVERAGE(OFFSET($H$3,0,0,'Données projet'!$E$14+1,1))</f>
        <v>475.47920969424894</v>
      </c>
      <c r="DU78" s="60">
        <f t="shared" si="98"/>
        <v>271.73544012419364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252</v>
      </c>
      <c r="EH78" s="13">
        <f>VLOOKUP(A78,'Données projet'!$A$191:$I$211,9,0)</f>
        <v>6.2</v>
      </c>
      <c r="EI78" s="13">
        <f t="array" ref="EI78">INDEX(EH:EH,MIN(IF(ISNUMBER(EH78:EH274),ROW(EH78:EH274),"")))</f>
        <v>6.2</v>
      </c>
      <c r="EJ78" s="13">
        <f>IF('Données projet'!$A$192&gt;35,EJ77+EI78-ER77,IF(A78&lt;'Données projet'!$A$192,$EG$205^A78,IF(A78='Données projet'!$A$192,'Données projet'!$B$192,EJ77+EI78-ER77)))</f>
        <v>251.99999999999989</v>
      </c>
      <c r="EK78" s="18">
        <f>EJ78*VLOOKUP('Données projet'!$B$15,Paramètres!$A$1:$I$89,3,0)*VLOOKUP('Données projet'!$B$15,Paramètres!$A$1:$I$89,5,0)</f>
        <v>228.00959999999986</v>
      </c>
      <c r="EL78" s="14">
        <f t="shared" si="99"/>
        <v>55.852093054619779</v>
      </c>
      <c r="EM78" s="22">
        <f t="shared" si="73"/>
        <v>494.39244873679587</v>
      </c>
      <c r="EN78" s="60">
        <f t="shared" si="74"/>
        <v>787.72578207012918</v>
      </c>
      <c r="EO78" s="60">
        <f ca="1">AVERAGE(OFFSET($EN$3,0,0,'Données projet'!$E$15+1,1))-AVERAGE(OFFSET($H$3,0,0,'Données projet'!$E$15+1,1))</f>
        <v>428.8489304403459</v>
      </c>
      <c r="EP78" s="60">
        <f t="shared" si="100"/>
        <v>247.01165577562966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252</v>
      </c>
      <c r="FC78" s="13">
        <f>VLOOKUP(A78,'Données projet'!$A$217:$I$237,9,0)</f>
        <v>6.2</v>
      </c>
      <c r="FD78" s="13">
        <f t="array" ref="FD78">INDEX(FC:FC,MIN(IF(ISNUMBER(FC78:FC274),ROW(FC78:FC274),"")))</f>
        <v>6.2</v>
      </c>
      <c r="FE78" s="13">
        <f>IF('Données projet'!$A$218&gt;35,FE77+FD78-FM77,IF(A78&lt;'Données projet'!$A$218,$FB$205^A78,IF(A78='Données projet'!$A$218,'Données projet'!$B$218,FE77+FD78-FM77)))</f>
        <v>251.99999999999989</v>
      </c>
      <c r="FF78" s="18">
        <f>FE78*VLOOKUP('Données projet'!$B$16,Paramètres!$A$1:$I$89,3,0)*VLOOKUP('Données projet'!$B$16,Paramètres!$A$1:$I$89,5,0)</f>
        <v>243.73439999999988</v>
      </c>
      <c r="FG78" s="14">
        <f t="shared" si="101"/>
        <v>59.242281392848767</v>
      </c>
      <c r="FH78" s="22">
        <f t="shared" si="76"/>
        <v>527.68438675921141</v>
      </c>
      <c r="FI78" s="60">
        <f t="shared" si="77"/>
        <v>821.01772009254478</v>
      </c>
      <c r="FJ78" s="60">
        <f ca="1">AVERAGE(OFFSET($FI$3,0,0,'Données projet'!$E$16+1,1))-AVERAGE(OFFSET($H$3,0,0,'Données projet'!$E$16+1,1))</f>
        <v>455.50822833641354</v>
      </c>
      <c r="FK78" s="60">
        <f t="shared" si="102"/>
        <v>261.14722581688039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 t="e">
        <f>N79*VLOOKUP('Données projet'!$B$9,Paramètres!$A$1:$I$89,3,0)*VLOOKUP('Données projet'!$B$9,Paramètres!$A$1:$I$89,5,0)</f>
        <v>#N/A</v>
      </c>
      <c r="P79" s="14" t="e">
        <f t="shared" si="87"/>
        <v>#N/A</v>
      </c>
      <c r="Q79" s="22" t="e">
        <f t="shared" si="54"/>
        <v>#N/A</v>
      </c>
      <c r="R79" s="60" t="e">
        <f t="shared" si="55"/>
        <v>#N/A</v>
      </c>
      <c r="S79" s="60" t="e">
        <f ca="1">AVERAGE(OFFSET($R$3,0,0,'Données projet'!$E$9+1,1))-AVERAGE(OFFSET($H$3,0,0,'Données projet'!$E$9+1,1))</f>
        <v>#N/A</v>
      </c>
      <c r="T79" s="60" t="e">
        <f t="shared" si="88"/>
        <v>#N/A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 t="e">
        <f>EXP(-LN(2)/35)*Z78+(1-EXP(-LN(2)/35))/(LN(2)/35)*V79*W79*VLOOKUP('Données projet'!$B$9,Paramètres!$A$1:$I$89,3,0)*0.475*44/12</f>
        <v>#N/A</v>
      </c>
      <c r="AA79" s="23" t="e">
        <f>EXP(-LN(2)/25)*AA78+(1-EXP(-LN(2)/25))/(LN(2)/25)*Calculateur!V79*Calculateur!X79*VLOOKUP('Données projet'!$B$9,Paramètres!$A$1:$I$89,3,0)*0.475*44/12</f>
        <v>#N/A</v>
      </c>
      <c r="AB79" s="23" t="e">
        <f>EXP(-LN(2)/2)*AB78+(1-EXP(-LN(2)/2))/(LN(2)/2)*V79*Y79*VLOOKUP('Données projet'!$B$9,Paramètres!$A$1:$I$89,3,0)*0.475*44/12</f>
        <v>#N/A</v>
      </c>
      <c r="AC79" s="24" t="e">
        <f t="shared" si="57"/>
        <v>#N/A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</v>
      </c>
      <c r="AI79" s="14">
        <f>IF('Données projet'!$A$62&gt;35,AI78+AH79-AQ78,IF(A79&lt;'Données projet'!$A$62,$AF$205^A79,IF(A79='Données projet'!$A$62,'Données projet'!$B$62,AI78+AH79-AQ78)))</f>
        <v>264.00000000000023</v>
      </c>
      <c r="AJ79" s="14">
        <f>AI79*VLOOKUP('Données projet'!$B$10,Paramètres!$A$1:$I$89,3,0)*VLOOKUP('Données projet'!$B$10,Paramètres!$A$1:$I$89,5,0)</f>
        <v>230.63040000000024</v>
      </c>
      <c r="AK79" s="14">
        <f t="shared" si="89"/>
        <v>56.418967028503303</v>
      </c>
      <c r="AL79" s="22">
        <f t="shared" si="58"/>
        <v>499.94431424131022</v>
      </c>
      <c r="AM79" s="60">
        <f t="shared" si="59"/>
        <v>793.27764757464354</v>
      </c>
      <c r="AN79" s="60">
        <f ca="1">AVERAGE(OFFSET($AM$3,0,0,'Données projet'!$E$10+1,1))-AVERAGE(OFFSET($H$3,0,0,'Données projet'!$E$10+1,1))</f>
        <v>325.06345339097095</v>
      </c>
      <c r="AO79" s="60">
        <f t="shared" si="90"/>
        <v>318.90379036810754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0" t="e">
        <f t="shared" si="62"/>
        <v>#N/A</v>
      </c>
      <c r="BI79" s="60" t="e">
        <f ca="1">AVERAGE(OFFSET($BH$3,0,0,'Données projet'!$E$11+1,1))-AVERAGE(OFFSET($H$3,0,0,'Données projet'!$E$11+1,1))</f>
        <v>#N/A</v>
      </c>
      <c r="BJ79" s="60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0" t="e">
        <f t="shared" si="65"/>
        <v>#N/A</v>
      </c>
      <c r="CD79" s="60" t="e">
        <f ca="1">AVERAGE(OFFSET($CC$3,0,0,'Données projet'!$E$12+1,1))-AVERAGE(OFFSET($H$3,0,0,'Données projet'!$E$12+1,1))</f>
        <v>#N/A</v>
      </c>
      <c r="CE79" s="60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225.38879999999995</v>
      </c>
      <c r="CV79" s="14">
        <f t="shared" si="95"/>
        <v>55.284460117161544</v>
      </c>
      <c r="CW79" s="22">
        <f t="shared" si="67"/>
        <v>488.83926137072285</v>
      </c>
      <c r="CX79" s="60">
        <f t="shared" si="68"/>
        <v>782.17259470405611</v>
      </c>
      <c r="CY79" s="60">
        <f ca="1">AVERAGE(OFFSET($CX$3,0,0,'Données projet'!$E$13+1,1))-AVERAGE(OFFSET($H$3,0,0,'Données projet'!$E$13+1,1))</f>
        <v>415.50509041799154</v>
      </c>
      <c r="CZ79" s="60">
        <f t="shared" si="96"/>
        <v>239.93573789765657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257.99999999999989</v>
      </c>
      <c r="DP79" s="18">
        <f>DO79*VLOOKUP('Données projet'!$B$14,Paramètres!$A$1:$I$89,3,0)*VLOOKUP('Données projet'!$B$14,Paramètres!$A$1:$I$89,5,0)</f>
        <v>261.61199999999991</v>
      </c>
      <c r="DQ79" s="14">
        <f t="shared" si="97"/>
        <v>63.065867509496442</v>
      </c>
      <c r="DR79" s="22">
        <f t="shared" si="70"/>
        <v>565.48061924570618</v>
      </c>
      <c r="DS79" s="60">
        <f t="shared" si="71"/>
        <v>858.81395257903955</v>
      </c>
      <c r="DT79" s="60">
        <f ca="1">AVERAGE(OFFSET($DS$3,0,0,'Données projet'!$E$14+1,1))-AVERAGE(OFFSET($H$3,0,0,'Données projet'!$E$14+1,1))</f>
        <v>475.47920969424894</v>
      </c>
      <c r="DU79" s="60">
        <f t="shared" si="98"/>
        <v>271.73544012419364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6</v>
      </c>
      <c r="EJ79" s="13">
        <f>IF('Données projet'!$A$192&gt;35,EJ78+EI79-ER78,IF(A79&lt;'Données projet'!$A$192,$EG$205^A79,IF(A79='Données projet'!$A$192,'Données projet'!$B$192,EJ78+EI79-ER78)))</f>
        <v>257.99999999999989</v>
      </c>
      <c r="EK79" s="18">
        <f>EJ79*VLOOKUP('Données projet'!$B$15,Paramètres!$A$1:$I$89,3,0)*VLOOKUP('Données projet'!$B$15,Paramètres!$A$1:$I$89,5,0)</f>
        <v>233.43839999999989</v>
      </c>
      <c r="EL79" s="14">
        <f t="shared" si="99"/>
        <v>57.025500710931624</v>
      </c>
      <c r="EM79" s="22">
        <f t="shared" si="73"/>
        <v>505.89129373820577</v>
      </c>
      <c r="EN79" s="60">
        <f t="shared" si="74"/>
        <v>799.22462707153909</v>
      </c>
      <c r="EO79" s="60">
        <f ca="1">AVERAGE(OFFSET($EN$3,0,0,'Données projet'!$E$15+1,1))-AVERAGE(OFFSET($H$3,0,0,'Données projet'!$E$15+1,1))</f>
        <v>428.8489304403459</v>
      </c>
      <c r="EP79" s="60">
        <f t="shared" si="100"/>
        <v>247.01165577562966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6</v>
      </c>
      <c r="FE79" s="13">
        <f>IF('Données projet'!$A$218&gt;35,FE78+FD79-FM78,IF(A79&lt;'Données projet'!$A$218,$FB$205^A79,IF(A79='Données projet'!$A$218,'Données projet'!$B$218,FE78+FD79-FM78)))</f>
        <v>257.99999999999989</v>
      </c>
      <c r="FF79" s="18">
        <f>FE79*VLOOKUP('Données projet'!$B$16,Paramètres!$A$1:$I$89,3,0)*VLOOKUP('Données projet'!$B$16,Paramètres!$A$1:$I$89,5,0)</f>
        <v>249.53759999999988</v>
      </c>
      <c r="FG79" s="14">
        <f t="shared" si="101"/>
        <v>60.486914185674671</v>
      </c>
      <c r="FH79" s="22">
        <f t="shared" si="76"/>
        <v>539.95936220671649</v>
      </c>
      <c r="FI79" s="60">
        <f t="shared" si="77"/>
        <v>833.29269554004986</v>
      </c>
      <c r="FJ79" s="60">
        <f ca="1">AVERAGE(OFFSET($FI$3,0,0,'Données projet'!$E$16+1,1))-AVERAGE(OFFSET($H$3,0,0,'Données projet'!$E$16+1,1))</f>
        <v>455.50822833641354</v>
      </c>
      <c r="FK79" s="60">
        <f t="shared" si="102"/>
        <v>261.14722581688039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 t="e">
        <f>N80*VLOOKUP('Données projet'!$B$9,Paramètres!$A$1:$I$89,3,0)*VLOOKUP('Données projet'!$B$9,Paramètres!$A$1:$I$89,5,0)</f>
        <v>#N/A</v>
      </c>
      <c r="P80" s="14" t="e">
        <f t="shared" si="87"/>
        <v>#N/A</v>
      </c>
      <c r="Q80" s="22" t="e">
        <f t="shared" si="54"/>
        <v>#N/A</v>
      </c>
      <c r="R80" s="60" t="e">
        <f t="shared" si="55"/>
        <v>#N/A</v>
      </c>
      <c r="S80" s="60" t="e">
        <f ca="1">AVERAGE(OFFSET($R$3,0,0,'Données projet'!$E$9+1,1))-AVERAGE(OFFSET($H$3,0,0,'Données projet'!$E$9+1,1))</f>
        <v>#N/A</v>
      </c>
      <c r="T80" s="60" t="e">
        <f t="shared" si="88"/>
        <v>#N/A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 t="e">
        <f>EXP(-LN(2)/35)*Z79+(1-EXP(-LN(2)/35))/(LN(2)/35)*V80*W80*VLOOKUP('Données projet'!$B$9,Paramètres!$A$1:$I$89,3,0)*0.475*44/12</f>
        <v>#N/A</v>
      </c>
      <c r="AA80" s="23" t="e">
        <f>EXP(-LN(2)/25)*AA79+(1-EXP(-LN(2)/25))/(LN(2)/25)*Calculateur!V80*Calculateur!X80*VLOOKUP('Données projet'!$B$9,Paramètres!$A$1:$I$89,3,0)*0.475*44/12</f>
        <v>#N/A</v>
      </c>
      <c r="AB80" s="23" t="e">
        <f>EXP(-LN(2)/2)*AB79+(1-EXP(-LN(2)/2))/(LN(2)/2)*V80*Y80*VLOOKUP('Données projet'!$B$9,Paramètres!$A$1:$I$89,3,0)*0.475*44/12</f>
        <v>#N/A</v>
      </c>
      <c r="AC80" s="24" t="e">
        <f t="shared" si="57"/>
        <v>#N/A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</v>
      </c>
      <c r="AI80" s="14">
        <f>IF('Données projet'!$A$62&gt;35,AI79+AH80-AQ79,IF(A80&lt;'Données projet'!$A$62,$AF$205^A80,IF(A80='Données projet'!$A$62,'Données projet'!$B$62,AI79+AH80-AQ79)))</f>
        <v>267.00000000000023</v>
      </c>
      <c r="AJ80" s="14">
        <f>AI80*VLOOKUP('Données projet'!$B$10,Paramètres!$A$1:$I$89,3,0)*VLOOKUP('Données projet'!$B$10,Paramètres!$A$1:$I$89,5,0)</f>
        <v>233.25120000000024</v>
      </c>
      <c r="AK80" s="14">
        <f t="shared" si="89"/>
        <v>56.985091661350914</v>
      </c>
      <c r="AL80" s="22">
        <f t="shared" si="58"/>
        <v>505.49487464351995</v>
      </c>
      <c r="AM80" s="60">
        <f t="shared" si="59"/>
        <v>798.82820797685326</v>
      </c>
      <c r="AN80" s="60">
        <f ca="1">AVERAGE(OFFSET($AM$3,0,0,'Données projet'!$E$10+1,1))-AVERAGE(OFFSET($H$3,0,0,'Données projet'!$E$10+1,1))</f>
        <v>325.06345339097095</v>
      </c>
      <c r="AO80" s="60">
        <f t="shared" si="90"/>
        <v>318.90379036810754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0" t="e">
        <f t="shared" si="62"/>
        <v>#N/A</v>
      </c>
      <c r="BI80" s="60" t="e">
        <f ca="1">AVERAGE(OFFSET($BH$3,0,0,'Données projet'!$E$11+1,1))-AVERAGE(OFFSET($H$3,0,0,'Données projet'!$E$11+1,1))</f>
        <v>#N/A</v>
      </c>
      <c r="BJ80" s="60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0" t="e">
        <f t="shared" si="65"/>
        <v>#N/A</v>
      </c>
      <c r="CD80" s="60" t="e">
        <f ca="1">AVERAGE(OFFSET($CC$3,0,0,'Données projet'!$E$12+1,1))-AVERAGE(OFFSET($H$3,0,0,'Données projet'!$E$12+1,1))</f>
        <v>#N/A</v>
      </c>
      <c r="CE80" s="60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230.63039999999992</v>
      </c>
      <c r="CV80" s="14">
        <f t="shared" si="95"/>
        <v>56.418967028503204</v>
      </c>
      <c r="CW80" s="22">
        <f t="shared" si="67"/>
        <v>499.94431424130966</v>
      </c>
      <c r="CX80" s="60">
        <f t="shared" si="68"/>
        <v>793.27764757464297</v>
      </c>
      <c r="CY80" s="60">
        <f ca="1">AVERAGE(OFFSET($CX$3,0,0,'Données projet'!$E$13+1,1))-AVERAGE(OFFSET($H$3,0,0,'Données projet'!$E$13+1,1))</f>
        <v>415.50509041799154</v>
      </c>
      <c r="CZ80" s="60">
        <f t="shared" si="96"/>
        <v>239.93573789765657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263.99999999999989</v>
      </c>
      <c r="DP80" s="18">
        <f>DO80*VLOOKUP('Données projet'!$B$14,Paramètres!$A$1:$I$89,3,0)*VLOOKUP('Données projet'!$B$14,Paramètres!$A$1:$I$89,5,0)</f>
        <v>267.69599999999991</v>
      </c>
      <c r="DQ80" s="14">
        <f t="shared" si="97"/>
        <v>64.360058723585439</v>
      </c>
      <c r="DR80" s="22">
        <f t="shared" si="70"/>
        <v>578.33096894357777</v>
      </c>
      <c r="DS80" s="60">
        <f t="shared" si="71"/>
        <v>871.66430227691103</v>
      </c>
      <c r="DT80" s="60">
        <f ca="1">AVERAGE(OFFSET($DS$3,0,0,'Données projet'!$E$14+1,1))-AVERAGE(OFFSET($H$3,0,0,'Données projet'!$E$14+1,1))</f>
        <v>475.47920969424894</v>
      </c>
      <c r="DU80" s="60">
        <f t="shared" si="98"/>
        <v>271.73544012419364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6</v>
      </c>
      <c r="EJ80" s="13">
        <f>IF('Données projet'!$A$192&gt;35,EJ79+EI80-ER79,IF(A80&lt;'Données projet'!$A$192,$EG$205^A80,IF(A80='Données projet'!$A$192,'Données projet'!$B$192,EJ79+EI80-ER79)))</f>
        <v>263.99999999999989</v>
      </c>
      <c r="EK80" s="18">
        <f>EJ80*VLOOKUP('Données projet'!$B$15,Paramètres!$A$1:$I$89,3,0)*VLOOKUP('Données projet'!$B$15,Paramètres!$A$1:$I$89,5,0)</f>
        <v>238.86719999999988</v>
      </c>
      <c r="EL80" s="14">
        <f t="shared" si="99"/>
        <v>58.195735973104156</v>
      </c>
      <c r="EM80" s="22">
        <f t="shared" si="73"/>
        <v>517.38461348648957</v>
      </c>
      <c r="EN80" s="60">
        <f t="shared" si="74"/>
        <v>810.71794681982283</v>
      </c>
      <c r="EO80" s="60">
        <f ca="1">AVERAGE(OFFSET($EN$3,0,0,'Données projet'!$E$15+1,1))-AVERAGE(OFFSET($H$3,0,0,'Données projet'!$E$15+1,1))</f>
        <v>428.8489304403459</v>
      </c>
      <c r="EP80" s="60">
        <f t="shared" si="100"/>
        <v>247.01165577562966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6</v>
      </c>
      <c r="FE80" s="13">
        <f>IF('Données projet'!$A$218&gt;35,FE79+FD80-FM79,IF(A80&lt;'Données projet'!$A$218,$FB$205^A80,IF(A80='Données projet'!$A$218,'Données projet'!$B$218,FE79+FD80-FM79)))</f>
        <v>263.99999999999989</v>
      </c>
      <c r="FF80" s="18">
        <f>FE80*VLOOKUP('Données projet'!$B$16,Paramètres!$A$1:$I$89,3,0)*VLOOKUP('Données projet'!$B$16,Paramètres!$A$1:$I$89,5,0)</f>
        <v>255.34079999999989</v>
      </c>
      <c r="FG80" s="14">
        <f t="shared" si="101"/>
        <v>61.728182021951895</v>
      </c>
      <c r="FH80" s="22">
        <f t="shared" si="76"/>
        <v>552.22847702156594</v>
      </c>
      <c r="FI80" s="60">
        <f t="shared" si="77"/>
        <v>845.56181035489931</v>
      </c>
      <c r="FJ80" s="60">
        <f ca="1">AVERAGE(OFFSET($FI$3,0,0,'Données projet'!$E$16+1,1))-AVERAGE(OFFSET($H$3,0,0,'Données projet'!$E$16+1,1))</f>
        <v>455.50822833641354</v>
      </c>
      <c r="FK80" s="60">
        <f t="shared" si="102"/>
        <v>261.14722581688039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 t="e">
        <f>N81*VLOOKUP('Données projet'!$B$9,Paramètres!$A$1:$I$89,3,0)*VLOOKUP('Données projet'!$B$9,Paramètres!$A$1:$I$89,5,0)</f>
        <v>#N/A</v>
      </c>
      <c r="P81" s="14" t="e">
        <f t="shared" si="87"/>
        <v>#N/A</v>
      </c>
      <c r="Q81" s="22" t="e">
        <f t="shared" si="54"/>
        <v>#N/A</v>
      </c>
      <c r="R81" s="60" t="e">
        <f t="shared" si="55"/>
        <v>#N/A</v>
      </c>
      <c r="S81" s="60" t="e">
        <f ca="1">AVERAGE(OFFSET($R$3,0,0,'Données projet'!$E$9+1,1))-AVERAGE(OFFSET($H$3,0,0,'Données projet'!$E$9+1,1))</f>
        <v>#N/A</v>
      </c>
      <c r="T81" s="60" t="e">
        <f t="shared" si="88"/>
        <v>#N/A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 t="e">
        <f>EXP(-LN(2)/35)*Z80+(1-EXP(-LN(2)/35))/(LN(2)/35)*V81*W81*VLOOKUP('Données projet'!$B$9,Paramètres!$A$1:$I$89,3,0)*0.475*44/12</f>
        <v>#N/A</v>
      </c>
      <c r="AA81" s="23" t="e">
        <f>EXP(-LN(2)/25)*AA80+(1-EXP(-LN(2)/25))/(LN(2)/25)*Calculateur!V81*Calculateur!X81*VLOOKUP('Données projet'!$B$9,Paramètres!$A$1:$I$89,3,0)*0.475*44/12</f>
        <v>#N/A</v>
      </c>
      <c r="AB81" s="23" t="e">
        <f>EXP(-LN(2)/2)*AB80+(1-EXP(-LN(2)/2))/(LN(2)/2)*V81*Y81*VLOOKUP('Données projet'!$B$9,Paramètres!$A$1:$I$89,3,0)*0.475*44/12</f>
        <v>#N/A</v>
      </c>
      <c r="AC81" s="24" t="e">
        <f t="shared" si="57"/>
        <v>#N/A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</v>
      </c>
      <c r="AI81" s="14">
        <f>IF('Données projet'!$A$62&gt;35,AI80+AH81-AQ80,IF(A81&lt;'Données projet'!$A$62,$AF$205^A81,IF(A81='Données projet'!$A$62,'Données projet'!$B$62,AI80+AH81-AQ80)))</f>
        <v>270.00000000000023</v>
      </c>
      <c r="AJ81" s="14">
        <f>AI81*VLOOKUP('Données projet'!$B$10,Paramètres!$A$1:$I$89,3,0)*VLOOKUP('Données projet'!$B$10,Paramètres!$A$1:$I$89,5,0)</f>
        <v>235.87200000000021</v>
      </c>
      <c r="AK81" s="14">
        <f t="shared" si="89"/>
        <v>57.550476347015326</v>
      </c>
      <c r="AL81" s="22">
        <f t="shared" si="58"/>
        <v>511.04414630438538</v>
      </c>
      <c r="AM81" s="60">
        <f t="shared" si="59"/>
        <v>804.37747963771869</v>
      </c>
      <c r="AN81" s="60">
        <f ca="1">AVERAGE(OFFSET($AM$3,0,0,'Données projet'!$E$10+1,1))-AVERAGE(OFFSET($H$3,0,0,'Données projet'!$E$10+1,1))</f>
        <v>325.06345339097095</v>
      </c>
      <c r="AO81" s="60">
        <f t="shared" si="90"/>
        <v>318.90379036810754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0" t="e">
        <f t="shared" si="62"/>
        <v>#N/A</v>
      </c>
      <c r="BI81" s="60" t="e">
        <f ca="1">AVERAGE(OFFSET($BH$3,0,0,'Données projet'!$E$11+1,1))-AVERAGE(OFFSET($H$3,0,0,'Données projet'!$E$11+1,1))</f>
        <v>#N/A</v>
      </c>
      <c r="BJ81" s="60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0" t="e">
        <f t="shared" si="65"/>
        <v>#N/A</v>
      </c>
      <c r="CD81" s="60" t="e">
        <f ca="1">AVERAGE(OFFSET($CC$3,0,0,'Données projet'!$E$12+1,1))-AVERAGE(OFFSET($H$3,0,0,'Données projet'!$E$12+1,1))</f>
        <v>#N/A</v>
      </c>
      <c r="CE81" s="60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235.87199999999996</v>
      </c>
      <c r="CV81" s="14">
        <f t="shared" si="95"/>
        <v>57.550476347015277</v>
      </c>
      <c r="CW81" s="22">
        <f t="shared" si="67"/>
        <v>511.04414630438487</v>
      </c>
      <c r="CX81" s="60">
        <f t="shared" si="68"/>
        <v>804.37747963771812</v>
      </c>
      <c r="CY81" s="60">
        <f ca="1">AVERAGE(OFFSET($CX$3,0,0,'Données projet'!$E$13+1,1))-AVERAGE(OFFSET($H$3,0,0,'Données projet'!$E$13+1,1))</f>
        <v>415.50509041799154</v>
      </c>
      <c r="CZ81" s="60">
        <f t="shared" si="96"/>
        <v>239.93573789765657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269.99999999999989</v>
      </c>
      <c r="DP81" s="18">
        <f>DO81*VLOOKUP('Données projet'!$B$14,Paramètres!$A$1:$I$89,3,0)*VLOOKUP('Données projet'!$B$14,Paramètres!$A$1:$I$89,5,0)</f>
        <v>273.77999999999992</v>
      </c>
      <c r="DQ81" s="14">
        <f t="shared" si="97"/>
        <v>65.650830427167435</v>
      </c>
      <c r="DR81" s="22">
        <f t="shared" si="70"/>
        <v>591.17536299398307</v>
      </c>
      <c r="DS81" s="60">
        <f t="shared" si="71"/>
        <v>884.50869632731633</v>
      </c>
      <c r="DT81" s="60">
        <f ca="1">AVERAGE(OFFSET($DS$3,0,0,'Données projet'!$E$14+1,1))-AVERAGE(OFFSET($H$3,0,0,'Données projet'!$E$14+1,1))</f>
        <v>475.47920969424894</v>
      </c>
      <c r="DU81" s="60">
        <f t="shared" si="98"/>
        <v>271.73544012419364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6</v>
      </c>
      <c r="EJ81" s="13">
        <f>IF('Données projet'!$A$192&gt;35,EJ80+EI81-ER80,IF(A81&lt;'Données projet'!$A$192,$EG$205^A81,IF(A81='Données projet'!$A$192,'Données projet'!$B$192,EJ80+EI81-ER80)))</f>
        <v>269.99999999999989</v>
      </c>
      <c r="EK81" s="18">
        <f>EJ81*VLOOKUP('Données projet'!$B$15,Paramètres!$A$1:$I$89,3,0)*VLOOKUP('Données projet'!$B$15,Paramètres!$A$1:$I$89,5,0)</f>
        <v>244.29599999999991</v>
      </c>
      <c r="EL81" s="14">
        <f t="shared" si="99"/>
        <v>59.362879241040318</v>
      </c>
      <c r="EM81" s="22">
        <f t="shared" si="73"/>
        <v>528.87254801147833</v>
      </c>
      <c r="EN81" s="60">
        <f t="shared" si="74"/>
        <v>822.20588134481159</v>
      </c>
      <c r="EO81" s="60">
        <f ca="1">AVERAGE(OFFSET($EN$3,0,0,'Données projet'!$E$15+1,1))-AVERAGE(OFFSET($H$3,0,0,'Données projet'!$E$15+1,1))</f>
        <v>428.8489304403459</v>
      </c>
      <c r="EP81" s="60">
        <f t="shared" si="100"/>
        <v>247.01165577562966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6</v>
      </c>
      <c r="FE81" s="13">
        <f>IF('Données projet'!$A$218&gt;35,FE80+FD81-FM80,IF(A81&lt;'Données projet'!$A$218,$FB$205^A81,IF(A81='Données projet'!$A$218,'Données projet'!$B$218,FE80+FD81-FM80)))</f>
        <v>269.99999999999989</v>
      </c>
      <c r="FF81" s="18">
        <f>FE81*VLOOKUP('Données projet'!$B$16,Paramètres!$A$1:$I$89,3,0)*VLOOKUP('Données projet'!$B$16,Paramètres!$A$1:$I$89,5,0)</f>
        <v>261.14399999999989</v>
      </c>
      <c r="FG81" s="14">
        <f t="shared" si="101"/>
        <v>62.966170181808813</v>
      </c>
      <c r="FH81" s="22">
        <f t="shared" si="76"/>
        <v>564.49187973331675</v>
      </c>
      <c r="FI81" s="60">
        <f t="shared" si="77"/>
        <v>857.82521306665012</v>
      </c>
      <c r="FJ81" s="60">
        <f ca="1">AVERAGE(OFFSET($FI$3,0,0,'Données projet'!$E$16+1,1))-AVERAGE(OFFSET($H$3,0,0,'Données projet'!$E$16+1,1))</f>
        <v>455.50822833641354</v>
      </c>
      <c r="FK81" s="60">
        <f t="shared" si="102"/>
        <v>261.14722581688039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 t="e">
        <f>N82*VLOOKUP('Données projet'!$B$9,Paramètres!$A$1:$I$89,3,0)*VLOOKUP('Données projet'!$B$9,Paramètres!$A$1:$I$89,5,0)</f>
        <v>#N/A</v>
      </c>
      <c r="P82" s="14" t="e">
        <f t="shared" si="87"/>
        <v>#N/A</v>
      </c>
      <c r="Q82" s="22" t="e">
        <f t="shared" si="54"/>
        <v>#N/A</v>
      </c>
      <c r="R82" s="60" t="e">
        <f t="shared" si="55"/>
        <v>#N/A</v>
      </c>
      <c r="S82" s="60" t="e">
        <f ca="1">AVERAGE(OFFSET($R$3,0,0,'Données projet'!$E$9+1,1))-AVERAGE(OFFSET($H$3,0,0,'Données projet'!$E$9+1,1))</f>
        <v>#N/A</v>
      </c>
      <c r="T82" s="60" t="e">
        <f t="shared" si="88"/>
        <v>#N/A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 t="e">
        <f>EXP(-LN(2)/35)*Z81+(1-EXP(-LN(2)/35))/(LN(2)/35)*V82*W82*VLOOKUP('Données projet'!$B$9,Paramètres!$A$1:$I$89,3,0)*0.475*44/12</f>
        <v>#N/A</v>
      </c>
      <c r="AA82" s="23" t="e">
        <f>EXP(-LN(2)/25)*AA81+(1-EXP(-LN(2)/25))/(LN(2)/25)*Calculateur!V82*Calculateur!X82*VLOOKUP('Données projet'!$B$9,Paramètres!$A$1:$I$89,3,0)*0.475*44/12</f>
        <v>#N/A</v>
      </c>
      <c r="AB82" s="23" t="e">
        <f>EXP(-LN(2)/2)*AB81+(1-EXP(-LN(2)/2))/(LN(2)/2)*V82*Y82*VLOOKUP('Données projet'!$B$9,Paramètres!$A$1:$I$89,3,0)*0.475*44/12</f>
        <v>#N/A</v>
      </c>
      <c r="AC82" s="24" t="e">
        <f t="shared" si="57"/>
        <v>#N/A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</v>
      </c>
      <c r="AI82" s="14">
        <f>IF('Données projet'!$A$62&gt;35,AI81+AH82-AQ81,IF(A82&lt;'Données projet'!$A$62,$AF$205^A82,IF(A82='Données projet'!$A$62,'Données projet'!$B$62,AI81+AH82-AQ81)))</f>
        <v>273.00000000000023</v>
      </c>
      <c r="AJ82" s="14">
        <f>AI82*VLOOKUP('Données projet'!$B$10,Paramètres!$A$1:$I$89,3,0)*VLOOKUP('Données projet'!$B$10,Paramètres!$A$1:$I$89,5,0)</f>
        <v>238.49280000000022</v>
      </c>
      <c r="AK82" s="14">
        <f t="shared" si="89"/>
        <v>58.115130258576592</v>
      </c>
      <c r="AL82" s="22">
        <f t="shared" si="58"/>
        <v>516.59214520035459</v>
      </c>
      <c r="AM82" s="60">
        <f t="shared" si="59"/>
        <v>809.92547853368796</v>
      </c>
      <c r="AN82" s="60">
        <f ca="1">AVERAGE(OFFSET($AM$3,0,0,'Données projet'!$E$10+1,1))-AVERAGE(OFFSET($H$3,0,0,'Données projet'!$E$10+1,1))</f>
        <v>325.06345339097095</v>
      </c>
      <c r="AO82" s="60">
        <f t="shared" si="90"/>
        <v>318.90379036810754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0" t="e">
        <f t="shared" si="62"/>
        <v>#N/A</v>
      </c>
      <c r="BI82" s="60" t="e">
        <f ca="1">AVERAGE(OFFSET($BH$3,0,0,'Données projet'!$E$11+1,1))-AVERAGE(OFFSET($H$3,0,0,'Données projet'!$E$11+1,1))</f>
        <v>#N/A</v>
      </c>
      <c r="BJ82" s="60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0" t="e">
        <f t="shared" si="65"/>
        <v>#N/A</v>
      </c>
      <c r="CD82" s="60" t="e">
        <f ca="1">AVERAGE(OFFSET($CC$3,0,0,'Données projet'!$E$12+1,1))-AVERAGE(OFFSET($H$3,0,0,'Données projet'!$E$12+1,1))</f>
        <v>#N/A</v>
      </c>
      <c r="CE82" s="60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241.11359999999993</v>
      </c>
      <c r="CV82" s="14">
        <f t="shared" si="95"/>
        <v>58.679062355898857</v>
      </c>
      <c r="CW82" s="22">
        <f t="shared" si="67"/>
        <v>522.13888693652382</v>
      </c>
      <c r="CX82" s="60">
        <f t="shared" si="68"/>
        <v>815.47222026985719</v>
      </c>
      <c r="CY82" s="60">
        <f ca="1">AVERAGE(OFFSET($CX$3,0,0,'Données projet'!$E$13+1,1))-AVERAGE(OFFSET($H$3,0,0,'Données projet'!$E$13+1,1))</f>
        <v>415.50509041799154</v>
      </c>
      <c r="CZ82" s="60">
        <f t="shared" si="96"/>
        <v>239.93573789765657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275.99999999999989</v>
      </c>
      <c r="DP82" s="18">
        <f>DO82*VLOOKUP('Données projet'!$B$14,Paramètres!$A$1:$I$89,3,0)*VLOOKUP('Données projet'!$B$14,Paramètres!$A$1:$I$89,5,0)</f>
        <v>279.86399999999986</v>
      </c>
      <c r="DQ82" s="14">
        <f t="shared" si="97"/>
        <v>66.938267358965007</v>
      </c>
      <c r="DR82" s="22">
        <f t="shared" si="70"/>
        <v>604.01394898353044</v>
      </c>
      <c r="DS82" s="60">
        <f t="shared" si="71"/>
        <v>897.34728231686381</v>
      </c>
      <c r="DT82" s="60">
        <f ca="1">AVERAGE(OFFSET($DS$3,0,0,'Données projet'!$E$14+1,1))-AVERAGE(OFFSET($H$3,0,0,'Données projet'!$E$14+1,1))</f>
        <v>475.47920969424894</v>
      </c>
      <c r="DU82" s="60">
        <f t="shared" si="98"/>
        <v>271.73544012419364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6</v>
      </c>
      <c r="EJ82" s="13">
        <f>IF('Données projet'!$A$192&gt;35,EJ81+EI82-ER81,IF(A82&lt;'Données projet'!$A$192,$EG$205^A82,IF(A82='Données projet'!$A$192,'Données projet'!$B$192,EJ81+EI82-ER81)))</f>
        <v>275.99999999999989</v>
      </c>
      <c r="EK82" s="18">
        <f>EJ82*VLOOKUP('Données projet'!$B$15,Paramètres!$A$1:$I$89,3,0)*VLOOKUP('Données projet'!$B$15,Paramètres!$A$1:$I$89,5,0)</f>
        <v>249.7247999999999</v>
      </c>
      <c r="EL82" s="14">
        <f t="shared" si="99"/>
        <v>60.527007137298092</v>
      </c>
      <c r="EM82" s="22">
        <f t="shared" si="73"/>
        <v>540.35523076412733</v>
      </c>
      <c r="EN82" s="60">
        <f t="shared" si="74"/>
        <v>833.68856409746058</v>
      </c>
      <c r="EO82" s="60">
        <f ca="1">AVERAGE(OFFSET($EN$3,0,0,'Données projet'!$E$15+1,1))-AVERAGE(OFFSET($H$3,0,0,'Données projet'!$E$15+1,1))</f>
        <v>428.8489304403459</v>
      </c>
      <c r="EP82" s="60">
        <f t="shared" si="100"/>
        <v>247.01165577562966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6</v>
      </c>
      <c r="FE82" s="13">
        <f>IF('Données projet'!$A$218&gt;35,FE81+FD82-FM81,IF(A82&lt;'Données projet'!$A$218,$FB$205^A82,IF(A82='Données projet'!$A$218,'Données projet'!$B$218,FE81+FD82-FM81)))</f>
        <v>275.99999999999989</v>
      </c>
      <c r="FF82" s="18">
        <f>FE82*VLOOKUP('Données projet'!$B$16,Paramètres!$A$1:$I$89,3,0)*VLOOKUP('Données projet'!$B$16,Paramètres!$A$1:$I$89,5,0)</f>
        <v>266.9471999999999</v>
      </c>
      <c r="FG82" s="14">
        <f t="shared" si="101"/>
        <v>64.200959938746379</v>
      </c>
      <c r="FH82" s="22">
        <f t="shared" si="76"/>
        <v>576.74971189331643</v>
      </c>
      <c r="FI82" s="60">
        <f t="shared" si="77"/>
        <v>870.0830452266498</v>
      </c>
      <c r="FJ82" s="60">
        <f ca="1">AVERAGE(OFFSET($FI$3,0,0,'Données projet'!$E$16+1,1))-AVERAGE(OFFSET($H$3,0,0,'Données projet'!$E$16+1,1))</f>
        <v>455.50822833641354</v>
      </c>
      <c r="FK82" s="60">
        <f t="shared" si="102"/>
        <v>261.14722581688039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 t="e">
        <f>N83*VLOOKUP('Données projet'!$B$9,Paramètres!$A$1:$I$89,3,0)*VLOOKUP('Données projet'!$B$9,Paramètres!$A$1:$I$89,5,0)</f>
        <v>#N/A</v>
      </c>
      <c r="P83" s="14" t="e">
        <f t="shared" si="87"/>
        <v>#N/A</v>
      </c>
      <c r="Q83" s="22" t="e">
        <f t="shared" si="54"/>
        <v>#N/A</v>
      </c>
      <c r="R83" s="60" t="e">
        <f t="shared" si="55"/>
        <v>#N/A</v>
      </c>
      <c r="S83" s="60" t="e">
        <f ca="1">AVERAGE(OFFSET($R$3,0,0,'Données projet'!$E$9+1,1))-AVERAGE(OFFSET($H$3,0,0,'Données projet'!$E$9+1,1))</f>
        <v>#N/A</v>
      </c>
      <c r="T83" s="60" t="e">
        <f t="shared" si="88"/>
        <v>#N/A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 t="e">
        <f>EXP(-LN(2)/35)*Z82+(1-EXP(-LN(2)/35))/(LN(2)/35)*V83*W83*VLOOKUP('Données projet'!$B$9,Paramètres!$A$1:$I$89,3,0)*0.475*44/12</f>
        <v>#N/A</v>
      </c>
      <c r="AA83" s="23" t="e">
        <f>EXP(-LN(2)/25)*AA82+(1-EXP(-LN(2)/25))/(LN(2)/25)*Calculateur!V83*Calculateur!X83*VLOOKUP('Données projet'!$B$9,Paramètres!$A$1:$I$89,3,0)*0.475*44/12</f>
        <v>#N/A</v>
      </c>
      <c r="AB83" s="23" t="e">
        <f>EXP(-LN(2)/2)*AB82+(1-EXP(-LN(2)/2))/(LN(2)/2)*V83*Y83*VLOOKUP('Données projet'!$B$9,Paramètres!$A$1:$I$89,3,0)*0.475*44/12</f>
        <v>#N/A</v>
      </c>
      <c r="AC83" s="24" t="e">
        <f t="shared" si="57"/>
        <v>#N/A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276</v>
      </c>
      <c r="AG83" s="13">
        <f>VLOOKUP(A83,'Données projet'!$A$61:$I$81,9,0)</f>
        <v>3</v>
      </c>
      <c r="AH83" s="13">
        <f t="array" ref="AH83">INDEX(AG:AG,MIN(IF(ISNUMBER(AG83:AG279),ROW(AG83:AG279),"")))</f>
        <v>3</v>
      </c>
      <c r="AI83" s="14">
        <f>IF('Données projet'!$A$62&gt;35,AI82+AH83-AQ82,IF(A83&lt;'Données projet'!$A$62,$AF$205^A83,IF(A83='Données projet'!$A$62,'Données projet'!$B$62,AI82+AH83-AQ82)))</f>
        <v>276.00000000000023</v>
      </c>
      <c r="AJ83" s="14">
        <f>AI83*VLOOKUP('Données projet'!$B$10,Paramètres!$A$1:$I$89,3,0)*VLOOKUP('Données projet'!$B$10,Paramètres!$A$1:$I$89,5,0)</f>
        <v>241.11360000000025</v>
      </c>
      <c r="AK83" s="14">
        <f t="shared" si="89"/>
        <v>58.679062355898907</v>
      </c>
      <c r="AL83" s="22">
        <f t="shared" si="58"/>
        <v>522.13888693652427</v>
      </c>
      <c r="AM83" s="60">
        <f t="shared" si="59"/>
        <v>815.47222026985764</v>
      </c>
      <c r="AN83" s="60">
        <f ca="1">AVERAGE(OFFSET($AM$3,0,0,'Données projet'!$E$10+1,1))-AVERAGE(OFFSET($H$3,0,0,'Données projet'!$E$10+1,1))</f>
        <v>325.06345339097095</v>
      </c>
      <c r="AO83" s="60">
        <f t="shared" si="90"/>
        <v>318.90379036810754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276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0" t="e">
        <f t="shared" si="62"/>
        <v>#N/A</v>
      </c>
      <c r="BI83" s="60" t="e">
        <f ca="1">AVERAGE(OFFSET($BH$3,0,0,'Données projet'!$E$11+1,1))-AVERAGE(OFFSET($H$3,0,0,'Données projet'!$E$11+1,1))</f>
        <v>#N/A</v>
      </c>
      <c r="BJ83" s="60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0" t="e">
        <f t="shared" si="65"/>
        <v>#N/A</v>
      </c>
      <c r="CD83" s="60" t="e">
        <f ca="1">AVERAGE(OFFSET($CC$3,0,0,'Données projet'!$E$12+1,1))-AVERAGE(OFFSET($H$3,0,0,'Données projet'!$E$12+1,1))</f>
        <v>#N/A</v>
      </c>
      <c r="CE83" s="60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246.35519999999994</v>
      </c>
      <c r="CV83" s="14">
        <f t="shared" si="95"/>
        <v>59.804795924194437</v>
      </c>
      <c r="CW83" s="22">
        <f t="shared" si="67"/>
        <v>533.22865956797193</v>
      </c>
      <c r="CX83" s="60">
        <f t="shared" si="68"/>
        <v>826.5619929013053</v>
      </c>
      <c r="CY83" s="60">
        <f ca="1">AVERAGE(OFFSET($CX$3,0,0,'Données projet'!$E$13+1,1))-AVERAGE(OFFSET($H$3,0,0,'Données projet'!$E$13+1,1))</f>
        <v>415.50509041799154</v>
      </c>
      <c r="CZ83" s="60">
        <f t="shared" si="96"/>
        <v>239.93573789765657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281.99999999999989</v>
      </c>
      <c r="DP83" s="18">
        <f>DO83*VLOOKUP('Données projet'!$B$14,Paramètres!$A$1:$I$89,3,0)*VLOOKUP('Données projet'!$B$14,Paramètres!$A$1:$I$89,5,0)</f>
        <v>285.94799999999992</v>
      </c>
      <c r="DQ83" s="14">
        <f t="shared" si="97"/>
        <v>68.222450362989363</v>
      </c>
      <c r="DR83" s="22">
        <f t="shared" si="70"/>
        <v>616.84686771553959</v>
      </c>
      <c r="DS83" s="60">
        <f t="shared" si="71"/>
        <v>910.18020104887296</v>
      </c>
      <c r="DT83" s="60">
        <f ca="1">AVERAGE(OFFSET($DS$3,0,0,'Données projet'!$E$14+1,1))-AVERAGE(OFFSET($H$3,0,0,'Données projet'!$E$14+1,1))</f>
        <v>475.47920969424894</v>
      </c>
      <c r="DU83" s="60">
        <f t="shared" si="98"/>
        <v>271.73544012419364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42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282</v>
      </c>
      <c r="EH83" s="13">
        <f>VLOOKUP(A83,'Données projet'!$A$191:$I$211,9,0)</f>
        <v>6</v>
      </c>
      <c r="EI83" s="13">
        <f t="array" ref="EI83">INDEX(EH:EH,MIN(IF(ISNUMBER(EH83:EH279),ROW(EH83:EH279),"")))</f>
        <v>6</v>
      </c>
      <c r="EJ83" s="13">
        <f>IF('Données projet'!$A$192&gt;35,EJ82+EI83-ER82,IF(A83&lt;'Données projet'!$A$192,$EG$205^A83,IF(A83='Données projet'!$A$192,'Données projet'!$B$192,EJ82+EI83-ER82)))</f>
        <v>281.99999999999989</v>
      </c>
      <c r="EK83" s="18">
        <f>EJ83*VLOOKUP('Données projet'!$B$15,Paramètres!$A$1:$I$89,3,0)*VLOOKUP('Données projet'!$B$15,Paramètres!$A$1:$I$89,5,0)</f>
        <v>255.15359999999987</v>
      </c>
      <c r="EL83" s="14">
        <f t="shared" si="99"/>
        <v>61.688192762754376</v>
      </c>
      <c r="EM83" s="22">
        <f t="shared" si="73"/>
        <v>551.83278906179692</v>
      </c>
      <c r="EN83" s="60">
        <f t="shared" si="74"/>
        <v>845.16612239513029</v>
      </c>
      <c r="EO83" s="60">
        <f ca="1">AVERAGE(OFFSET($EN$3,0,0,'Données projet'!$E$15+1,1))-AVERAGE(OFFSET($H$3,0,0,'Données projet'!$E$15+1,1))</f>
        <v>428.8489304403459</v>
      </c>
      <c r="EP83" s="60">
        <f t="shared" si="100"/>
        <v>247.01165577562966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42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282</v>
      </c>
      <c r="FC83" s="13">
        <f>VLOOKUP(A83,'Données projet'!$A$217:$I$237,9,0)</f>
        <v>6</v>
      </c>
      <c r="FD83" s="13">
        <f t="array" ref="FD83">INDEX(FC:FC,MIN(IF(ISNUMBER(FC83:FC279),ROW(FC83:FC279),"")))</f>
        <v>6</v>
      </c>
      <c r="FE83" s="13">
        <f>IF('Données projet'!$A$218&gt;35,FE82+FD83-FM82,IF(A83&lt;'Données projet'!$A$218,$FB$205^A83,IF(A83='Données projet'!$A$218,'Données projet'!$B$218,FE82+FD83-FM82)))</f>
        <v>281.99999999999989</v>
      </c>
      <c r="FF83" s="18">
        <f>FE83*VLOOKUP('Données projet'!$B$16,Paramètres!$A$1:$I$89,3,0)*VLOOKUP('Données projet'!$B$16,Paramètres!$A$1:$I$89,5,0)</f>
        <v>272.7503999999999</v>
      </c>
      <c r="FG83" s="14">
        <f t="shared" si="101"/>
        <v>65.432628830820633</v>
      </c>
      <c r="FH83" s="22">
        <f t="shared" si="76"/>
        <v>589.00210854701243</v>
      </c>
      <c r="FI83" s="60">
        <f t="shared" si="77"/>
        <v>882.3354418803458</v>
      </c>
      <c r="FJ83" s="60">
        <f ca="1">AVERAGE(OFFSET($FI$3,0,0,'Données projet'!$E$16+1,1))-AVERAGE(OFFSET($H$3,0,0,'Données projet'!$E$16+1,1))</f>
        <v>455.50822833641354</v>
      </c>
      <c r="FK83" s="60">
        <f t="shared" si="102"/>
        <v>261.14722581688039</v>
      </c>
      <c r="FL83" s="16">
        <f>IF(ISNA(VLOOKUP(A83,'Données projet'!$A$217:$I$237,3,0)),0,VLOOKUP(A83,'Données projet'!$A$217:$I$237,3,0))</f>
        <v>6</v>
      </c>
      <c r="FM83" s="16">
        <f>IF(ISNA(VLOOKUP(A83,'Données projet'!$A$217:$I$237,4,0)),0,VLOOKUP(A83,'Données projet'!$A$217:$I$237,4,0))</f>
        <v>42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 t="e">
        <f>N84*VLOOKUP('Données projet'!$B$9,Paramètres!$A$1:$I$89,3,0)*VLOOKUP('Données projet'!$B$9,Paramètres!$A$1:$I$89,5,0)</f>
        <v>#N/A</v>
      </c>
      <c r="P84" s="14" t="e">
        <f t="shared" si="87"/>
        <v>#N/A</v>
      </c>
      <c r="Q84" s="22" t="e">
        <f t="shared" si="54"/>
        <v>#N/A</v>
      </c>
      <c r="R84" s="60" t="e">
        <f t="shared" si="55"/>
        <v>#N/A</v>
      </c>
      <c r="S84" s="60" t="e">
        <f ca="1">AVERAGE(OFFSET($R$3,0,0,'Données projet'!$E$9+1,1))-AVERAGE(OFFSET($H$3,0,0,'Données projet'!$E$9+1,1))</f>
        <v>#N/A</v>
      </c>
      <c r="T84" s="60" t="e">
        <f t="shared" si="88"/>
        <v>#N/A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 t="e">
        <f>EXP(-LN(2)/35)*Z83+(1-EXP(-LN(2)/35))/(LN(2)/35)*V84*W84*VLOOKUP('Données projet'!$B$9,Paramètres!$A$1:$I$89,3,0)*0.475*44/12</f>
        <v>#N/A</v>
      </c>
      <c r="AA84" s="23" t="e">
        <f>EXP(-LN(2)/25)*AA83+(1-EXP(-LN(2)/25))/(LN(2)/25)*Calculateur!V84*Calculateur!X84*VLOOKUP('Données projet'!$B$9,Paramètres!$A$1:$I$89,3,0)*0.475*44/12</f>
        <v>#N/A</v>
      </c>
      <c r="AB84" s="23" t="e">
        <f>EXP(-LN(2)/2)*AB83+(1-EXP(-LN(2)/2))/(LN(2)/2)*V84*Y84*VLOOKUP('Données projet'!$B$9,Paramètres!$A$1:$I$89,3,0)*0.475*44/12</f>
        <v>#N/A</v>
      </c>
      <c r="AC84" s="24" t="e">
        <f t="shared" si="57"/>
        <v>#N/A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2.2737367544323206E-13</v>
      </c>
      <c r="AJ84" s="14">
        <f>AI84*VLOOKUP('Données projet'!$B$10,Paramètres!$A$1:$I$89,3,0)*VLOOKUP('Données projet'!$B$10,Paramètres!$A$1:$I$89,5,0)</f>
        <v>1.9863364286720756E-13</v>
      </c>
      <c r="AK84" s="14">
        <f t="shared" si="89"/>
        <v>2.7549360720371426E-12</v>
      </c>
      <c r="AL84" s="22">
        <f t="shared" si="58"/>
        <v>5.144133920125077E-12</v>
      </c>
      <c r="AM84" s="60">
        <f t="shared" si="59"/>
        <v>293.33333333333843</v>
      </c>
      <c r="AN84" s="60">
        <f ca="1">AVERAGE(OFFSET($AM$3,0,0,'Données projet'!$E$10+1,1))-AVERAGE(OFFSET($H$3,0,0,'Données projet'!$E$10+1,1))</f>
        <v>325.06345339097095</v>
      </c>
      <c r="AO84" s="60">
        <f t="shared" si="90"/>
        <v>318.90379036810754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0" t="e">
        <f t="shared" si="62"/>
        <v>#N/A</v>
      </c>
      <c r="BI84" s="60" t="e">
        <f ca="1">AVERAGE(OFFSET($BH$3,0,0,'Données projet'!$E$11+1,1))-AVERAGE(OFFSET($H$3,0,0,'Données projet'!$E$11+1,1))</f>
        <v>#N/A</v>
      </c>
      <c r="BJ84" s="60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0" t="e">
        <f t="shared" si="65"/>
        <v>#N/A</v>
      </c>
      <c r="CD84" s="60" t="e">
        <f ca="1">AVERAGE(OFFSET($CC$3,0,0,'Données projet'!$E$12+1,1))-AVERAGE(OFFSET($H$3,0,0,'Données projet'!$E$12+1,1))</f>
        <v>#N/A</v>
      </c>
      <c r="CE84" s="60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214.55615999999998</v>
      </c>
      <c r="CV84" s="14">
        <f t="shared" si="95"/>
        <v>52.929974128776635</v>
      </c>
      <c r="CW84" s="22">
        <f t="shared" si="67"/>
        <v>465.87168360761922</v>
      </c>
      <c r="CX84" s="60">
        <f t="shared" si="68"/>
        <v>759.20501694095253</v>
      </c>
      <c r="CY84" s="60">
        <f ca="1">AVERAGE(OFFSET($CX$3,0,0,'Données projet'!$E$13+1,1))-AVERAGE(OFFSET($H$3,0,0,'Données projet'!$E$13+1,1))</f>
        <v>415.50509041799154</v>
      </c>
      <c r="CZ84" s="60">
        <f t="shared" si="96"/>
        <v>239.93573789765657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245.59999999999991</v>
      </c>
      <c r="DP84" s="18">
        <f>DO84*VLOOKUP('Données projet'!$B$14,Paramètres!$A$1:$I$89,3,0)*VLOOKUP('Données projet'!$B$14,Paramètres!$A$1:$I$89,5,0)</f>
        <v>249.03839999999994</v>
      </c>
      <c r="DQ84" s="14">
        <f t="shared" si="97"/>
        <v>60.379982523339947</v>
      </c>
      <c r="DR84" s="22">
        <f t="shared" si="70"/>
        <v>538.90368289481694</v>
      </c>
      <c r="DS84" s="60">
        <f t="shared" si="71"/>
        <v>832.2370162281502</v>
      </c>
      <c r="DT84" s="60">
        <f ca="1">AVERAGE(OFFSET($DS$3,0,0,'Données projet'!$E$14+1,1))-AVERAGE(OFFSET($H$3,0,0,'Données projet'!$E$14+1,1))</f>
        <v>475.47920969424894</v>
      </c>
      <c r="DU84" s="60">
        <f t="shared" si="98"/>
        <v>271.73544012419364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5.6</v>
      </c>
      <c r="EJ84" s="13">
        <f>IF('Données projet'!$A$192&gt;35,EJ83+EI84-ER83,IF(A84&lt;'Données projet'!$A$192,$EG$205^A84,IF(A84='Données projet'!$A$192,'Données projet'!$B$192,EJ83+EI84-ER83)))</f>
        <v>245.59999999999991</v>
      </c>
      <c r="EK84" s="18">
        <f>EJ84*VLOOKUP('Données projet'!$B$15,Paramètres!$A$1:$I$89,3,0)*VLOOKUP('Données projet'!$B$15,Paramètres!$A$1:$I$89,5,0)</f>
        <v>222.21887999999993</v>
      </c>
      <c r="EL84" s="14">
        <f t="shared" si="99"/>
        <v>54.596866296848852</v>
      </c>
      <c r="EM84" s="22">
        <f t="shared" si="73"/>
        <v>482.12075813367829</v>
      </c>
      <c r="EN84" s="60">
        <f t="shared" si="74"/>
        <v>775.45409146701161</v>
      </c>
      <c r="EO84" s="60">
        <f ca="1">AVERAGE(OFFSET($EN$3,0,0,'Données projet'!$E$15+1,1))-AVERAGE(OFFSET($H$3,0,0,'Données projet'!$E$15+1,1))</f>
        <v>428.8489304403459</v>
      </c>
      <c r="EP84" s="60">
        <f t="shared" si="100"/>
        <v>247.01165577562966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5.6</v>
      </c>
      <c r="FE84" s="13">
        <f>IF('Données projet'!$A$218&gt;35,FE83+FD84-FM83,IF(A84&lt;'Données projet'!$A$218,$FB$205^A84,IF(A84='Données projet'!$A$218,'Données projet'!$B$218,FE83+FD84-FM83)))</f>
        <v>245.59999999999991</v>
      </c>
      <c r="FF84" s="18">
        <f>FE84*VLOOKUP('Données projet'!$B$16,Paramètres!$A$1:$I$89,3,0)*VLOOKUP('Données projet'!$B$16,Paramètres!$A$1:$I$89,5,0)</f>
        <v>237.54431999999991</v>
      </c>
      <c r="FG84" s="14">
        <f t="shared" si="101"/>
        <v>57.910863128487989</v>
      </c>
      <c r="FH84" s="22">
        <f t="shared" si="76"/>
        <v>514.58444394878302</v>
      </c>
      <c r="FI84" s="60">
        <f t="shared" si="77"/>
        <v>807.91777728211628</v>
      </c>
      <c r="FJ84" s="60">
        <f ca="1">AVERAGE(OFFSET($FI$3,0,0,'Données projet'!$E$16+1,1))-AVERAGE(OFFSET($H$3,0,0,'Données projet'!$E$16+1,1))</f>
        <v>455.50822833641354</v>
      </c>
      <c r="FK84" s="60">
        <f t="shared" si="102"/>
        <v>261.14722581688039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 t="e">
        <f>N85*VLOOKUP('Données projet'!$B$9,Paramètres!$A$1:$I$89,3,0)*VLOOKUP('Données projet'!$B$9,Paramètres!$A$1:$I$89,5,0)</f>
        <v>#N/A</v>
      </c>
      <c r="P85" s="14" t="e">
        <f t="shared" si="87"/>
        <v>#N/A</v>
      </c>
      <c r="Q85" s="22" t="e">
        <f t="shared" si="54"/>
        <v>#N/A</v>
      </c>
      <c r="R85" s="60" t="e">
        <f t="shared" si="55"/>
        <v>#N/A</v>
      </c>
      <c r="S85" s="60" t="e">
        <f ca="1">AVERAGE(OFFSET($R$3,0,0,'Données projet'!$E$9+1,1))-AVERAGE(OFFSET($H$3,0,0,'Données projet'!$E$9+1,1))</f>
        <v>#N/A</v>
      </c>
      <c r="T85" s="60" t="e">
        <f t="shared" si="88"/>
        <v>#N/A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 t="e">
        <f>EXP(-LN(2)/35)*Z84+(1-EXP(-LN(2)/35))/(LN(2)/35)*V85*W85*VLOOKUP('Données projet'!$B$9,Paramètres!$A$1:$I$89,3,0)*0.475*44/12</f>
        <v>#N/A</v>
      </c>
      <c r="AA85" s="23" t="e">
        <f>EXP(-LN(2)/25)*AA84+(1-EXP(-LN(2)/25))/(LN(2)/25)*Calculateur!V85*Calculateur!X85*VLOOKUP('Données projet'!$B$9,Paramètres!$A$1:$I$89,3,0)*0.475*44/12</f>
        <v>#N/A</v>
      </c>
      <c r="AB85" s="23" t="e">
        <f>EXP(-LN(2)/2)*AB84+(1-EXP(-LN(2)/2))/(LN(2)/2)*V85*Y85*VLOOKUP('Données projet'!$B$9,Paramètres!$A$1:$I$89,3,0)*0.475*44/12</f>
        <v>#N/A</v>
      </c>
      <c r="AC85" s="24" t="e">
        <f t="shared" si="57"/>
        <v>#N/A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2.2737367544323206E-13</v>
      </c>
      <c r="AJ85" s="14">
        <f>AI85*VLOOKUP('Données projet'!$B$10,Paramètres!$A$1:$I$89,3,0)*VLOOKUP('Données projet'!$B$10,Paramètres!$A$1:$I$89,5,0)</f>
        <v>1.9863364286720756E-13</v>
      </c>
      <c r="AK85" s="14">
        <f t="shared" si="89"/>
        <v>2.7549360720371426E-12</v>
      </c>
      <c r="AL85" s="22">
        <f t="shared" si="58"/>
        <v>5.144133920125077E-12</v>
      </c>
      <c r="AM85" s="60">
        <f t="shared" si="59"/>
        <v>293.33333333333843</v>
      </c>
      <c r="AN85" s="60">
        <f ca="1">AVERAGE(OFFSET($AM$3,0,0,'Données projet'!$E$10+1,1))-AVERAGE(OFFSET($H$3,0,0,'Données projet'!$E$10+1,1))</f>
        <v>325.06345339097095</v>
      </c>
      <c r="AO85" s="60">
        <f t="shared" si="90"/>
        <v>318.90379036810754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0" t="e">
        <f t="shared" si="62"/>
        <v>#N/A</v>
      </c>
      <c r="BI85" s="60" t="e">
        <f ca="1">AVERAGE(OFFSET($BH$3,0,0,'Données projet'!$E$11+1,1))-AVERAGE(OFFSET($H$3,0,0,'Données projet'!$E$11+1,1))</f>
        <v>#N/A</v>
      </c>
      <c r="BJ85" s="60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0" t="e">
        <f t="shared" si="65"/>
        <v>#N/A</v>
      </c>
      <c r="CD85" s="60" t="e">
        <f ca="1">AVERAGE(OFFSET($CC$3,0,0,'Données projet'!$E$12+1,1))-AVERAGE(OFFSET($H$3,0,0,'Données projet'!$E$12+1,1))</f>
        <v>#N/A</v>
      </c>
      <c r="CE85" s="60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219.44831999999997</v>
      </c>
      <c r="CV85" s="14">
        <f t="shared" si="95"/>
        <v>53.994963282531728</v>
      </c>
      <c r="CW85" s="22">
        <f t="shared" si="67"/>
        <v>476.24705171707609</v>
      </c>
      <c r="CX85" s="60">
        <f t="shared" si="68"/>
        <v>769.5803850504094</v>
      </c>
      <c r="CY85" s="60">
        <f ca="1">AVERAGE(OFFSET($CX$3,0,0,'Données projet'!$E$13+1,1))-AVERAGE(OFFSET($H$3,0,0,'Données projet'!$E$13+1,1))</f>
        <v>415.50509041799154</v>
      </c>
      <c r="CZ85" s="60">
        <f t="shared" si="96"/>
        <v>239.93573789765657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251.1999999999999</v>
      </c>
      <c r="DP85" s="18">
        <f>DO85*VLOOKUP('Données projet'!$B$14,Paramètres!$A$1:$I$89,3,0)*VLOOKUP('Données projet'!$B$14,Paramètres!$A$1:$I$89,5,0)</f>
        <v>254.71679999999992</v>
      </c>
      <c r="DQ85" s="14">
        <f t="shared" si="97"/>
        <v>61.594871205031538</v>
      </c>
      <c r="DR85" s="22">
        <f t="shared" si="70"/>
        <v>550.9094940154298</v>
      </c>
      <c r="DS85" s="60">
        <f t="shared" si="71"/>
        <v>844.24282734876306</v>
      </c>
      <c r="DT85" s="60">
        <f ca="1">AVERAGE(OFFSET($DS$3,0,0,'Données projet'!$E$14+1,1))-AVERAGE(OFFSET($H$3,0,0,'Données projet'!$E$14+1,1))</f>
        <v>475.47920969424894</v>
      </c>
      <c r="DU85" s="60">
        <f t="shared" si="98"/>
        <v>271.73544012419364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5.6</v>
      </c>
      <c r="EJ85" s="13">
        <f>IF('Données projet'!$A$192&gt;35,EJ84+EI85-ER84,IF(A85&lt;'Données projet'!$A$192,$EG$205^A85,IF(A85='Données projet'!$A$192,'Données projet'!$B$192,EJ84+EI85-ER84)))</f>
        <v>251.1999999999999</v>
      </c>
      <c r="EK85" s="18">
        <f>EJ85*VLOOKUP('Données projet'!$B$15,Paramètres!$A$1:$I$89,3,0)*VLOOKUP('Données projet'!$B$15,Paramètres!$A$1:$I$89,5,0)</f>
        <v>227.28575999999993</v>
      </c>
      <c r="EL85" s="14">
        <f t="shared" si="99"/>
        <v>55.695394520076327</v>
      </c>
      <c r="EM85" s="22">
        <f t="shared" si="73"/>
        <v>492.85884412246605</v>
      </c>
      <c r="EN85" s="60">
        <f t="shared" si="74"/>
        <v>786.19217745579931</v>
      </c>
      <c r="EO85" s="60">
        <f ca="1">AVERAGE(OFFSET($EN$3,0,0,'Données projet'!$E$15+1,1))-AVERAGE(OFFSET($H$3,0,0,'Données projet'!$E$15+1,1))</f>
        <v>428.8489304403459</v>
      </c>
      <c r="EP85" s="60">
        <f t="shared" si="100"/>
        <v>247.01165577562966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5.6</v>
      </c>
      <c r="FE85" s="13">
        <f>IF('Données projet'!$A$218&gt;35,FE84+FD85-FM84,IF(A85&lt;'Données projet'!$A$218,$FB$205^A85,IF(A85='Données projet'!$A$218,'Données projet'!$B$218,FE84+FD85-FM84)))</f>
        <v>251.1999999999999</v>
      </c>
      <c r="FF85" s="18">
        <f>FE85*VLOOKUP('Données projet'!$B$16,Paramètres!$A$1:$I$89,3,0)*VLOOKUP('Données projet'!$B$16,Paramètres!$A$1:$I$89,5,0)</f>
        <v>242.96063999999993</v>
      </c>
      <c r="FG85" s="14">
        <f t="shared" si="101"/>
        <v>59.076071351835715</v>
      </c>
      <c r="FH85" s="22">
        <f t="shared" si="76"/>
        <v>526.04727227111368</v>
      </c>
      <c r="FI85" s="60">
        <f t="shared" si="77"/>
        <v>819.38060560444706</v>
      </c>
      <c r="FJ85" s="60">
        <f ca="1">AVERAGE(OFFSET($FI$3,0,0,'Données projet'!$E$16+1,1))-AVERAGE(OFFSET($H$3,0,0,'Données projet'!$E$16+1,1))</f>
        <v>455.50822833641354</v>
      </c>
      <c r="FK85" s="60">
        <f t="shared" si="102"/>
        <v>261.14722581688039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 t="e">
        <f>N86*VLOOKUP('Données projet'!$B$9,Paramètres!$A$1:$I$89,3,0)*VLOOKUP('Données projet'!$B$9,Paramètres!$A$1:$I$89,5,0)</f>
        <v>#N/A</v>
      </c>
      <c r="P86" s="14" t="e">
        <f t="shared" si="87"/>
        <v>#N/A</v>
      </c>
      <c r="Q86" s="22" t="e">
        <f t="shared" si="54"/>
        <v>#N/A</v>
      </c>
      <c r="R86" s="60" t="e">
        <f t="shared" si="55"/>
        <v>#N/A</v>
      </c>
      <c r="S86" s="60" t="e">
        <f ca="1">AVERAGE(OFFSET($R$3,0,0,'Données projet'!$E$9+1,1))-AVERAGE(OFFSET($H$3,0,0,'Données projet'!$E$9+1,1))</f>
        <v>#N/A</v>
      </c>
      <c r="T86" s="60" t="e">
        <f t="shared" si="88"/>
        <v>#N/A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 t="e">
        <f>EXP(-LN(2)/35)*Z85+(1-EXP(-LN(2)/35))/(LN(2)/35)*V86*W86*VLOOKUP('Données projet'!$B$9,Paramètres!$A$1:$I$89,3,0)*0.475*44/12</f>
        <v>#N/A</v>
      </c>
      <c r="AA86" s="23" t="e">
        <f>EXP(-LN(2)/25)*AA85+(1-EXP(-LN(2)/25))/(LN(2)/25)*Calculateur!V86*Calculateur!X86*VLOOKUP('Données projet'!$B$9,Paramètres!$A$1:$I$89,3,0)*0.475*44/12</f>
        <v>#N/A</v>
      </c>
      <c r="AB86" s="23" t="e">
        <f>EXP(-LN(2)/2)*AB85+(1-EXP(-LN(2)/2))/(LN(2)/2)*V86*Y86*VLOOKUP('Données projet'!$B$9,Paramètres!$A$1:$I$89,3,0)*0.475*44/12</f>
        <v>#N/A</v>
      </c>
      <c r="AC86" s="24" t="e">
        <f t="shared" si="57"/>
        <v>#N/A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>
        <f>AI86*VLOOKUP('Données projet'!$B$10,Paramètres!$A$1:$I$89,3,0)*VLOOKUP('Données projet'!$B$10,Paramètres!$A$1:$I$89,5,0)</f>
        <v>1.9863364286720756E-13</v>
      </c>
      <c r="AK86" s="14">
        <f t="shared" si="89"/>
        <v>2.7549360720371426E-12</v>
      </c>
      <c r="AL86" s="22">
        <f t="shared" si="58"/>
        <v>5.144133920125077E-12</v>
      </c>
      <c r="AM86" s="60">
        <f t="shared" si="59"/>
        <v>293.33333333333843</v>
      </c>
      <c r="AN86" s="60">
        <f ca="1">AVERAGE(OFFSET($AM$3,0,0,'Données projet'!$E$10+1,1))-AVERAGE(OFFSET($H$3,0,0,'Données projet'!$E$10+1,1))</f>
        <v>325.06345339097095</v>
      </c>
      <c r="AO86" s="60">
        <f t="shared" si="90"/>
        <v>318.90379036810754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0" t="e">
        <f t="shared" si="62"/>
        <v>#N/A</v>
      </c>
      <c r="BI86" s="60" t="e">
        <f ca="1">AVERAGE(OFFSET($BH$3,0,0,'Données projet'!$E$11+1,1))-AVERAGE(OFFSET($H$3,0,0,'Données projet'!$E$11+1,1))</f>
        <v>#N/A</v>
      </c>
      <c r="BJ86" s="60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0" t="e">
        <f t="shared" si="65"/>
        <v>#N/A</v>
      </c>
      <c r="CD86" s="60" t="e">
        <f ca="1">AVERAGE(OFFSET($CC$3,0,0,'Données projet'!$E$12+1,1))-AVERAGE(OFFSET($H$3,0,0,'Données projet'!$E$12+1,1))</f>
        <v>#N/A</v>
      </c>
      <c r="CE86" s="60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224.34047999999996</v>
      </c>
      <c r="CV86" s="14">
        <f t="shared" si="95"/>
        <v>55.057192232003672</v>
      </c>
      <c r="CW86" s="22">
        <f t="shared" si="67"/>
        <v>486.61761247073963</v>
      </c>
      <c r="CX86" s="60">
        <f t="shared" si="68"/>
        <v>779.95094580407294</v>
      </c>
      <c r="CY86" s="60">
        <f ca="1">AVERAGE(OFFSET($CX$3,0,0,'Données projet'!$E$13+1,1))-AVERAGE(OFFSET($H$3,0,0,'Données projet'!$E$13+1,1))</f>
        <v>415.50509041799154</v>
      </c>
      <c r="CZ86" s="60">
        <f t="shared" si="96"/>
        <v>239.93573789765657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256.7999999999999</v>
      </c>
      <c r="DP86" s="18">
        <f>DO86*VLOOKUP('Données projet'!$B$14,Paramètres!$A$1:$I$89,3,0)*VLOOKUP('Données projet'!$B$14,Paramètres!$A$1:$I$89,5,0)</f>
        <v>260.39519999999987</v>
      </c>
      <c r="DQ86" s="14">
        <f t="shared" si="97"/>
        <v>62.806611177714331</v>
      </c>
      <c r="DR86" s="22">
        <f t="shared" si="70"/>
        <v>562.90982113451889</v>
      </c>
      <c r="DS86" s="60">
        <f t="shared" si="71"/>
        <v>856.24315446785226</v>
      </c>
      <c r="DT86" s="60">
        <f ca="1">AVERAGE(OFFSET($DS$3,0,0,'Données projet'!$E$14+1,1))-AVERAGE(OFFSET($H$3,0,0,'Données projet'!$E$14+1,1))</f>
        <v>475.47920969424894</v>
      </c>
      <c r="DU86" s="60">
        <f t="shared" si="98"/>
        <v>271.73544012419364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5.6</v>
      </c>
      <c r="EJ86" s="13">
        <f>IF('Données projet'!$A$192&gt;35,EJ85+EI86-ER85,IF(A86&lt;'Données projet'!$A$192,$EG$205^A86,IF(A86='Données projet'!$A$192,'Données projet'!$B$192,EJ85+EI86-ER85)))</f>
        <v>256.7999999999999</v>
      </c>
      <c r="EK86" s="18">
        <f>EJ86*VLOOKUP('Données projet'!$B$15,Paramètres!$A$1:$I$89,3,0)*VLOOKUP('Données projet'!$B$15,Paramètres!$A$1:$I$89,5,0)</f>
        <v>232.35263999999989</v>
      </c>
      <c r="EL86" s="14">
        <f t="shared" si="99"/>
        <v>56.791075613550255</v>
      </c>
      <c r="EM86" s="22">
        <f t="shared" si="73"/>
        <v>503.59197136026643</v>
      </c>
      <c r="EN86" s="60">
        <f t="shared" si="74"/>
        <v>796.92530469359974</v>
      </c>
      <c r="EO86" s="60">
        <f ca="1">AVERAGE(OFFSET($EN$3,0,0,'Données projet'!$E$15+1,1))-AVERAGE(OFFSET($H$3,0,0,'Données projet'!$E$15+1,1))</f>
        <v>428.8489304403459</v>
      </c>
      <c r="EP86" s="60">
        <f t="shared" si="100"/>
        <v>247.01165577562966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5.6</v>
      </c>
      <c r="FE86" s="13">
        <f>IF('Données projet'!$A$218&gt;35,FE85+FD86-FM85,IF(A86&lt;'Données projet'!$A$218,$FB$205^A86,IF(A86='Données projet'!$A$218,'Données projet'!$B$218,FE85+FD86-FM85)))</f>
        <v>256.7999999999999</v>
      </c>
      <c r="FF86" s="18">
        <f>FE86*VLOOKUP('Données projet'!$B$16,Paramètres!$A$1:$I$89,3,0)*VLOOKUP('Données projet'!$B$16,Paramètres!$A$1:$I$89,5,0)</f>
        <v>248.37695999999988</v>
      </c>
      <c r="FG86" s="14">
        <f t="shared" si="101"/>
        <v>60.238259626372319</v>
      </c>
      <c r="FH86" s="22">
        <f t="shared" si="76"/>
        <v>537.50484084926495</v>
      </c>
      <c r="FI86" s="60">
        <f t="shared" si="77"/>
        <v>830.83817418259832</v>
      </c>
      <c r="FJ86" s="60">
        <f ca="1">AVERAGE(OFFSET($FI$3,0,0,'Données projet'!$E$16+1,1))-AVERAGE(OFFSET($H$3,0,0,'Données projet'!$E$16+1,1))</f>
        <v>455.50822833641354</v>
      </c>
      <c r="FK86" s="60">
        <f t="shared" si="102"/>
        <v>261.14722581688039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 t="e">
        <f>N87*VLOOKUP('Données projet'!$B$9,Paramètres!$A$1:$I$89,3,0)*VLOOKUP('Données projet'!$B$9,Paramètres!$A$1:$I$89,5,0)</f>
        <v>#N/A</v>
      </c>
      <c r="P87" s="14" t="e">
        <f t="shared" si="87"/>
        <v>#N/A</v>
      </c>
      <c r="Q87" s="22" t="e">
        <f t="shared" si="54"/>
        <v>#N/A</v>
      </c>
      <c r="R87" s="60" t="e">
        <f t="shared" si="55"/>
        <v>#N/A</v>
      </c>
      <c r="S87" s="60" t="e">
        <f ca="1">AVERAGE(OFFSET($R$3,0,0,'Données projet'!$E$9+1,1))-AVERAGE(OFFSET($H$3,0,0,'Données projet'!$E$9+1,1))</f>
        <v>#N/A</v>
      </c>
      <c r="T87" s="60" t="e">
        <f t="shared" si="88"/>
        <v>#N/A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 t="e">
        <f>EXP(-LN(2)/35)*Z86+(1-EXP(-LN(2)/35))/(LN(2)/35)*V87*W87*VLOOKUP('Données projet'!$B$9,Paramètres!$A$1:$I$89,3,0)*0.475*44/12</f>
        <v>#N/A</v>
      </c>
      <c r="AA87" s="23" t="e">
        <f>EXP(-LN(2)/25)*AA86+(1-EXP(-LN(2)/25))/(LN(2)/25)*Calculateur!V87*Calculateur!X87*VLOOKUP('Données projet'!$B$9,Paramètres!$A$1:$I$89,3,0)*0.475*44/12</f>
        <v>#N/A</v>
      </c>
      <c r="AB87" s="23" t="e">
        <f>EXP(-LN(2)/2)*AB86+(1-EXP(-LN(2)/2))/(LN(2)/2)*V87*Y87*VLOOKUP('Données projet'!$B$9,Paramètres!$A$1:$I$89,3,0)*0.475*44/12</f>
        <v>#N/A</v>
      </c>
      <c r="AC87" s="24" t="e">
        <f t="shared" si="57"/>
        <v>#N/A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>
        <f>AI87*VLOOKUP('Données projet'!$B$10,Paramètres!$A$1:$I$89,3,0)*VLOOKUP('Données projet'!$B$10,Paramètres!$A$1:$I$89,5,0)</f>
        <v>1.9863364286720756E-13</v>
      </c>
      <c r="AK87" s="14">
        <f t="shared" si="89"/>
        <v>2.7549360720371426E-12</v>
      </c>
      <c r="AL87" s="22">
        <f t="shared" si="58"/>
        <v>5.144133920125077E-12</v>
      </c>
      <c r="AM87" s="60">
        <f t="shared" si="59"/>
        <v>293.33333333333843</v>
      </c>
      <c r="AN87" s="60">
        <f ca="1">AVERAGE(OFFSET($AM$3,0,0,'Données projet'!$E$10+1,1))-AVERAGE(OFFSET($H$3,0,0,'Données projet'!$E$10+1,1))</f>
        <v>325.06345339097095</v>
      </c>
      <c r="AO87" s="60">
        <f t="shared" si="90"/>
        <v>318.90379036810754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0" t="e">
        <f t="shared" si="62"/>
        <v>#N/A</v>
      </c>
      <c r="BI87" s="60" t="e">
        <f ca="1">AVERAGE(OFFSET($BH$3,0,0,'Données projet'!$E$11+1,1))-AVERAGE(OFFSET($H$3,0,0,'Données projet'!$E$11+1,1))</f>
        <v>#N/A</v>
      </c>
      <c r="BJ87" s="60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0" t="e">
        <f t="shared" si="65"/>
        <v>#N/A</v>
      </c>
      <c r="CD87" s="60" t="e">
        <f ca="1">AVERAGE(OFFSET($CC$3,0,0,'Données projet'!$E$12+1,1))-AVERAGE(OFFSET($H$3,0,0,'Données projet'!$E$12+1,1))</f>
        <v>#N/A</v>
      </c>
      <c r="CE87" s="60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229.23263999999995</v>
      </c>
      <c r="CV87" s="14">
        <f t="shared" si="95"/>
        <v>56.116728100372498</v>
      </c>
      <c r="CW87" s="22">
        <f t="shared" si="67"/>
        <v>496.98348277481529</v>
      </c>
      <c r="CX87" s="60">
        <f t="shared" si="68"/>
        <v>790.3168161081486</v>
      </c>
      <c r="CY87" s="60">
        <f ca="1">AVERAGE(OFFSET($CX$3,0,0,'Données projet'!$E$13+1,1))-AVERAGE(OFFSET($H$3,0,0,'Données projet'!$E$13+1,1))</f>
        <v>415.50509041799154</v>
      </c>
      <c r="CZ87" s="60">
        <f t="shared" si="96"/>
        <v>239.93573789765657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262.39999999999992</v>
      </c>
      <c r="DP87" s="18">
        <f>DO87*VLOOKUP('Données projet'!$B$14,Paramètres!$A$1:$I$89,3,0)*VLOOKUP('Données projet'!$B$14,Paramètres!$A$1:$I$89,5,0)</f>
        <v>266.07359999999994</v>
      </c>
      <c r="DQ87" s="14">
        <f t="shared" si="97"/>
        <v>64.015279012301136</v>
      </c>
      <c r="DR87" s="22">
        <f t="shared" si="70"/>
        <v>574.90479761309098</v>
      </c>
      <c r="DS87" s="60">
        <f t="shared" si="71"/>
        <v>868.23813094642423</v>
      </c>
      <c r="DT87" s="60">
        <f ca="1">AVERAGE(OFFSET($DS$3,0,0,'Données projet'!$E$14+1,1))-AVERAGE(OFFSET($H$3,0,0,'Données projet'!$E$14+1,1))</f>
        <v>475.47920969424894</v>
      </c>
      <c r="DU87" s="60">
        <f t="shared" si="98"/>
        <v>271.73544012419364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5.6</v>
      </c>
      <c r="EJ87" s="13">
        <f>IF('Données projet'!$A$192&gt;35,EJ86+EI87-ER86,IF(A87&lt;'Données projet'!$A$192,$EG$205^A87,IF(A87='Données projet'!$A$192,'Données projet'!$B$192,EJ86+EI87-ER86)))</f>
        <v>262.39999999999992</v>
      </c>
      <c r="EK87" s="18">
        <f>EJ87*VLOOKUP('Données projet'!$B$15,Paramètres!$A$1:$I$89,3,0)*VLOOKUP('Données projet'!$B$15,Paramètres!$A$1:$I$89,5,0)</f>
        <v>237.41951999999992</v>
      </c>
      <c r="EL87" s="14">
        <f t="shared" si="99"/>
        <v>57.883978814320919</v>
      </c>
      <c r="EM87" s="22">
        <f t="shared" si="73"/>
        <v>514.32026043494204</v>
      </c>
      <c r="EN87" s="60">
        <f t="shared" si="74"/>
        <v>807.65359376827541</v>
      </c>
      <c r="EO87" s="60">
        <f ca="1">AVERAGE(OFFSET($EN$3,0,0,'Données projet'!$E$15+1,1))-AVERAGE(OFFSET($H$3,0,0,'Données projet'!$E$15+1,1))</f>
        <v>428.8489304403459</v>
      </c>
      <c r="EP87" s="60">
        <f t="shared" si="100"/>
        <v>247.01165577562966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5.6</v>
      </c>
      <c r="FE87" s="13">
        <f>IF('Données projet'!$A$218&gt;35,FE86+FD87-FM86,IF(A87&lt;'Données projet'!$A$218,$FB$205^A87,IF(A87='Données projet'!$A$218,'Données projet'!$B$218,FE86+FD87-FM86)))</f>
        <v>262.39999999999992</v>
      </c>
      <c r="FF87" s="18">
        <f>FE87*VLOOKUP('Données projet'!$B$16,Paramètres!$A$1:$I$89,3,0)*VLOOKUP('Données projet'!$B$16,Paramètres!$A$1:$I$89,5,0)</f>
        <v>253.79327999999995</v>
      </c>
      <c r="FG87" s="14">
        <f t="shared" si="101"/>
        <v>61.39750139179521</v>
      </c>
      <c r="FH87" s="22">
        <f t="shared" si="76"/>
        <v>548.95727759070985</v>
      </c>
      <c r="FI87" s="60">
        <f t="shared" si="77"/>
        <v>842.29061092404322</v>
      </c>
      <c r="FJ87" s="60">
        <f ca="1">AVERAGE(OFFSET($FI$3,0,0,'Données projet'!$E$16+1,1))-AVERAGE(OFFSET($H$3,0,0,'Données projet'!$E$16+1,1))</f>
        <v>455.50822833641354</v>
      </c>
      <c r="FK87" s="60">
        <f t="shared" si="102"/>
        <v>261.14722581688039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 t="e">
        <f>N88*VLOOKUP('Données projet'!$B$9,Paramètres!$A$1:$I$89,3,0)*VLOOKUP('Données projet'!$B$9,Paramètres!$A$1:$I$89,5,0)</f>
        <v>#N/A</v>
      </c>
      <c r="P88" s="14" t="e">
        <f t="shared" si="87"/>
        <v>#N/A</v>
      </c>
      <c r="Q88" s="22" t="e">
        <f t="shared" si="54"/>
        <v>#N/A</v>
      </c>
      <c r="R88" s="60" t="e">
        <f t="shared" si="55"/>
        <v>#N/A</v>
      </c>
      <c r="S88" s="60" t="e">
        <f ca="1">AVERAGE(OFFSET($R$3,0,0,'Données projet'!$E$9+1,1))-AVERAGE(OFFSET($H$3,0,0,'Données projet'!$E$9+1,1))</f>
        <v>#N/A</v>
      </c>
      <c r="T88" s="60" t="e">
        <f t="shared" si="88"/>
        <v>#N/A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 t="e">
        <f>EXP(-LN(2)/35)*Z87+(1-EXP(-LN(2)/35))/(LN(2)/35)*V88*W88*VLOOKUP('Données projet'!$B$9,Paramètres!$A$1:$I$89,3,0)*0.475*44/12</f>
        <v>#N/A</v>
      </c>
      <c r="AA88" s="23" t="e">
        <f>EXP(-LN(2)/25)*AA87+(1-EXP(-LN(2)/25))/(LN(2)/25)*Calculateur!V88*Calculateur!X88*VLOOKUP('Données projet'!$B$9,Paramètres!$A$1:$I$89,3,0)*0.475*44/12</f>
        <v>#N/A</v>
      </c>
      <c r="AB88" s="23" t="e">
        <f>EXP(-LN(2)/2)*AB87+(1-EXP(-LN(2)/2))/(LN(2)/2)*V88*Y88*VLOOKUP('Données projet'!$B$9,Paramètres!$A$1:$I$89,3,0)*0.475*44/12</f>
        <v>#N/A</v>
      </c>
      <c r="AC88" s="24" t="e">
        <f t="shared" si="57"/>
        <v>#N/A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>
        <f>AI88*VLOOKUP('Données projet'!$B$10,Paramètres!$A$1:$I$89,3,0)*VLOOKUP('Données projet'!$B$10,Paramètres!$A$1:$I$89,5,0)</f>
        <v>1.9863364286720756E-13</v>
      </c>
      <c r="AK88" s="14">
        <f t="shared" si="89"/>
        <v>2.7549360720371426E-12</v>
      </c>
      <c r="AL88" s="22">
        <f t="shared" si="58"/>
        <v>5.144133920125077E-12</v>
      </c>
      <c r="AM88" s="60">
        <f t="shared" si="59"/>
        <v>293.33333333333843</v>
      </c>
      <c r="AN88" s="60">
        <f ca="1">AVERAGE(OFFSET($AM$3,0,0,'Données projet'!$E$10+1,1))-AVERAGE(OFFSET($H$3,0,0,'Données projet'!$E$10+1,1))</f>
        <v>325.06345339097095</v>
      </c>
      <c r="AO88" s="60">
        <f t="shared" si="90"/>
        <v>318.90379036810754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0" t="e">
        <f t="shared" si="62"/>
        <v>#N/A</v>
      </c>
      <c r="BI88" s="60" t="e">
        <f ca="1">AVERAGE(OFFSET($BH$3,0,0,'Données projet'!$E$11+1,1))-AVERAGE(OFFSET($H$3,0,0,'Données projet'!$E$11+1,1))</f>
        <v>#N/A</v>
      </c>
      <c r="BJ88" s="60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0" t="e">
        <f t="shared" si="65"/>
        <v>#N/A</v>
      </c>
      <c r="CD88" s="60" t="e">
        <f ca="1">AVERAGE(OFFSET($CC$3,0,0,'Données projet'!$E$12+1,1))-AVERAGE(OFFSET($H$3,0,0,'Données projet'!$E$12+1,1))</f>
        <v>#N/A</v>
      </c>
      <c r="CE88" s="60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234.12479999999999</v>
      </c>
      <c r="CV88" s="14">
        <f t="shared" si="95"/>
        <v>57.173634982132555</v>
      </c>
      <c r="CW88" s="22">
        <f t="shared" si="67"/>
        <v>507.34477426054747</v>
      </c>
      <c r="CX88" s="60">
        <f t="shared" si="68"/>
        <v>800.67810759388078</v>
      </c>
      <c r="CY88" s="60">
        <f ca="1">AVERAGE(OFFSET($CX$3,0,0,'Données projet'!$E$13+1,1))-AVERAGE(OFFSET($H$3,0,0,'Données projet'!$E$13+1,1))</f>
        <v>415.50509041799154</v>
      </c>
      <c r="CZ88" s="60">
        <f t="shared" si="96"/>
        <v>239.93573789765657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267.99999999999994</v>
      </c>
      <c r="DP88" s="18">
        <f>DO88*VLOOKUP('Données projet'!$B$14,Paramètres!$A$1:$I$89,3,0)*VLOOKUP('Données projet'!$B$14,Paramètres!$A$1:$I$89,5,0)</f>
        <v>271.75199999999995</v>
      </c>
      <c r="DQ88" s="14">
        <f t="shared" si="97"/>
        <v>65.220947824724931</v>
      </c>
      <c r="DR88" s="22">
        <f t="shared" si="70"/>
        <v>586.89455079472907</v>
      </c>
      <c r="DS88" s="60">
        <f t="shared" si="71"/>
        <v>880.22788412806244</v>
      </c>
      <c r="DT88" s="60">
        <f ca="1">AVERAGE(OFFSET($DS$3,0,0,'Données projet'!$E$14+1,1))-AVERAGE(OFFSET($H$3,0,0,'Données projet'!$E$14+1,1))</f>
        <v>475.47920969424894</v>
      </c>
      <c r="DU88" s="60">
        <f t="shared" si="98"/>
        <v>271.73544012419364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5.6</v>
      </c>
      <c r="EJ88" s="13">
        <f>IF('Données projet'!$A$192&gt;35,EJ87+EI88-ER87,IF(A88&lt;'Données projet'!$A$192,$EG$205^A88,IF(A88='Données projet'!$A$192,'Données projet'!$B$192,EJ87+EI88-ER87)))</f>
        <v>267.99999999999994</v>
      </c>
      <c r="EK88" s="18">
        <f>EJ88*VLOOKUP('Données projet'!$B$15,Paramètres!$A$1:$I$89,3,0)*VLOOKUP('Données projet'!$B$15,Paramètres!$A$1:$I$89,5,0)</f>
        <v>242.48639999999995</v>
      </c>
      <c r="EL88" s="14">
        <f t="shared" si="99"/>
        <v>58.974170235372419</v>
      </c>
      <c r="EM88" s="22">
        <f t="shared" si="73"/>
        <v>525.04382649327351</v>
      </c>
      <c r="EN88" s="60">
        <f t="shared" si="74"/>
        <v>818.37715982660688</v>
      </c>
      <c r="EO88" s="60">
        <f ca="1">AVERAGE(OFFSET($EN$3,0,0,'Données projet'!$E$15+1,1))-AVERAGE(OFFSET($H$3,0,0,'Données projet'!$E$15+1,1))</f>
        <v>428.8489304403459</v>
      </c>
      <c r="EP88" s="60">
        <f t="shared" si="100"/>
        <v>247.01165577562966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5.6</v>
      </c>
      <c r="FE88" s="13">
        <f>IF('Données projet'!$A$218&gt;35,FE87+FD88-FM87,IF(A88&lt;'Données projet'!$A$218,$FB$205^A88,IF(A88='Données projet'!$A$218,'Données projet'!$B$218,FE87+FD88-FM87)))</f>
        <v>267.99999999999994</v>
      </c>
      <c r="FF88" s="18">
        <f>FE88*VLOOKUP('Données projet'!$B$16,Paramètres!$A$1:$I$89,3,0)*VLOOKUP('Données projet'!$B$16,Paramètres!$A$1:$I$89,5,0)</f>
        <v>259.20959999999997</v>
      </c>
      <c r="FG88" s="14">
        <f t="shared" si="101"/>
        <v>62.553866774106702</v>
      </c>
      <c r="FH88" s="22">
        <f t="shared" si="76"/>
        <v>560.40470463156907</v>
      </c>
      <c r="FI88" s="60">
        <f t="shared" si="77"/>
        <v>853.73803796490233</v>
      </c>
      <c r="FJ88" s="60">
        <f ca="1">AVERAGE(OFFSET($FI$3,0,0,'Données projet'!$E$16+1,1))-AVERAGE(OFFSET($H$3,0,0,'Données projet'!$E$16+1,1))</f>
        <v>455.50822833641354</v>
      </c>
      <c r="FK88" s="60">
        <f t="shared" si="102"/>
        <v>261.14722581688039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 t="e">
        <f>N89*VLOOKUP('Données projet'!$B$9,Paramètres!$A$1:$I$89,3,0)*VLOOKUP('Données projet'!$B$9,Paramètres!$A$1:$I$89,5,0)</f>
        <v>#N/A</v>
      </c>
      <c r="P89" s="14" t="e">
        <f t="shared" si="87"/>
        <v>#N/A</v>
      </c>
      <c r="Q89" s="22" t="e">
        <f t="shared" si="54"/>
        <v>#N/A</v>
      </c>
      <c r="R89" s="60" t="e">
        <f t="shared" si="55"/>
        <v>#N/A</v>
      </c>
      <c r="S89" s="60" t="e">
        <f ca="1">AVERAGE(OFFSET($R$3,0,0,'Données projet'!$E$9+1,1))-AVERAGE(OFFSET($H$3,0,0,'Données projet'!$E$9+1,1))</f>
        <v>#N/A</v>
      </c>
      <c r="T89" s="60" t="e">
        <f t="shared" si="88"/>
        <v>#N/A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 t="e">
        <f>EXP(-LN(2)/35)*Z88+(1-EXP(-LN(2)/35))/(LN(2)/35)*V89*W89*VLOOKUP('Données projet'!$B$9,Paramètres!$A$1:$I$89,3,0)*0.475*44/12</f>
        <v>#N/A</v>
      </c>
      <c r="AA89" s="23" t="e">
        <f>EXP(-LN(2)/25)*AA88+(1-EXP(-LN(2)/25))/(LN(2)/25)*Calculateur!V89*Calculateur!X89*VLOOKUP('Données projet'!$B$9,Paramètres!$A$1:$I$89,3,0)*0.475*44/12</f>
        <v>#N/A</v>
      </c>
      <c r="AB89" s="23" t="e">
        <f>EXP(-LN(2)/2)*AB88+(1-EXP(-LN(2)/2))/(LN(2)/2)*V89*Y89*VLOOKUP('Données projet'!$B$9,Paramètres!$A$1:$I$89,3,0)*0.475*44/12</f>
        <v>#N/A</v>
      </c>
      <c r="AC89" s="24" t="e">
        <f t="shared" si="57"/>
        <v>#N/A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>
        <f>AI89*VLOOKUP('Données projet'!$B$10,Paramètres!$A$1:$I$89,3,0)*VLOOKUP('Données projet'!$B$10,Paramètres!$A$1:$I$89,5,0)</f>
        <v>1.9863364286720756E-13</v>
      </c>
      <c r="AK89" s="14">
        <f t="shared" si="89"/>
        <v>2.7549360720371426E-12</v>
      </c>
      <c r="AL89" s="22">
        <f t="shared" si="58"/>
        <v>5.144133920125077E-12</v>
      </c>
      <c r="AM89" s="60">
        <f t="shared" si="59"/>
        <v>293.33333333333843</v>
      </c>
      <c r="AN89" s="60">
        <f ca="1">AVERAGE(OFFSET($AM$3,0,0,'Données projet'!$E$10+1,1))-AVERAGE(OFFSET($H$3,0,0,'Données projet'!$E$10+1,1))</f>
        <v>325.06345339097095</v>
      </c>
      <c r="AO89" s="60">
        <f t="shared" si="90"/>
        <v>318.90379036810754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0" t="e">
        <f t="shared" si="62"/>
        <v>#N/A</v>
      </c>
      <c r="BI89" s="60" t="e">
        <f ca="1">AVERAGE(OFFSET($BH$3,0,0,'Données projet'!$E$11+1,1))-AVERAGE(OFFSET($H$3,0,0,'Données projet'!$E$11+1,1))</f>
        <v>#N/A</v>
      </c>
      <c r="BJ89" s="60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0" t="e">
        <f t="shared" si="65"/>
        <v>#N/A</v>
      </c>
      <c r="CD89" s="60" t="e">
        <f ca="1">AVERAGE(OFFSET($CC$3,0,0,'Données projet'!$E$12+1,1))-AVERAGE(OFFSET($H$3,0,0,'Données projet'!$E$12+1,1))</f>
        <v>#N/A</v>
      </c>
      <c r="CE89" s="60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239.01696000000001</v>
      </c>
      <c r="CV89" s="14">
        <f t="shared" si="95"/>
        <v>58.22797414013467</v>
      </c>
      <c r="CW89" s="22">
        <f t="shared" si="67"/>
        <v>517.70159362740117</v>
      </c>
      <c r="CX89" s="60">
        <f t="shared" si="68"/>
        <v>811.03492696073454</v>
      </c>
      <c r="CY89" s="60">
        <f ca="1">AVERAGE(OFFSET($CX$3,0,0,'Données projet'!$E$13+1,1))-AVERAGE(OFFSET($H$3,0,0,'Données projet'!$E$13+1,1))</f>
        <v>415.50509041799154</v>
      </c>
      <c r="CZ89" s="60">
        <f t="shared" si="96"/>
        <v>239.93573789765657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273.59999999999997</v>
      </c>
      <c r="DP89" s="18">
        <f>DO89*VLOOKUP('Données projet'!$B$14,Paramètres!$A$1:$I$89,3,0)*VLOOKUP('Données projet'!$B$14,Paramètres!$A$1:$I$89,5,0)</f>
        <v>277.43039999999996</v>
      </c>
      <c r="DQ89" s="14">
        <f t="shared" si="97"/>
        <v>66.423687500715673</v>
      </c>
      <c r="DR89" s="22">
        <f t="shared" si="70"/>
        <v>598.87920239707967</v>
      </c>
      <c r="DS89" s="60">
        <f t="shared" si="71"/>
        <v>892.21253573041304</v>
      </c>
      <c r="DT89" s="60">
        <f ca="1">AVERAGE(OFFSET($DS$3,0,0,'Données projet'!$E$14+1,1))-AVERAGE(OFFSET($H$3,0,0,'Données projet'!$E$14+1,1))</f>
        <v>475.47920969424894</v>
      </c>
      <c r="DU89" s="60">
        <f t="shared" si="98"/>
        <v>271.73544012419364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5.6</v>
      </c>
      <c r="EJ89" s="13">
        <f>IF('Données projet'!$A$192&gt;35,EJ88+EI89-ER88,IF(A89&lt;'Données projet'!$A$192,$EG$205^A89,IF(A89='Données projet'!$A$192,'Données projet'!$B$192,EJ88+EI89-ER88)))</f>
        <v>273.59999999999997</v>
      </c>
      <c r="EK89" s="18">
        <f>EJ89*VLOOKUP('Données projet'!$B$15,Paramètres!$A$1:$I$89,3,0)*VLOOKUP('Données projet'!$B$15,Paramètres!$A$1:$I$89,5,0)</f>
        <v>247.55327999999994</v>
      </c>
      <c r="EL89" s="14">
        <f t="shared" si="99"/>
        <v>60.061713068870255</v>
      </c>
      <c r="EM89" s="22">
        <f t="shared" si="73"/>
        <v>535.76277959494894</v>
      </c>
      <c r="EN89" s="60">
        <f t="shared" si="74"/>
        <v>829.09611292828231</v>
      </c>
      <c r="EO89" s="60">
        <f ca="1">AVERAGE(OFFSET($EN$3,0,0,'Données projet'!$E$15+1,1))-AVERAGE(OFFSET($H$3,0,0,'Données projet'!$E$15+1,1))</f>
        <v>428.8489304403459</v>
      </c>
      <c r="EP89" s="60">
        <f t="shared" si="100"/>
        <v>247.01165577562966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5.6</v>
      </c>
      <c r="FE89" s="13">
        <f>IF('Données projet'!$A$218&gt;35,FE88+FD89-FM88,IF(A89&lt;'Données projet'!$A$218,$FB$205^A89,IF(A89='Données projet'!$A$218,'Données projet'!$B$218,FE88+FD89-FM88)))</f>
        <v>273.59999999999997</v>
      </c>
      <c r="FF89" s="18">
        <f>FE89*VLOOKUP('Données projet'!$B$16,Paramètres!$A$1:$I$89,3,0)*VLOOKUP('Données projet'!$B$16,Paramètres!$A$1:$I$89,5,0)</f>
        <v>264.62591999999995</v>
      </c>
      <c r="FG89" s="14">
        <f t="shared" si="101"/>
        <v>63.707422801198604</v>
      </c>
      <c r="FH89" s="22">
        <f t="shared" si="76"/>
        <v>571.84723871208746</v>
      </c>
      <c r="FI89" s="60">
        <f t="shared" si="77"/>
        <v>865.18057204542083</v>
      </c>
      <c r="FJ89" s="60">
        <f ca="1">AVERAGE(OFFSET($FI$3,0,0,'Données projet'!$E$16+1,1))-AVERAGE(OFFSET($H$3,0,0,'Données projet'!$E$16+1,1))</f>
        <v>455.50822833641354</v>
      </c>
      <c r="FK89" s="60">
        <f t="shared" si="102"/>
        <v>261.14722581688039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 t="e">
        <f>N90*VLOOKUP('Données projet'!$B$9,Paramètres!$A$1:$I$89,3,0)*VLOOKUP('Données projet'!$B$9,Paramètres!$A$1:$I$89,5,0)</f>
        <v>#N/A</v>
      </c>
      <c r="P90" s="14" t="e">
        <f t="shared" si="87"/>
        <v>#N/A</v>
      </c>
      <c r="Q90" s="22" t="e">
        <f t="shared" si="54"/>
        <v>#N/A</v>
      </c>
      <c r="R90" s="60" t="e">
        <f t="shared" si="55"/>
        <v>#N/A</v>
      </c>
      <c r="S90" s="60" t="e">
        <f ca="1">AVERAGE(OFFSET($R$3,0,0,'Données projet'!$E$9+1,1))-AVERAGE(OFFSET($H$3,0,0,'Données projet'!$E$9+1,1))</f>
        <v>#N/A</v>
      </c>
      <c r="T90" s="60" t="e">
        <f t="shared" si="88"/>
        <v>#N/A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 t="e">
        <f>EXP(-LN(2)/35)*Z89+(1-EXP(-LN(2)/35))/(LN(2)/35)*V90*W90*VLOOKUP('Données projet'!$B$9,Paramètres!$A$1:$I$89,3,0)*0.475*44/12</f>
        <v>#N/A</v>
      </c>
      <c r="AA90" s="23" t="e">
        <f>EXP(-LN(2)/25)*AA89+(1-EXP(-LN(2)/25))/(LN(2)/25)*Calculateur!V90*Calculateur!X90*VLOOKUP('Données projet'!$B$9,Paramètres!$A$1:$I$89,3,0)*0.475*44/12</f>
        <v>#N/A</v>
      </c>
      <c r="AB90" s="23" t="e">
        <f>EXP(-LN(2)/2)*AB89+(1-EXP(-LN(2)/2))/(LN(2)/2)*V90*Y90*VLOOKUP('Données projet'!$B$9,Paramètres!$A$1:$I$89,3,0)*0.475*44/12</f>
        <v>#N/A</v>
      </c>
      <c r="AC90" s="24" t="e">
        <f t="shared" si="57"/>
        <v>#N/A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>
        <f>AI90*VLOOKUP('Données projet'!$B$10,Paramètres!$A$1:$I$89,3,0)*VLOOKUP('Données projet'!$B$10,Paramètres!$A$1:$I$89,5,0)</f>
        <v>1.9863364286720756E-13</v>
      </c>
      <c r="AK90" s="14">
        <f t="shared" si="89"/>
        <v>2.7549360720371426E-12</v>
      </c>
      <c r="AL90" s="22">
        <f t="shared" si="58"/>
        <v>5.144133920125077E-12</v>
      </c>
      <c r="AM90" s="60">
        <f t="shared" si="59"/>
        <v>293.33333333333843</v>
      </c>
      <c r="AN90" s="60">
        <f ca="1">AVERAGE(OFFSET($AM$3,0,0,'Données projet'!$E$10+1,1))-AVERAGE(OFFSET($H$3,0,0,'Données projet'!$E$10+1,1))</f>
        <v>325.06345339097095</v>
      </c>
      <c r="AO90" s="60">
        <f t="shared" si="90"/>
        <v>318.90379036810754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0" t="e">
        <f t="shared" si="62"/>
        <v>#N/A</v>
      </c>
      <c r="BI90" s="60" t="e">
        <f ca="1">AVERAGE(OFFSET($BH$3,0,0,'Données projet'!$E$11+1,1))-AVERAGE(OFFSET($H$3,0,0,'Données projet'!$E$11+1,1))</f>
        <v>#N/A</v>
      </c>
      <c r="BJ90" s="60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0" t="e">
        <f t="shared" si="65"/>
        <v>#N/A</v>
      </c>
      <c r="CD90" s="60" t="e">
        <f ca="1">AVERAGE(OFFSET($CC$3,0,0,'Données projet'!$E$12+1,1))-AVERAGE(OFFSET($H$3,0,0,'Données projet'!$E$12+1,1))</f>
        <v>#N/A</v>
      </c>
      <c r="CE90" s="60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243.90912</v>
      </c>
      <c r="CV90" s="14">
        <f t="shared" si="95"/>
        <v>59.279804186041225</v>
      </c>
      <c r="CW90" s="22">
        <f t="shared" si="67"/>
        <v>528.05404295735514</v>
      </c>
      <c r="CX90" s="60">
        <f t="shared" si="68"/>
        <v>821.38737629068851</v>
      </c>
      <c r="CY90" s="60">
        <f ca="1">AVERAGE(OFFSET($CX$3,0,0,'Données projet'!$E$13+1,1))-AVERAGE(OFFSET($H$3,0,0,'Données projet'!$E$13+1,1))</f>
        <v>415.50509041799154</v>
      </c>
      <c r="CZ90" s="60">
        <f t="shared" si="96"/>
        <v>239.93573789765657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279.2</v>
      </c>
      <c r="DP90" s="18">
        <f>DO90*VLOOKUP('Données projet'!$B$14,Paramètres!$A$1:$I$89,3,0)*VLOOKUP('Données projet'!$B$14,Paramètres!$A$1:$I$89,5,0)</f>
        <v>283.10879999999997</v>
      </c>
      <c r="DQ90" s="14">
        <f t="shared" si="97"/>
        <v>67.623564901653808</v>
      </c>
      <c r="DR90" s="22">
        <f t="shared" si="70"/>
        <v>610.85886887038032</v>
      </c>
      <c r="DS90" s="60">
        <f t="shared" si="71"/>
        <v>904.19220220371358</v>
      </c>
      <c r="DT90" s="60">
        <f ca="1">AVERAGE(OFFSET($DS$3,0,0,'Données projet'!$E$14+1,1))-AVERAGE(OFFSET($H$3,0,0,'Données projet'!$E$14+1,1))</f>
        <v>475.47920969424894</v>
      </c>
      <c r="DU90" s="60">
        <f t="shared" si="98"/>
        <v>271.73544012419364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5.6</v>
      </c>
      <c r="EJ90" s="13">
        <f>IF('Données projet'!$A$192&gt;35,EJ89+EI90-ER89,IF(A90&lt;'Données projet'!$A$192,$EG$205^A90,IF(A90='Données projet'!$A$192,'Données projet'!$B$192,EJ89+EI90-ER89)))</f>
        <v>279.2</v>
      </c>
      <c r="EK90" s="18">
        <f>EJ90*VLOOKUP('Données projet'!$B$15,Paramètres!$A$1:$I$89,3,0)*VLOOKUP('Données projet'!$B$15,Paramètres!$A$1:$I$89,5,0)</f>
        <v>252.62015999999997</v>
      </c>
      <c r="EL90" s="14">
        <f t="shared" si="99"/>
        <v>61.14666777229877</v>
      </c>
      <c r="EM90" s="22">
        <f t="shared" si="73"/>
        <v>546.47722503675357</v>
      </c>
      <c r="EN90" s="60">
        <f t="shared" si="74"/>
        <v>839.81055837008694</v>
      </c>
      <c r="EO90" s="60">
        <f ca="1">AVERAGE(OFFSET($EN$3,0,0,'Données projet'!$E$15+1,1))-AVERAGE(OFFSET($H$3,0,0,'Données projet'!$E$15+1,1))</f>
        <v>428.8489304403459</v>
      </c>
      <c r="EP90" s="60">
        <f t="shared" si="100"/>
        <v>247.01165577562966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5.6</v>
      </c>
      <c r="FE90" s="13">
        <f>IF('Données projet'!$A$218&gt;35,FE89+FD90-FM89,IF(A90&lt;'Données projet'!$A$218,$FB$205^A90,IF(A90='Données projet'!$A$218,'Données projet'!$B$218,FE89+FD90-FM89)))</f>
        <v>279.2</v>
      </c>
      <c r="FF90" s="18">
        <f>FE90*VLOOKUP('Données projet'!$B$16,Paramètres!$A$1:$I$89,3,0)*VLOOKUP('Données projet'!$B$16,Paramètres!$A$1:$I$89,5,0)</f>
        <v>270.04223999999999</v>
      </c>
      <c r="FG90" s="14">
        <f t="shared" si="101"/>
        <v>64.858233600288145</v>
      </c>
      <c r="FH90" s="22">
        <f t="shared" si="76"/>
        <v>583.28499152050188</v>
      </c>
      <c r="FI90" s="60">
        <f t="shared" si="77"/>
        <v>876.61832485383525</v>
      </c>
      <c r="FJ90" s="60">
        <f ca="1">AVERAGE(OFFSET($FI$3,0,0,'Données projet'!$E$16+1,1))-AVERAGE(OFFSET($H$3,0,0,'Données projet'!$E$16+1,1))</f>
        <v>455.50822833641354</v>
      </c>
      <c r="FK90" s="60">
        <f t="shared" si="102"/>
        <v>261.14722581688039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 t="e">
        <f>N91*VLOOKUP('Données projet'!$B$9,Paramètres!$A$1:$I$89,3,0)*VLOOKUP('Données projet'!$B$9,Paramètres!$A$1:$I$89,5,0)</f>
        <v>#N/A</v>
      </c>
      <c r="P91" s="14" t="e">
        <f t="shared" si="87"/>
        <v>#N/A</v>
      </c>
      <c r="Q91" s="22" t="e">
        <f t="shared" si="54"/>
        <v>#N/A</v>
      </c>
      <c r="R91" s="60" t="e">
        <f t="shared" si="55"/>
        <v>#N/A</v>
      </c>
      <c r="S91" s="60" t="e">
        <f ca="1">AVERAGE(OFFSET($R$3,0,0,'Données projet'!$E$9+1,1))-AVERAGE(OFFSET($H$3,0,0,'Données projet'!$E$9+1,1))</f>
        <v>#N/A</v>
      </c>
      <c r="T91" s="60" t="e">
        <f t="shared" si="88"/>
        <v>#N/A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 t="e">
        <f>EXP(-LN(2)/35)*Z90+(1-EXP(-LN(2)/35))/(LN(2)/35)*V91*W91*VLOOKUP('Données projet'!$B$9,Paramètres!$A$1:$I$89,3,0)*0.475*44/12</f>
        <v>#N/A</v>
      </c>
      <c r="AA91" s="23" t="e">
        <f>EXP(-LN(2)/25)*AA90+(1-EXP(-LN(2)/25))/(LN(2)/25)*Calculateur!V91*Calculateur!X91*VLOOKUP('Données projet'!$B$9,Paramètres!$A$1:$I$89,3,0)*0.475*44/12</f>
        <v>#N/A</v>
      </c>
      <c r="AB91" s="23" t="e">
        <f>EXP(-LN(2)/2)*AB90+(1-EXP(-LN(2)/2))/(LN(2)/2)*V91*Y91*VLOOKUP('Données projet'!$B$9,Paramètres!$A$1:$I$89,3,0)*0.475*44/12</f>
        <v>#N/A</v>
      </c>
      <c r="AC91" s="24" t="e">
        <f t="shared" si="57"/>
        <v>#N/A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>
        <f>AI91*VLOOKUP('Données projet'!$B$10,Paramètres!$A$1:$I$89,3,0)*VLOOKUP('Données projet'!$B$10,Paramètres!$A$1:$I$89,5,0)</f>
        <v>1.9863364286720756E-13</v>
      </c>
      <c r="AK91" s="14">
        <f t="shared" si="89"/>
        <v>2.7549360720371426E-12</v>
      </c>
      <c r="AL91" s="22">
        <f t="shared" si="58"/>
        <v>5.144133920125077E-12</v>
      </c>
      <c r="AM91" s="60">
        <f t="shared" si="59"/>
        <v>293.33333333333843</v>
      </c>
      <c r="AN91" s="60">
        <f ca="1">AVERAGE(OFFSET($AM$3,0,0,'Données projet'!$E$10+1,1))-AVERAGE(OFFSET($H$3,0,0,'Données projet'!$E$10+1,1))</f>
        <v>325.06345339097095</v>
      </c>
      <c r="AO91" s="60">
        <f t="shared" si="90"/>
        <v>318.90379036810754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0" t="e">
        <f t="shared" si="62"/>
        <v>#N/A</v>
      </c>
      <c r="BI91" s="60" t="e">
        <f ca="1">AVERAGE(OFFSET($BH$3,0,0,'Données projet'!$E$11+1,1))-AVERAGE(OFFSET($H$3,0,0,'Données projet'!$E$11+1,1))</f>
        <v>#N/A</v>
      </c>
      <c r="BJ91" s="60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0" t="e">
        <f t="shared" si="65"/>
        <v>#N/A</v>
      </c>
      <c r="CD91" s="60" t="e">
        <f ca="1">AVERAGE(OFFSET($CC$3,0,0,'Données projet'!$E$12+1,1))-AVERAGE(OFFSET($H$3,0,0,'Données projet'!$E$12+1,1))</f>
        <v>#N/A</v>
      </c>
      <c r="CE91" s="60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248.80128000000005</v>
      </c>
      <c r="CV91" s="14">
        <f t="shared" si="95"/>
        <v>60.32918124589343</v>
      </c>
      <c r="CW91" s="22">
        <f t="shared" si="67"/>
        <v>538.40222000326435</v>
      </c>
      <c r="CX91" s="60">
        <f t="shared" si="68"/>
        <v>831.7355533365976</v>
      </c>
      <c r="CY91" s="60">
        <f ca="1">AVERAGE(OFFSET($CX$3,0,0,'Données projet'!$E$13+1,1))-AVERAGE(OFFSET($H$3,0,0,'Données projet'!$E$13+1,1))</f>
        <v>415.50509041799154</v>
      </c>
      <c r="CZ91" s="60">
        <f t="shared" si="96"/>
        <v>239.93573789765657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284.8</v>
      </c>
      <c r="DP91" s="18">
        <f>DO91*VLOOKUP('Données projet'!$B$14,Paramètres!$A$1:$I$89,3,0)*VLOOKUP('Données projet'!$B$14,Paramètres!$A$1:$I$89,5,0)</f>
        <v>288.78720000000004</v>
      </c>
      <c r="DQ91" s="14">
        <f t="shared" si="97"/>
        <v>68.820644053442436</v>
      </c>
      <c r="DR91" s="22">
        <f t="shared" si="70"/>
        <v>622.83366172641229</v>
      </c>
      <c r="DS91" s="60">
        <f t="shared" si="71"/>
        <v>916.16699505974566</v>
      </c>
      <c r="DT91" s="60">
        <f ca="1">AVERAGE(OFFSET($DS$3,0,0,'Données projet'!$E$14+1,1))-AVERAGE(OFFSET($H$3,0,0,'Données projet'!$E$14+1,1))</f>
        <v>475.47920969424894</v>
      </c>
      <c r="DU91" s="60">
        <f t="shared" si="98"/>
        <v>271.73544012419364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5.6</v>
      </c>
      <c r="EJ91" s="13">
        <f>IF('Données projet'!$A$192&gt;35,EJ90+EI91-ER90,IF(A91&lt;'Données projet'!$A$192,$EG$205^A91,IF(A91='Données projet'!$A$192,'Données projet'!$B$192,EJ90+EI91-ER90)))</f>
        <v>284.8</v>
      </c>
      <c r="EK91" s="18">
        <f>EJ91*VLOOKUP('Données projet'!$B$15,Paramètres!$A$1:$I$89,3,0)*VLOOKUP('Données projet'!$B$15,Paramètres!$A$1:$I$89,5,0)</f>
        <v>257.68704000000002</v>
      </c>
      <c r="EL91" s="14">
        <f t="shared" si="99"/>
        <v>62.229092239243343</v>
      </c>
      <c r="EM91" s="22">
        <f t="shared" si="73"/>
        <v>557.18726365001555</v>
      </c>
      <c r="EN91" s="60">
        <f t="shared" si="74"/>
        <v>850.52059698334892</v>
      </c>
      <c r="EO91" s="60">
        <f ca="1">AVERAGE(OFFSET($EN$3,0,0,'Données projet'!$E$15+1,1))-AVERAGE(OFFSET($H$3,0,0,'Données projet'!$E$15+1,1))</f>
        <v>428.8489304403459</v>
      </c>
      <c r="EP91" s="60">
        <f t="shared" si="100"/>
        <v>247.01165577562966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5.6</v>
      </c>
      <c r="FE91" s="13">
        <f>IF('Données projet'!$A$218&gt;35,FE90+FD91-FM90,IF(A91&lt;'Données projet'!$A$218,$FB$205^A91,IF(A91='Données projet'!$A$218,'Données projet'!$B$218,FE90+FD91-FM90)))</f>
        <v>284.8</v>
      </c>
      <c r="FF91" s="18">
        <f>FE91*VLOOKUP('Données projet'!$B$16,Paramètres!$A$1:$I$89,3,0)*VLOOKUP('Données projet'!$B$16,Paramètres!$A$1:$I$89,5,0)</f>
        <v>275.45855999999998</v>
      </c>
      <c r="FG91" s="14">
        <f t="shared" si="101"/>
        <v>66.006360579066197</v>
      </c>
      <c r="FH91" s="22">
        <f t="shared" si="76"/>
        <v>594.71807000854017</v>
      </c>
      <c r="FI91" s="60">
        <f t="shared" si="77"/>
        <v>888.05140334187354</v>
      </c>
      <c r="FJ91" s="60">
        <f ca="1">AVERAGE(OFFSET($FI$3,0,0,'Données projet'!$E$16+1,1))-AVERAGE(OFFSET($H$3,0,0,'Données projet'!$E$16+1,1))</f>
        <v>455.50822833641354</v>
      </c>
      <c r="FK91" s="60">
        <f t="shared" si="102"/>
        <v>261.14722581688039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 t="e">
        <f>N92*VLOOKUP('Données projet'!$B$9,Paramètres!$A$1:$I$89,3,0)*VLOOKUP('Données projet'!$B$9,Paramètres!$A$1:$I$89,5,0)</f>
        <v>#N/A</v>
      </c>
      <c r="P92" s="14" t="e">
        <f t="shared" si="87"/>
        <v>#N/A</v>
      </c>
      <c r="Q92" s="22" t="e">
        <f t="shared" si="54"/>
        <v>#N/A</v>
      </c>
      <c r="R92" s="60" t="e">
        <f t="shared" si="55"/>
        <v>#N/A</v>
      </c>
      <c r="S92" s="60" t="e">
        <f ca="1">AVERAGE(OFFSET($R$3,0,0,'Données projet'!$E$9+1,1))-AVERAGE(OFFSET($H$3,0,0,'Données projet'!$E$9+1,1))</f>
        <v>#N/A</v>
      </c>
      <c r="T92" s="60" t="e">
        <f t="shared" si="88"/>
        <v>#N/A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 t="e">
        <f>EXP(-LN(2)/35)*Z91+(1-EXP(-LN(2)/35))/(LN(2)/35)*V92*W92*VLOOKUP('Données projet'!$B$9,Paramètres!$A$1:$I$89,3,0)*0.475*44/12</f>
        <v>#N/A</v>
      </c>
      <c r="AA92" s="23" t="e">
        <f>EXP(-LN(2)/25)*AA91+(1-EXP(-LN(2)/25))/(LN(2)/25)*Calculateur!V92*Calculateur!X92*VLOOKUP('Données projet'!$B$9,Paramètres!$A$1:$I$89,3,0)*0.475*44/12</f>
        <v>#N/A</v>
      </c>
      <c r="AB92" s="23" t="e">
        <f>EXP(-LN(2)/2)*AB91+(1-EXP(-LN(2)/2))/(LN(2)/2)*V92*Y92*VLOOKUP('Données projet'!$B$9,Paramètres!$A$1:$I$89,3,0)*0.475*44/12</f>
        <v>#N/A</v>
      </c>
      <c r="AC92" s="24" t="e">
        <f t="shared" si="57"/>
        <v>#N/A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>
        <f>AI92*VLOOKUP('Données projet'!$B$10,Paramètres!$A$1:$I$89,3,0)*VLOOKUP('Données projet'!$B$10,Paramètres!$A$1:$I$89,5,0)</f>
        <v>1.9863364286720756E-13</v>
      </c>
      <c r="AK92" s="14">
        <f t="shared" si="89"/>
        <v>2.7549360720371426E-12</v>
      </c>
      <c r="AL92" s="22">
        <f t="shared" si="58"/>
        <v>5.144133920125077E-12</v>
      </c>
      <c r="AM92" s="60">
        <f t="shared" si="59"/>
        <v>293.33333333333843</v>
      </c>
      <c r="AN92" s="60">
        <f ca="1">AVERAGE(OFFSET($AM$3,0,0,'Données projet'!$E$10+1,1))-AVERAGE(OFFSET($H$3,0,0,'Données projet'!$E$10+1,1))</f>
        <v>325.06345339097095</v>
      </c>
      <c r="AO92" s="60">
        <f t="shared" si="90"/>
        <v>318.90379036810754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0" t="e">
        <f t="shared" si="62"/>
        <v>#N/A</v>
      </c>
      <c r="BI92" s="60" t="e">
        <f ca="1">AVERAGE(OFFSET($BH$3,0,0,'Données projet'!$E$11+1,1))-AVERAGE(OFFSET($H$3,0,0,'Données projet'!$E$11+1,1))</f>
        <v>#N/A</v>
      </c>
      <c r="BJ92" s="60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0" t="e">
        <f t="shared" si="65"/>
        <v>#N/A</v>
      </c>
      <c r="CD92" s="60" t="e">
        <f ca="1">AVERAGE(OFFSET($CC$3,0,0,'Données projet'!$E$12+1,1))-AVERAGE(OFFSET($H$3,0,0,'Données projet'!$E$12+1,1))</f>
        <v>#N/A</v>
      </c>
      <c r="CE92" s="60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253.69344000000004</v>
      </c>
      <c r="CV92" s="14">
        <f t="shared" si="95"/>
        <v>61.376159112289358</v>
      </c>
      <c r="CW92" s="22">
        <f t="shared" si="67"/>
        <v>548.74621845390402</v>
      </c>
      <c r="CX92" s="60">
        <f t="shared" si="68"/>
        <v>842.07955178723728</v>
      </c>
      <c r="CY92" s="60">
        <f ca="1">AVERAGE(OFFSET($CX$3,0,0,'Données projet'!$E$13+1,1))-AVERAGE(OFFSET($H$3,0,0,'Données projet'!$E$13+1,1))</f>
        <v>415.50509041799154</v>
      </c>
      <c r="CZ92" s="60">
        <f t="shared" si="96"/>
        <v>239.93573789765657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290.40000000000003</v>
      </c>
      <c r="DP92" s="18">
        <f>DO92*VLOOKUP('Données projet'!$B$14,Paramètres!$A$1:$I$89,3,0)*VLOOKUP('Données projet'!$B$14,Paramètres!$A$1:$I$89,5,0)</f>
        <v>294.46560000000005</v>
      </c>
      <c r="DQ92" s="14">
        <f t="shared" si="97"/>
        <v>70.014986320104285</v>
      </c>
      <c r="DR92" s="22">
        <f t="shared" si="70"/>
        <v>634.8036878408484</v>
      </c>
      <c r="DS92" s="60">
        <f t="shared" si="71"/>
        <v>928.13702117418165</v>
      </c>
      <c r="DT92" s="60">
        <f ca="1">AVERAGE(OFFSET($DS$3,0,0,'Données projet'!$E$14+1,1))-AVERAGE(OFFSET($H$3,0,0,'Données projet'!$E$14+1,1))</f>
        <v>475.47920969424894</v>
      </c>
      <c r="DU92" s="60">
        <f t="shared" si="98"/>
        <v>271.73544012419364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5.6</v>
      </c>
      <c r="EJ92" s="13">
        <f>IF('Données projet'!$A$192&gt;35,EJ91+EI92-ER91,IF(A92&lt;'Données projet'!$A$192,$EG$205^A92,IF(A92='Données projet'!$A$192,'Données projet'!$B$192,EJ91+EI92-ER91)))</f>
        <v>290.40000000000003</v>
      </c>
      <c r="EK92" s="18">
        <f>EJ92*VLOOKUP('Données projet'!$B$15,Paramètres!$A$1:$I$89,3,0)*VLOOKUP('Données projet'!$B$15,Paramètres!$A$1:$I$89,5,0)</f>
        <v>262.75392000000005</v>
      </c>
      <c r="EL92" s="14">
        <f t="shared" si="99"/>
        <v>63.309041956360382</v>
      </c>
      <c r="EM92" s="22">
        <f t="shared" si="73"/>
        <v>567.89299207399438</v>
      </c>
      <c r="EN92" s="60">
        <f t="shared" si="74"/>
        <v>861.22632540732775</v>
      </c>
      <c r="EO92" s="60">
        <f ca="1">AVERAGE(OFFSET($EN$3,0,0,'Données projet'!$E$15+1,1))-AVERAGE(OFFSET($H$3,0,0,'Données projet'!$E$15+1,1))</f>
        <v>428.8489304403459</v>
      </c>
      <c r="EP92" s="60">
        <f t="shared" si="100"/>
        <v>247.01165577562966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5.6</v>
      </c>
      <c r="FE92" s="13">
        <f>IF('Données projet'!$A$218&gt;35,FE91+FD92-FM91,IF(A92&lt;'Données projet'!$A$218,$FB$205^A92,IF(A92='Données projet'!$A$218,'Données projet'!$B$218,FE91+FD92-FM91)))</f>
        <v>290.40000000000003</v>
      </c>
      <c r="FF92" s="18">
        <f>FE92*VLOOKUP('Données projet'!$B$16,Paramètres!$A$1:$I$89,3,0)*VLOOKUP('Données projet'!$B$16,Paramètres!$A$1:$I$89,5,0)</f>
        <v>280.87488000000008</v>
      </c>
      <c r="FG92" s="14">
        <f t="shared" si="101"/>
        <v>67.151862592195855</v>
      </c>
      <c r="FH92" s="22">
        <f t="shared" si="76"/>
        <v>606.14657668140785</v>
      </c>
      <c r="FI92" s="60">
        <f t="shared" si="77"/>
        <v>899.47991001474111</v>
      </c>
      <c r="FJ92" s="60">
        <f ca="1">AVERAGE(OFFSET($FI$3,0,0,'Données projet'!$E$16+1,1))-AVERAGE(OFFSET($H$3,0,0,'Données projet'!$E$16+1,1))</f>
        <v>455.50822833641354</v>
      </c>
      <c r="FK92" s="60">
        <f t="shared" si="102"/>
        <v>261.14722581688039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 t="e">
        <f>N93*VLOOKUP('Données projet'!$B$9,Paramètres!$A$1:$I$89,3,0)*VLOOKUP('Données projet'!$B$9,Paramètres!$A$1:$I$89,5,0)</f>
        <v>#N/A</v>
      </c>
      <c r="P93" s="14" t="e">
        <f t="shared" si="87"/>
        <v>#N/A</v>
      </c>
      <c r="Q93" s="22" t="e">
        <f t="shared" si="54"/>
        <v>#N/A</v>
      </c>
      <c r="R93" s="60" t="e">
        <f t="shared" si="55"/>
        <v>#N/A</v>
      </c>
      <c r="S93" s="60" t="e">
        <f ca="1">AVERAGE(OFFSET($R$3,0,0,'Données projet'!$E$9+1,1))-AVERAGE(OFFSET($H$3,0,0,'Données projet'!$E$9+1,1))</f>
        <v>#N/A</v>
      </c>
      <c r="T93" s="60" t="e">
        <f t="shared" si="88"/>
        <v>#N/A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 t="e">
        <f>EXP(-LN(2)/35)*Z92+(1-EXP(-LN(2)/35))/(LN(2)/35)*V93*W93*VLOOKUP('Données projet'!$B$9,Paramètres!$A$1:$I$89,3,0)*0.475*44/12</f>
        <v>#N/A</v>
      </c>
      <c r="AA93" s="23" t="e">
        <f>EXP(-LN(2)/25)*AA92+(1-EXP(-LN(2)/25))/(LN(2)/25)*Calculateur!V93*Calculateur!X93*VLOOKUP('Données projet'!$B$9,Paramètres!$A$1:$I$89,3,0)*0.475*44/12</f>
        <v>#N/A</v>
      </c>
      <c r="AB93" s="23" t="e">
        <f>EXP(-LN(2)/2)*AB92+(1-EXP(-LN(2)/2))/(LN(2)/2)*V93*Y93*VLOOKUP('Données projet'!$B$9,Paramètres!$A$1:$I$89,3,0)*0.475*44/12</f>
        <v>#N/A</v>
      </c>
      <c r="AC93" s="24" t="e">
        <f t="shared" si="57"/>
        <v>#N/A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>
        <f>AI93*VLOOKUP('Données projet'!$B$10,Paramètres!$A$1:$I$89,3,0)*VLOOKUP('Données projet'!$B$10,Paramètres!$A$1:$I$89,5,0)</f>
        <v>1.9863364286720756E-13</v>
      </c>
      <c r="AK93" s="14">
        <f t="shared" si="89"/>
        <v>2.7549360720371426E-12</v>
      </c>
      <c r="AL93" s="22">
        <f t="shared" si="58"/>
        <v>5.144133920125077E-12</v>
      </c>
      <c r="AM93" s="60">
        <f t="shared" si="59"/>
        <v>293.33333333333843</v>
      </c>
      <c r="AN93" s="60">
        <f ca="1">AVERAGE(OFFSET($AM$3,0,0,'Données projet'!$E$10+1,1))-AVERAGE(OFFSET($H$3,0,0,'Données projet'!$E$10+1,1))</f>
        <v>325.06345339097095</v>
      </c>
      <c r="AO93" s="60">
        <f t="shared" si="90"/>
        <v>318.90379036810754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0" t="e">
        <f t="shared" si="62"/>
        <v>#N/A</v>
      </c>
      <c r="BI93" s="60" t="e">
        <f ca="1">AVERAGE(OFFSET($BH$3,0,0,'Données projet'!$E$11+1,1))-AVERAGE(OFFSET($H$3,0,0,'Données projet'!$E$11+1,1))</f>
        <v>#N/A</v>
      </c>
      <c r="BJ93" s="60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0" t="e">
        <f t="shared" si="65"/>
        <v>#N/A</v>
      </c>
      <c r="CD93" s="60" t="e">
        <f ca="1">AVERAGE(OFFSET($CC$3,0,0,'Données projet'!$E$12+1,1))-AVERAGE(OFFSET($H$3,0,0,'Données projet'!$E$12+1,1))</f>
        <v>#N/A</v>
      </c>
      <c r="CE93" s="60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258.58560000000006</v>
      </c>
      <c r="CV93" s="14">
        <f t="shared" si="95"/>
        <v>62.420789384491897</v>
      </c>
      <c r="CW93" s="22">
        <f t="shared" si="67"/>
        <v>559.08612817799019</v>
      </c>
      <c r="CX93" s="60">
        <f t="shared" si="68"/>
        <v>852.41946151132356</v>
      </c>
      <c r="CY93" s="60">
        <f ca="1">AVERAGE(OFFSET($CX$3,0,0,'Données projet'!$E$13+1,1))-AVERAGE(OFFSET($H$3,0,0,'Données projet'!$E$13+1,1))</f>
        <v>415.50509041799154</v>
      </c>
      <c r="CZ93" s="60">
        <f t="shared" si="96"/>
        <v>239.93573789765657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296.00000000000006</v>
      </c>
      <c r="DP93" s="18">
        <f>DO93*VLOOKUP('Données projet'!$B$14,Paramètres!$A$1:$I$89,3,0)*VLOOKUP('Données projet'!$B$14,Paramètres!$A$1:$I$89,5,0)</f>
        <v>300.14400000000006</v>
      </c>
      <c r="DQ93" s="14">
        <f t="shared" si="97"/>
        <v>71.206650563609855</v>
      </c>
      <c r="DR93" s="22">
        <f t="shared" si="70"/>
        <v>646.76904973162061</v>
      </c>
      <c r="DS93" s="60">
        <f t="shared" si="71"/>
        <v>940.10238306495398</v>
      </c>
      <c r="DT93" s="60">
        <f ca="1">AVERAGE(OFFSET($DS$3,0,0,'Données projet'!$E$14+1,1))-AVERAGE(OFFSET($H$3,0,0,'Données projet'!$E$14+1,1))</f>
        <v>475.47920969424894</v>
      </c>
      <c r="DU93" s="60">
        <f t="shared" si="98"/>
        <v>271.73544012419364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42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296</v>
      </c>
      <c r="EH93" s="13">
        <f>VLOOKUP(A93,'Données projet'!$A$191:$I$211,9,0)</f>
        <v>5.6</v>
      </c>
      <c r="EI93" s="13">
        <f t="array" ref="EI93">INDEX(EH:EH,MIN(IF(ISNUMBER(EH93:EH289),ROW(EH93:EH289),"")))</f>
        <v>5.6</v>
      </c>
      <c r="EJ93" s="13">
        <f>IF('Données projet'!$A$192&gt;35,EJ92+EI93-ER92,IF(A93&lt;'Données projet'!$A$192,$EG$205^A93,IF(A93='Données projet'!$A$192,'Données projet'!$B$192,EJ92+EI93-ER92)))</f>
        <v>296.00000000000006</v>
      </c>
      <c r="EK93" s="18">
        <f>EJ93*VLOOKUP('Données projet'!$B$15,Paramètres!$A$1:$I$89,3,0)*VLOOKUP('Données projet'!$B$15,Paramètres!$A$1:$I$89,5,0)</f>
        <v>267.82080000000008</v>
      </c>
      <c r="EL93" s="14">
        <f t="shared" si="99"/>
        <v>64.386570147897373</v>
      </c>
      <c r="EM93" s="22">
        <f t="shared" si="73"/>
        <v>578.59450300758806</v>
      </c>
      <c r="EN93" s="60">
        <f t="shared" si="74"/>
        <v>871.92783634092143</v>
      </c>
      <c r="EO93" s="60">
        <f ca="1">AVERAGE(OFFSET($EN$3,0,0,'Données projet'!$E$15+1,1))-AVERAGE(OFFSET($H$3,0,0,'Données projet'!$E$15+1,1))</f>
        <v>428.8489304403459</v>
      </c>
      <c r="EP93" s="60">
        <f t="shared" si="100"/>
        <v>247.01165577562966</v>
      </c>
      <c r="EQ93" s="16">
        <f>IF(ISNA(VLOOKUP(A93,'Données projet'!$A$191:$I$211,3,0)),0,VLOOKUP(A93,'Données projet'!$A$191:$I$211,3,0))</f>
        <v>7</v>
      </c>
      <c r="ER93" s="16">
        <f>IF(ISNA(VLOOKUP(A93,'Données projet'!$A$191:$I$211,4,0)),0,VLOOKUP(A93,'Données projet'!$A$191:$I$211,4,0))</f>
        <v>42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296</v>
      </c>
      <c r="FC93" s="13">
        <f>VLOOKUP(A93,'Données projet'!$A$217:$I$237,9,0)</f>
        <v>5.6</v>
      </c>
      <c r="FD93" s="13">
        <f t="array" ref="FD93">INDEX(FC:FC,MIN(IF(ISNUMBER(FC93:FC289),ROW(FC93:FC289),"")))</f>
        <v>5.6</v>
      </c>
      <c r="FE93" s="13">
        <f>IF('Données projet'!$A$218&gt;35,FE92+FD93-FM92,IF(A93&lt;'Données projet'!$A$218,$FB$205^A93,IF(A93='Données projet'!$A$218,'Données projet'!$B$218,FE92+FD93-FM92)))</f>
        <v>296.00000000000006</v>
      </c>
      <c r="FF93" s="18">
        <f>FE93*VLOOKUP('Données projet'!$B$16,Paramètres!$A$1:$I$89,3,0)*VLOOKUP('Données projet'!$B$16,Paramètres!$A$1:$I$89,5,0)</f>
        <v>286.29120000000006</v>
      </c>
      <c r="FG93" s="14">
        <f t="shared" si="101"/>
        <v>68.294796094604408</v>
      </c>
      <c r="FH93" s="22">
        <f t="shared" si="76"/>
        <v>617.57060986476938</v>
      </c>
      <c r="FI93" s="60">
        <f t="shared" si="77"/>
        <v>910.90394319810275</v>
      </c>
      <c r="FJ93" s="60">
        <f ca="1">AVERAGE(OFFSET($FI$3,0,0,'Données projet'!$E$16+1,1))-AVERAGE(OFFSET($H$3,0,0,'Données projet'!$E$16+1,1))</f>
        <v>455.50822833641354</v>
      </c>
      <c r="FK93" s="60">
        <f t="shared" si="102"/>
        <v>261.14722581688039</v>
      </c>
      <c r="FL93" s="16">
        <f>IF(ISNA(VLOOKUP(A93,'Données projet'!$A$217:$I$237,3,0)),0,VLOOKUP(A93,'Données projet'!$A$217:$I$237,3,0))</f>
        <v>7</v>
      </c>
      <c r="FM93" s="16">
        <f>IF(ISNA(VLOOKUP(A93,'Données projet'!$A$217:$I$237,4,0)),0,VLOOKUP(A93,'Données projet'!$A$217:$I$237,4,0))</f>
        <v>42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 t="e">
        <f>N94*VLOOKUP('Données projet'!$B$9,Paramètres!$A$1:$I$89,3,0)*VLOOKUP('Données projet'!$B$9,Paramètres!$A$1:$I$89,5,0)</f>
        <v>#N/A</v>
      </c>
      <c r="P94" s="14" t="e">
        <f t="shared" si="87"/>
        <v>#N/A</v>
      </c>
      <c r="Q94" s="22" t="e">
        <f t="shared" si="54"/>
        <v>#N/A</v>
      </c>
      <c r="R94" s="60" t="e">
        <f t="shared" si="55"/>
        <v>#N/A</v>
      </c>
      <c r="S94" s="60" t="e">
        <f ca="1">AVERAGE(OFFSET($R$3,0,0,'Données projet'!$E$9+1,1))-AVERAGE(OFFSET($H$3,0,0,'Données projet'!$E$9+1,1))</f>
        <v>#N/A</v>
      </c>
      <c r="T94" s="60" t="e">
        <f t="shared" si="88"/>
        <v>#N/A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 t="e">
        <f>EXP(-LN(2)/35)*Z93+(1-EXP(-LN(2)/35))/(LN(2)/35)*V94*W94*VLOOKUP('Données projet'!$B$9,Paramètres!$A$1:$I$89,3,0)*0.475*44/12</f>
        <v>#N/A</v>
      </c>
      <c r="AA94" s="23" t="e">
        <f>EXP(-LN(2)/25)*AA93+(1-EXP(-LN(2)/25))/(LN(2)/25)*Calculateur!V94*Calculateur!X94*VLOOKUP('Données projet'!$B$9,Paramètres!$A$1:$I$89,3,0)*0.475*44/12</f>
        <v>#N/A</v>
      </c>
      <c r="AB94" s="23" t="e">
        <f>EXP(-LN(2)/2)*AB93+(1-EXP(-LN(2)/2))/(LN(2)/2)*V94*Y94*VLOOKUP('Données projet'!$B$9,Paramètres!$A$1:$I$89,3,0)*0.475*44/12</f>
        <v>#N/A</v>
      </c>
      <c r="AC94" s="24" t="e">
        <f t="shared" si="57"/>
        <v>#N/A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projet'!$B$10,Paramètres!$A$1:$I$89,3,0)*VLOOKUP('Données projet'!$B$10,Paramètres!$A$1:$I$89,5,0)</f>
        <v>1.9863364286720756E-13</v>
      </c>
      <c r="AK94" s="14">
        <f t="shared" si="89"/>
        <v>2.7549360720371426E-12</v>
      </c>
      <c r="AL94" s="22">
        <f t="shared" si="58"/>
        <v>5.144133920125077E-12</v>
      </c>
      <c r="AM94" s="60">
        <f t="shared" si="59"/>
        <v>293.33333333333843</v>
      </c>
      <c r="AN94" s="60">
        <f ca="1">AVERAGE(OFFSET($AM$3,0,0,'Données projet'!$E$10+1,1))-AVERAGE(OFFSET($H$3,0,0,'Données projet'!$E$10+1,1))</f>
        <v>325.06345339097095</v>
      </c>
      <c r="AO94" s="60">
        <f t="shared" si="90"/>
        <v>318.90379036810754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0" t="e">
        <f t="shared" si="62"/>
        <v>#N/A</v>
      </c>
      <c r="BI94" s="60" t="e">
        <f ca="1">AVERAGE(OFFSET($BH$3,0,0,'Données projet'!$E$11+1,1))-AVERAGE(OFFSET($H$3,0,0,'Données projet'!$E$11+1,1))</f>
        <v>#N/A</v>
      </c>
      <c r="BJ94" s="60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0" t="e">
        <f t="shared" si="65"/>
        <v>#N/A</v>
      </c>
      <c r="CD94" s="60" t="e">
        <f ca="1">AVERAGE(OFFSET($CC$3,0,0,'Données projet'!$E$12+1,1))-AVERAGE(OFFSET($H$3,0,0,'Données projet'!$E$12+1,1))</f>
        <v>#N/A</v>
      </c>
      <c r="CE94" s="60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226.17504000000005</v>
      </c>
      <c r="CV94" s="14">
        <f t="shared" si="95"/>
        <v>55.454830271544061</v>
      </c>
      <c r="CW94" s="22">
        <f t="shared" si="67"/>
        <v>490.50535738960593</v>
      </c>
      <c r="CX94" s="60">
        <f t="shared" si="68"/>
        <v>783.83869072293919</v>
      </c>
      <c r="CY94" s="60">
        <f ca="1">AVERAGE(OFFSET($CX$3,0,0,'Données projet'!$E$13+1,1))-AVERAGE(OFFSET($H$3,0,0,'Données projet'!$E$13+1,1))</f>
        <v>415.50509041799154</v>
      </c>
      <c r="CZ94" s="60">
        <f t="shared" si="96"/>
        <v>239.93573789765657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4.9000000000000004</v>
      </c>
      <c r="DO94" s="13">
        <f>IF('Données projet'!$A$166&gt;35,DO93+DN94-DW93,IF(A94&lt;'Données projet'!$A$166,$DL$205^A94,IF(A94='Données projet'!$A$166,'Données projet'!$B$166,DO93+DN94-DW93)))</f>
        <v>258.90000000000003</v>
      </c>
      <c r="DP94" s="18">
        <f>DO94*VLOOKUP('Données projet'!$B$14,Paramètres!$A$1:$I$89,3,0)*VLOOKUP('Données projet'!$B$14,Paramètres!$A$1:$I$89,5,0)</f>
        <v>262.52460000000002</v>
      </c>
      <c r="DQ94" s="14">
        <f t="shared" si="97"/>
        <v>63.260217631774687</v>
      </c>
      <c r="DR94" s="22">
        <f t="shared" si="70"/>
        <v>567.40855737534105</v>
      </c>
      <c r="DS94" s="60">
        <f t="shared" si="71"/>
        <v>860.74189070867442</v>
      </c>
      <c r="DT94" s="60">
        <f ca="1">AVERAGE(OFFSET($DS$3,0,0,'Données projet'!$E$14+1,1))-AVERAGE(OFFSET($H$3,0,0,'Données projet'!$E$14+1,1))</f>
        <v>475.47920969424894</v>
      </c>
      <c r="DU94" s="60">
        <f t="shared" si="98"/>
        <v>271.73544012419364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4.9000000000000004</v>
      </c>
      <c r="EJ94" s="13">
        <f>IF('Données projet'!$A$192&gt;35,EJ93+EI94-ER93,IF(A94&lt;'Données projet'!$A$192,$EG$205^A94,IF(A94='Données projet'!$A$192,'Données projet'!$B$192,EJ93+EI94-ER93)))</f>
        <v>258.90000000000003</v>
      </c>
      <c r="EK94" s="18">
        <f>EJ94*VLOOKUP('Données projet'!$B$15,Paramètres!$A$1:$I$89,3,0)*VLOOKUP('Données projet'!$B$15,Paramètres!$A$1:$I$89,5,0)</f>
        <v>234.25272000000001</v>
      </c>
      <c r="EL94" s="14">
        <f t="shared" si="99"/>
        <v>57.201236231171301</v>
      </c>
      <c r="EM94" s="22">
        <f t="shared" si="73"/>
        <v>507.61564043595672</v>
      </c>
      <c r="EN94" s="60">
        <f t="shared" si="74"/>
        <v>800.94897376928998</v>
      </c>
      <c r="EO94" s="60">
        <f ca="1">AVERAGE(OFFSET($EN$3,0,0,'Données projet'!$E$15+1,1))-AVERAGE(OFFSET($H$3,0,0,'Données projet'!$E$15+1,1))</f>
        <v>428.8489304403459</v>
      </c>
      <c r="EP94" s="60">
        <f t="shared" si="100"/>
        <v>247.01165577562966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4.9000000000000004</v>
      </c>
      <c r="FE94" s="13">
        <f>IF('Données projet'!$A$218&gt;35,FE93+FD94-FM93,IF(A94&lt;'Données projet'!$A$218,$FB$205^A94,IF(A94='Données projet'!$A$218,'Données projet'!$B$218,FE93+FD94-FM93)))</f>
        <v>258.90000000000003</v>
      </c>
      <c r="FF94" s="18">
        <f>FE94*VLOOKUP('Données projet'!$B$16,Paramètres!$A$1:$I$89,3,0)*VLOOKUP('Données projet'!$B$16,Paramètres!$A$1:$I$89,5,0)</f>
        <v>250.40808000000004</v>
      </c>
      <c r="FG94" s="14">
        <f t="shared" si="101"/>
        <v>60.67331674592576</v>
      </c>
      <c r="FH94" s="22">
        <f t="shared" si="76"/>
        <v>541.80009933248743</v>
      </c>
      <c r="FI94" s="60">
        <f t="shared" si="77"/>
        <v>835.13343266582069</v>
      </c>
      <c r="FJ94" s="60">
        <f ca="1">AVERAGE(OFFSET($FI$3,0,0,'Données projet'!$E$16+1,1))-AVERAGE(OFFSET($H$3,0,0,'Données projet'!$E$16+1,1))</f>
        <v>455.50822833641354</v>
      </c>
      <c r="FK94" s="60">
        <f t="shared" si="102"/>
        <v>261.14722581688039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 t="e">
        <f>N95*VLOOKUP('Données projet'!$B$9,Paramètres!$A$1:$I$89,3,0)*VLOOKUP('Données projet'!$B$9,Paramètres!$A$1:$I$89,5,0)</f>
        <v>#N/A</v>
      </c>
      <c r="P95" s="14" t="e">
        <f t="shared" si="87"/>
        <v>#N/A</v>
      </c>
      <c r="Q95" s="22" t="e">
        <f t="shared" si="54"/>
        <v>#N/A</v>
      </c>
      <c r="R95" s="60" t="e">
        <f t="shared" si="55"/>
        <v>#N/A</v>
      </c>
      <c r="S95" s="60" t="e">
        <f ca="1">AVERAGE(OFFSET($R$3,0,0,'Données projet'!$E$9+1,1))-AVERAGE(OFFSET($H$3,0,0,'Données projet'!$E$9+1,1))</f>
        <v>#N/A</v>
      </c>
      <c r="T95" s="60" t="e">
        <f t="shared" si="88"/>
        <v>#N/A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 t="e">
        <f>EXP(-LN(2)/35)*Z94+(1-EXP(-LN(2)/35))/(LN(2)/35)*V95*W95*VLOOKUP('Données projet'!$B$9,Paramètres!$A$1:$I$89,3,0)*0.475*44/12</f>
        <v>#N/A</v>
      </c>
      <c r="AA95" s="23" t="e">
        <f>EXP(-LN(2)/25)*AA94+(1-EXP(-LN(2)/25))/(LN(2)/25)*Calculateur!V95*Calculateur!X95*VLOOKUP('Données projet'!$B$9,Paramètres!$A$1:$I$89,3,0)*0.475*44/12</f>
        <v>#N/A</v>
      </c>
      <c r="AB95" s="23" t="e">
        <f>EXP(-LN(2)/2)*AB94+(1-EXP(-LN(2)/2))/(LN(2)/2)*V95*Y95*VLOOKUP('Données projet'!$B$9,Paramètres!$A$1:$I$89,3,0)*0.475*44/12</f>
        <v>#N/A</v>
      </c>
      <c r="AC95" s="24" t="e">
        <f t="shared" si="57"/>
        <v>#N/A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projet'!$B$10,Paramètres!$A$1:$I$89,3,0)*VLOOKUP('Données projet'!$B$10,Paramètres!$A$1:$I$89,5,0)</f>
        <v>1.9863364286720756E-13</v>
      </c>
      <c r="AK95" s="14">
        <f t="shared" si="89"/>
        <v>2.7549360720371426E-12</v>
      </c>
      <c r="AL95" s="22">
        <f t="shared" si="58"/>
        <v>5.144133920125077E-12</v>
      </c>
      <c r="AM95" s="60">
        <f t="shared" si="59"/>
        <v>293.33333333333843</v>
      </c>
      <c r="AN95" s="60">
        <f ca="1">AVERAGE(OFFSET($AM$3,0,0,'Données projet'!$E$10+1,1))-AVERAGE(OFFSET($H$3,0,0,'Données projet'!$E$10+1,1))</f>
        <v>325.06345339097095</v>
      </c>
      <c r="AO95" s="60">
        <f t="shared" si="90"/>
        <v>318.90379036810754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0" t="e">
        <f t="shared" si="62"/>
        <v>#N/A</v>
      </c>
      <c r="BI95" s="60" t="e">
        <f ca="1">AVERAGE(OFFSET($BH$3,0,0,'Données projet'!$E$11+1,1))-AVERAGE(OFFSET($H$3,0,0,'Données projet'!$E$11+1,1))</f>
        <v>#N/A</v>
      </c>
      <c r="BJ95" s="60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0" t="e">
        <f t="shared" si="65"/>
        <v>#N/A</v>
      </c>
      <c r="CD95" s="60" t="e">
        <f ca="1">AVERAGE(OFFSET($CC$3,0,0,'Données projet'!$E$12+1,1))-AVERAGE(OFFSET($H$3,0,0,'Données projet'!$E$12+1,1))</f>
        <v>#N/A</v>
      </c>
      <c r="CE95" s="60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230.45568000000003</v>
      </c>
      <c r="CV95" s="14">
        <f t="shared" si="95"/>
        <v>56.381198848277926</v>
      </c>
      <c r="CW95" s="22">
        <f t="shared" si="67"/>
        <v>499.57423066075074</v>
      </c>
      <c r="CX95" s="60">
        <f t="shared" si="68"/>
        <v>792.90756399408406</v>
      </c>
      <c r="CY95" s="60">
        <f ca="1">AVERAGE(OFFSET($CX$3,0,0,'Données projet'!$E$13+1,1))-AVERAGE(OFFSET($H$3,0,0,'Données projet'!$E$13+1,1))</f>
        <v>415.50509041799154</v>
      </c>
      <c r="CZ95" s="60">
        <f t="shared" si="96"/>
        <v>239.93573789765657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4.9000000000000004</v>
      </c>
      <c r="DO95" s="13">
        <f>IF('Données projet'!$A$166&gt;35,DO94+DN95-DW94,IF(A95&lt;'Données projet'!$A$166,$DL$205^A95,IF(A95='Données projet'!$A$166,'Données projet'!$B$166,DO94+DN95-DW94)))</f>
        <v>263.8</v>
      </c>
      <c r="DP95" s="18">
        <f>DO95*VLOOKUP('Données projet'!$B$14,Paramètres!$A$1:$I$89,3,0)*VLOOKUP('Données projet'!$B$14,Paramètres!$A$1:$I$89,5,0)</f>
        <v>267.49320000000006</v>
      </c>
      <c r="DQ95" s="14">
        <f t="shared" si="97"/>
        <v>64.316974590266341</v>
      </c>
      <c r="DR95" s="22">
        <f t="shared" si="70"/>
        <v>577.90272074471397</v>
      </c>
      <c r="DS95" s="60">
        <f t="shared" si="71"/>
        <v>871.23605407804735</v>
      </c>
      <c r="DT95" s="60">
        <f ca="1">AVERAGE(OFFSET($DS$3,0,0,'Données projet'!$E$14+1,1))-AVERAGE(OFFSET($H$3,0,0,'Données projet'!$E$14+1,1))</f>
        <v>475.47920969424894</v>
      </c>
      <c r="DU95" s="60">
        <f t="shared" si="98"/>
        <v>271.73544012419364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4.9000000000000004</v>
      </c>
      <c r="EJ95" s="13">
        <f>IF('Données projet'!$A$192&gt;35,EJ94+EI95-ER94,IF(A95&lt;'Données projet'!$A$192,$EG$205^A95,IF(A95='Données projet'!$A$192,'Données projet'!$B$192,EJ94+EI95-ER94)))</f>
        <v>263.8</v>
      </c>
      <c r="EK95" s="18">
        <f>EJ95*VLOOKUP('Données projet'!$B$15,Paramètres!$A$1:$I$89,3,0)*VLOOKUP('Données projet'!$B$15,Paramètres!$A$1:$I$89,5,0)</f>
        <v>238.68624</v>
      </c>
      <c r="EL95" s="14">
        <f t="shared" si="99"/>
        <v>58.156778382060871</v>
      </c>
      <c r="EM95" s="22">
        <f t="shared" si="73"/>
        <v>517.00159034875594</v>
      </c>
      <c r="EN95" s="60">
        <f t="shared" si="74"/>
        <v>810.33492368208931</v>
      </c>
      <c r="EO95" s="60">
        <f ca="1">AVERAGE(OFFSET($EN$3,0,0,'Données projet'!$E$15+1,1))-AVERAGE(OFFSET($H$3,0,0,'Données projet'!$E$15+1,1))</f>
        <v>428.8489304403459</v>
      </c>
      <c r="EP95" s="60">
        <f t="shared" si="100"/>
        <v>247.01165577562966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4.9000000000000004</v>
      </c>
      <c r="FE95" s="13">
        <f>IF('Données projet'!$A$218&gt;35,FE94+FD95-FM94,IF(A95&lt;'Données projet'!$A$218,$FB$205^A95,IF(A95='Données projet'!$A$218,'Données projet'!$B$218,FE94+FD95-FM94)))</f>
        <v>263.8</v>
      </c>
      <c r="FF95" s="18">
        <f>FE95*VLOOKUP('Données projet'!$B$16,Paramètres!$A$1:$I$89,3,0)*VLOOKUP('Données projet'!$B$16,Paramètres!$A$1:$I$89,5,0)</f>
        <v>255.14736000000002</v>
      </c>
      <c r="FG95" s="14">
        <f t="shared" si="101"/>
        <v>61.686859728645651</v>
      </c>
      <c r="FH95" s="22">
        <f t="shared" si="76"/>
        <v>551.81959936072451</v>
      </c>
      <c r="FI95" s="60">
        <f t="shared" si="77"/>
        <v>845.15293269405788</v>
      </c>
      <c r="FJ95" s="60">
        <f ca="1">AVERAGE(OFFSET($FI$3,0,0,'Données projet'!$E$16+1,1))-AVERAGE(OFFSET($H$3,0,0,'Données projet'!$E$16+1,1))</f>
        <v>455.50822833641354</v>
      </c>
      <c r="FK95" s="60">
        <f t="shared" si="102"/>
        <v>261.14722581688039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 t="e">
        <f>N96*VLOOKUP('Données projet'!$B$9,Paramètres!$A$1:$I$89,3,0)*VLOOKUP('Données projet'!$B$9,Paramètres!$A$1:$I$89,5,0)</f>
        <v>#N/A</v>
      </c>
      <c r="P96" s="14" t="e">
        <f t="shared" si="87"/>
        <v>#N/A</v>
      </c>
      <c r="Q96" s="22" t="e">
        <f t="shared" si="54"/>
        <v>#N/A</v>
      </c>
      <c r="R96" s="60" t="e">
        <f t="shared" si="55"/>
        <v>#N/A</v>
      </c>
      <c r="S96" s="60" t="e">
        <f ca="1">AVERAGE(OFFSET($R$3,0,0,'Données projet'!$E$9+1,1))-AVERAGE(OFFSET($H$3,0,0,'Données projet'!$E$9+1,1))</f>
        <v>#N/A</v>
      </c>
      <c r="T96" s="60" t="e">
        <f t="shared" si="88"/>
        <v>#N/A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 t="e">
        <f>EXP(-LN(2)/35)*Z95+(1-EXP(-LN(2)/35))/(LN(2)/35)*V96*W96*VLOOKUP('Données projet'!$B$9,Paramètres!$A$1:$I$89,3,0)*0.475*44/12</f>
        <v>#N/A</v>
      </c>
      <c r="AA96" s="23" t="e">
        <f>EXP(-LN(2)/25)*AA95+(1-EXP(-LN(2)/25))/(LN(2)/25)*Calculateur!V96*Calculateur!X96*VLOOKUP('Données projet'!$B$9,Paramètres!$A$1:$I$89,3,0)*0.475*44/12</f>
        <v>#N/A</v>
      </c>
      <c r="AB96" s="23" t="e">
        <f>EXP(-LN(2)/2)*AB95+(1-EXP(-LN(2)/2))/(LN(2)/2)*V96*Y96*VLOOKUP('Données projet'!$B$9,Paramètres!$A$1:$I$89,3,0)*0.475*44/12</f>
        <v>#N/A</v>
      </c>
      <c r="AC96" s="24" t="e">
        <f t="shared" si="57"/>
        <v>#N/A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projet'!$B$10,Paramètres!$A$1:$I$89,3,0)*VLOOKUP('Données projet'!$B$10,Paramètres!$A$1:$I$89,5,0)</f>
        <v>1.9863364286720756E-13</v>
      </c>
      <c r="AK96" s="14">
        <f t="shared" si="89"/>
        <v>2.7549360720371426E-12</v>
      </c>
      <c r="AL96" s="22">
        <f t="shared" si="58"/>
        <v>5.144133920125077E-12</v>
      </c>
      <c r="AM96" s="60">
        <f t="shared" si="59"/>
        <v>293.33333333333843</v>
      </c>
      <c r="AN96" s="60">
        <f ca="1">AVERAGE(OFFSET($AM$3,0,0,'Données projet'!$E$10+1,1))-AVERAGE(OFFSET($H$3,0,0,'Données projet'!$E$10+1,1))</f>
        <v>325.06345339097095</v>
      </c>
      <c r="AO96" s="60">
        <f t="shared" si="90"/>
        <v>318.90379036810754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0" t="e">
        <f t="shared" si="62"/>
        <v>#N/A</v>
      </c>
      <c r="BI96" s="60" t="e">
        <f ca="1">AVERAGE(OFFSET($BH$3,0,0,'Données projet'!$E$11+1,1))-AVERAGE(OFFSET($H$3,0,0,'Données projet'!$E$11+1,1))</f>
        <v>#N/A</v>
      </c>
      <c r="BJ96" s="60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0" t="e">
        <f t="shared" si="65"/>
        <v>#N/A</v>
      </c>
      <c r="CD96" s="60" t="e">
        <f ca="1">AVERAGE(OFFSET($CC$3,0,0,'Données projet'!$E$12+1,1))-AVERAGE(OFFSET($H$3,0,0,'Données projet'!$E$12+1,1))</f>
        <v>#N/A</v>
      </c>
      <c r="CE96" s="60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234.73632000000003</v>
      </c>
      <c r="CV96" s="14">
        <f t="shared" si="95"/>
        <v>57.305566572497028</v>
      </c>
      <c r="CW96" s="22">
        <f t="shared" si="67"/>
        <v>508.63961911376572</v>
      </c>
      <c r="CX96" s="60">
        <f t="shared" si="68"/>
        <v>801.97295244709903</v>
      </c>
      <c r="CY96" s="60">
        <f ca="1">AVERAGE(OFFSET($CX$3,0,0,'Données projet'!$E$13+1,1))-AVERAGE(OFFSET($H$3,0,0,'Données projet'!$E$13+1,1))</f>
        <v>415.50509041799154</v>
      </c>
      <c r="CZ96" s="60">
        <f t="shared" si="96"/>
        <v>239.93573789765657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4.9000000000000004</v>
      </c>
      <c r="DO96" s="13">
        <f>IF('Données projet'!$A$166&gt;35,DO95+DN96-DW95,IF(A96&lt;'Données projet'!$A$166,$DL$205^A96,IF(A96='Données projet'!$A$166,'Données projet'!$B$166,DO95+DN96-DW95)))</f>
        <v>268.7</v>
      </c>
      <c r="DP96" s="18">
        <f>DO96*VLOOKUP('Données projet'!$B$14,Paramètres!$A$1:$I$89,3,0)*VLOOKUP('Données projet'!$B$14,Paramètres!$A$1:$I$89,5,0)</f>
        <v>272.46180000000004</v>
      </c>
      <c r="DQ96" s="14">
        <f t="shared" si="97"/>
        <v>65.371449071921944</v>
      </c>
      <c r="DR96" s="22">
        <f t="shared" si="70"/>
        <v>588.39290880026408</v>
      </c>
      <c r="DS96" s="60">
        <f t="shared" si="71"/>
        <v>881.72624213359745</v>
      </c>
      <c r="DT96" s="60">
        <f ca="1">AVERAGE(OFFSET($DS$3,0,0,'Données projet'!$E$14+1,1))-AVERAGE(OFFSET($H$3,0,0,'Données projet'!$E$14+1,1))</f>
        <v>475.47920969424894</v>
      </c>
      <c r="DU96" s="60">
        <f t="shared" si="98"/>
        <v>271.73544012419364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4.9000000000000004</v>
      </c>
      <c r="EJ96" s="13">
        <f>IF('Données projet'!$A$192&gt;35,EJ95+EI96-ER95,IF(A96&lt;'Données projet'!$A$192,$EG$205^A96,IF(A96='Données projet'!$A$192,'Données projet'!$B$192,EJ95+EI96-ER95)))</f>
        <v>268.7</v>
      </c>
      <c r="EK96" s="18">
        <f>EJ96*VLOOKUP('Données projet'!$B$15,Paramètres!$A$1:$I$89,3,0)*VLOOKUP('Données projet'!$B$15,Paramètres!$A$1:$I$89,5,0)</f>
        <v>243.11975999999996</v>
      </c>
      <c r="EL96" s="14">
        <f t="shared" si="99"/>
        <v>59.110256668778533</v>
      </c>
      <c r="EM96" s="22">
        <f t="shared" si="73"/>
        <v>526.3839456981226</v>
      </c>
      <c r="EN96" s="60">
        <f t="shared" si="74"/>
        <v>819.71727903145597</v>
      </c>
      <c r="EO96" s="60">
        <f ca="1">AVERAGE(OFFSET($EN$3,0,0,'Données projet'!$E$15+1,1))-AVERAGE(OFFSET($H$3,0,0,'Données projet'!$E$15+1,1))</f>
        <v>428.8489304403459</v>
      </c>
      <c r="EP96" s="60">
        <f t="shared" si="100"/>
        <v>247.01165577562966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4.9000000000000004</v>
      </c>
      <c r="FE96" s="13">
        <f>IF('Données projet'!$A$218&gt;35,FE95+FD96-FM95,IF(A96&lt;'Données projet'!$A$218,$FB$205^A96,IF(A96='Données projet'!$A$218,'Données projet'!$B$218,FE95+FD96-FM95)))</f>
        <v>268.7</v>
      </c>
      <c r="FF96" s="18">
        <f>FE96*VLOOKUP('Données projet'!$B$16,Paramètres!$A$1:$I$89,3,0)*VLOOKUP('Données projet'!$B$16,Paramètres!$A$1:$I$89,5,0)</f>
        <v>259.88664</v>
      </c>
      <c r="FG96" s="14">
        <f t="shared" si="101"/>
        <v>62.698213571884004</v>
      </c>
      <c r="FH96" s="22">
        <f t="shared" si="76"/>
        <v>561.835286637698</v>
      </c>
      <c r="FI96" s="60">
        <f t="shared" si="77"/>
        <v>855.16861997103138</v>
      </c>
      <c r="FJ96" s="60">
        <f ca="1">AVERAGE(OFFSET($FI$3,0,0,'Données projet'!$E$16+1,1))-AVERAGE(OFFSET($H$3,0,0,'Données projet'!$E$16+1,1))</f>
        <v>455.50822833641354</v>
      </c>
      <c r="FK96" s="60">
        <f t="shared" si="102"/>
        <v>261.14722581688039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 t="e">
        <f>N97*VLOOKUP('Données projet'!$B$9,Paramètres!$A$1:$I$89,3,0)*VLOOKUP('Données projet'!$B$9,Paramètres!$A$1:$I$89,5,0)</f>
        <v>#N/A</v>
      </c>
      <c r="P97" s="14" t="e">
        <f t="shared" si="87"/>
        <v>#N/A</v>
      </c>
      <c r="Q97" s="22" t="e">
        <f t="shared" si="54"/>
        <v>#N/A</v>
      </c>
      <c r="R97" s="60" t="e">
        <f t="shared" si="55"/>
        <v>#N/A</v>
      </c>
      <c r="S97" s="60" t="e">
        <f ca="1">AVERAGE(OFFSET($R$3,0,0,'Données projet'!$E$9+1,1))-AVERAGE(OFFSET($H$3,0,0,'Données projet'!$E$9+1,1))</f>
        <v>#N/A</v>
      </c>
      <c r="T97" s="60" t="e">
        <f t="shared" si="88"/>
        <v>#N/A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 t="e">
        <f>EXP(-LN(2)/35)*Z96+(1-EXP(-LN(2)/35))/(LN(2)/35)*V97*W97*VLOOKUP('Données projet'!$B$9,Paramètres!$A$1:$I$89,3,0)*0.475*44/12</f>
        <v>#N/A</v>
      </c>
      <c r="AA97" s="23" t="e">
        <f>EXP(-LN(2)/25)*AA96+(1-EXP(-LN(2)/25))/(LN(2)/25)*Calculateur!V97*Calculateur!X97*VLOOKUP('Données projet'!$B$9,Paramètres!$A$1:$I$89,3,0)*0.475*44/12</f>
        <v>#N/A</v>
      </c>
      <c r="AB97" s="23" t="e">
        <f>EXP(-LN(2)/2)*AB96+(1-EXP(-LN(2)/2))/(LN(2)/2)*V97*Y97*VLOOKUP('Données projet'!$B$9,Paramètres!$A$1:$I$89,3,0)*0.475*44/12</f>
        <v>#N/A</v>
      </c>
      <c r="AC97" s="24" t="e">
        <f t="shared" si="57"/>
        <v>#N/A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projet'!$B$10,Paramètres!$A$1:$I$89,3,0)*VLOOKUP('Données projet'!$B$10,Paramètres!$A$1:$I$89,5,0)</f>
        <v>1.9863364286720756E-13</v>
      </c>
      <c r="AK97" s="14">
        <f t="shared" si="89"/>
        <v>2.7549360720371426E-12</v>
      </c>
      <c r="AL97" s="22">
        <f t="shared" si="58"/>
        <v>5.144133920125077E-12</v>
      </c>
      <c r="AM97" s="60">
        <f t="shared" si="59"/>
        <v>293.33333333333843</v>
      </c>
      <c r="AN97" s="60">
        <f ca="1">AVERAGE(OFFSET($AM$3,0,0,'Données projet'!$E$10+1,1))-AVERAGE(OFFSET($H$3,0,0,'Données projet'!$E$10+1,1))</f>
        <v>325.06345339097095</v>
      </c>
      <c r="AO97" s="60">
        <f t="shared" si="90"/>
        <v>318.90379036810754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0" t="e">
        <f t="shared" si="62"/>
        <v>#N/A</v>
      </c>
      <c r="BI97" s="60" t="e">
        <f ca="1">AVERAGE(OFFSET($BH$3,0,0,'Données projet'!$E$11+1,1))-AVERAGE(OFFSET($H$3,0,0,'Données projet'!$E$11+1,1))</f>
        <v>#N/A</v>
      </c>
      <c r="BJ97" s="60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0" t="e">
        <f t="shared" si="65"/>
        <v>#N/A</v>
      </c>
      <c r="CD97" s="60" t="e">
        <f ca="1">AVERAGE(OFFSET($CC$3,0,0,'Données projet'!$E$12+1,1))-AVERAGE(OFFSET($H$3,0,0,'Données projet'!$E$12+1,1))</f>
        <v>#N/A</v>
      </c>
      <c r="CE97" s="60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239.01696000000001</v>
      </c>
      <c r="CV97" s="14">
        <f t="shared" si="95"/>
        <v>58.22797414013467</v>
      </c>
      <c r="CW97" s="22">
        <f t="shared" si="67"/>
        <v>517.70159362740117</v>
      </c>
      <c r="CX97" s="60">
        <f t="shared" si="68"/>
        <v>811.03492696073454</v>
      </c>
      <c r="CY97" s="60">
        <f ca="1">AVERAGE(OFFSET($CX$3,0,0,'Données projet'!$E$13+1,1))-AVERAGE(OFFSET($H$3,0,0,'Données projet'!$E$13+1,1))</f>
        <v>415.50509041799154</v>
      </c>
      <c r="CZ97" s="60">
        <f t="shared" si="96"/>
        <v>239.93573789765657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4.9000000000000004</v>
      </c>
      <c r="DO97" s="13">
        <f>IF('Données projet'!$A$166&gt;35,DO96+DN97-DW96,IF(A97&lt;'Données projet'!$A$166,$DL$205^A97,IF(A97='Données projet'!$A$166,'Données projet'!$B$166,DO96+DN97-DW96)))</f>
        <v>273.59999999999997</v>
      </c>
      <c r="DP97" s="18">
        <f>DO97*VLOOKUP('Données projet'!$B$14,Paramètres!$A$1:$I$89,3,0)*VLOOKUP('Données projet'!$B$14,Paramètres!$A$1:$I$89,5,0)</f>
        <v>277.43039999999996</v>
      </c>
      <c r="DQ97" s="14">
        <f t="shared" si="97"/>
        <v>66.423687500715673</v>
      </c>
      <c r="DR97" s="22">
        <f t="shared" si="70"/>
        <v>598.87920239707967</v>
      </c>
      <c r="DS97" s="60">
        <f t="shared" si="71"/>
        <v>892.21253573041304</v>
      </c>
      <c r="DT97" s="60">
        <f ca="1">AVERAGE(OFFSET($DS$3,0,0,'Données projet'!$E$14+1,1))-AVERAGE(OFFSET($H$3,0,0,'Données projet'!$E$14+1,1))</f>
        <v>475.47920969424894</v>
      </c>
      <c r="DU97" s="60">
        <f t="shared" si="98"/>
        <v>271.73544012419364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4.9000000000000004</v>
      </c>
      <c r="EJ97" s="13">
        <f>IF('Données projet'!$A$192&gt;35,EJ96+EI97-ER96,IF(A97&lt;'Données projet'!$A$192,$EG$205^A97,IF(A97='Données projet'!$A$192,'Données projet'!$B$192,EJ96+EI97-ER96)))</f>
        <v>273.59999999999997</v>
      </c>
      <c r="EK97" s="18">
        <f>EJ97*VLOOKUP('Données projet'!$B$15,Paramètres!$A$1:$I$89,3,0)*VLOOKUP('Données projet'!$B$15,Paramètres!$A$1:$I$89,5,0)</f>
        <v>247.55327999999994</v>
      </c>
      <c r="EL97" s="14">
        <f t="shared" si="99"/>
        <v>60.061713068870255</v>
      </c>
      <c r="EM97" s="22">
        <f t="shared" si="73"/>
        <v>535.76277959494894</v>
      </c>
      <c r="EN97" s="60">
        <f t="shared" si="74"/>
        <v>829.09611292828231</v>
      </c>
      <c r="EO97" s="60">
        <f ca="1">AVERAGE(OFFSET($EN$3,0,0,'Données projet'!$E$15+1,1))-AVERAGE(OFFSET($H$3,0,0,'Données projet'!$E$15+1,1))</f>
        <v>428.8489304403459</v>
      </c>
      <c r="EP97" s="60">
        <f t="shared" si="100"/>
        <v>247.01165577562966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4.9000000000000004</v>
      </c>
      <c r="FE97" s="13">
        <f>IF('Données projet'!$A$218&gt;35,FE96+FD97-FM96,IF(A97&lt;'Données projet'!$A$218,$FB$205^A97,IF(A97='Données projet'!$A$218,'Données projet'!$B$218,FE96+FD97-FM96)))</f>
        <v>273.59999999999997</v>
      </c>
      <c r="FF97" s="18">
        <f>FE97*VLOOKUP('Données projet'!$B$16,Paramètres!$A$1:$I$89,3,0)*VLOOKUP('Données projet'!$B$16,Paramètres!$A$1:$I$89,5,0)</f>
        <v>264.62591999999995</v>
      </c>
      <c r="FG97" s="14">
        <f t="shared" si="101"/>
        <v>63.707422801198604</v>
      </c>
      <c r="FH97" s="22">
        <f t="shared" si="76"/>
        <v>571.84723871208746</v>
      </c>
      <c r="FI97" s="60">
        <f t="shared" si="77"/>
        <v>865.18057204542083</v>
      </c>
      <c r="FJ97" s="60">
        <f ca="1">AVERAGE(OFFSET($FI$3,0,0,'Données projet'!$E$16+1,1))-AVERAGE(OFFSET($H$3,0,0,'Données projet'!$E$16+1,1))</f>
        <v>455.50822833641354</v>
      </c>
      <c r="FK97" s="60">
        <f t="shared" si="102"/>
        <v>261.14722581688039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 t="e">
        <f>N98*VLOOKUP('Données projet'!$B$9,Paramètres!$A$1:$I$89,3,0)*VLOOKUP('Données projet'!$B$9,Paramètres!$A$1:$I$89,5,0)</f>
        <v>#N/A</v>
      </c>
      <c r="P98" s="14" t="e">
        <f t="shared" si="87"/>
        <v>#N/A</v>
      </c>
      <c r="Q98" s="22" t="e">
        <f t="shared" si="54"/>
        <v>#N/A</v>
      </c>
      <c r="R98" s="60" t="e">
        <f t="shared" si="55"/>
        <v>#N/A</v>
      </c>
      <c r="S98" s="60" t="e">
        <f ca="1">AVERAGE(OFFSET($R$3,0,0,'Données projet'!$E$9+1,1))-AVERAGE(OFFSET($H$3,0,0,'Données projet'!$E$9+1,1))</f>
        <v>#N/A</v>
      </c>
      <c r="T98" s="60" t="e">
        <f t="shared" si="88"/>
        <v>#N/A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 t="e">
        <f>EXP(-LN(2)/35)*Z97+(1-EXP(-LN(2)/35))/(LN(2)/35)*V98*W98*VLOOKUP('Données projet'!$B$9,Paramètres!$A$1:$I$89,3,0)*0.475*44/12</f>
        <v>#N/A</v>
      </c>
      <c r="AA98" s="23" t="e">
        <f>EXP(-LN(2)/25)*AA97+(1-EXP(-LN(2)/25))/(LN(2)/25)*Calculateur!V98*Calculateur!X98*VLOOKUP('Données projet'!$B$9,Paramètres!$A$1:$I$89,3,0)*0.475*44/12</f>
        <v>#N/A</v>
      </c>
      <c r="AB98" s="23" t="e">
        <f>EXP(-LN(2)/2)*AB97+(1-EXP(-LN(2)/2))/(LN(2)/2)*V98*Y98*VLOOKUP('Données projet'!$B$9,Paramètres!$A$1:$I$89,3,0)*0.475*44/12</f>
        <v>#N/A</v>
      </c>
      <c r="AC98" s="24" t="e">
        <f t="shared" si="57"/>
        <v>#N/A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projet'!$B$10,Paramètres!$A$1:$I$89,3,0)*VLOOKUP('Données projet'!$B$10,Paramètres!$A$1:$I$89,5,0)</f>
        <v>1.9863364286720756E-13</v>
      </c>
      <c r="AK98" s="14">
        <f t="shared" si="89"/>
        <v>2.7549360720371426E-12</v>
      </c>
      <c r="AL98" s="22">
        <f t="shared" si="58"/>
        <v>5.144133920125077E-12</v>
      </c>
      <c r="AM98" s="60">
        <f t="shared" si="59"/>
        <v>293.33333333333843</v>
      </c>
      <c r="AN98" s="60">
        <f ca="1">AVERAGE(OFFSET($AM$3,0,0,'Données projet'!$E$10+1,1))-AVERAGE(OFFSET($H$3,0,0,'Données projet'!$E$10+1,1))</f>
        <v>325.06345339097095</v>
      </c>
      <c r="AO98" s="60">
        <f t="shared" si="90"/>
        <v>318.90379036810754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0" t="e">
        <f t="shared" si="62"/>
        <v>#N/A</v>
      </c>
      <c r="BI98" s="60" t="e">
        <f ca="1">AVERAGE(OFFSET($BH$3,0,0,'Données projet'!$E$11+1,1))-AVERAGE(OFFSET($H$3,0,0,'Données projet'!$E$11+1,1))</f>
        <v>#N/A</v>
      </c>
      <c r="BJ98" s="60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0" t="e">
        <f t="shared" si="65"/>
        <v>#N/A</v>
      </c>
      <c r="CD98" s="60" t="e">
        <f ca="1">AVERAGE(OFFSET($CC$3,0,0,'Données projet'!$E$12+1,1))-AVERAGE(OFFSET($H$3,0,0,'Données projet'!$E$12+1,1))</f>
        <v>#N/A</v>
      </c>
      <c r="CE98" s="60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243.29759999999999</v>
      </c>
      <c r="CV98" s="14">
        <f t="shared" si="95"/>
        <v>59.148460705971544</v>
      </c>
      <c r="CW98" s="22">
        <f t="shared" si="67"/>
        <v>526.76022239623364</v>
      </c>
      <c r="CX98" s="60">
        <f t="shared" si="68"/>
        <v>820.09355572956702</v>
      </c>
      <c r="CY98" s="60">
        <f ca="1">AVERAGE(OFFSET($CX$3,0,0,'Données projet'!$E$13+1,1))-AVERAGE(OFFSET($H$3,0,0,'Données projet'!$E$13+1,1))</f>
        <v>415.50509041799154</v>
      </c>
      <c r="CZ98" s="60">
        <f t="shared" si="96"/>
        <v>239.93573789765657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4.9000000000000004</v>
      </c>
      <c r="DO98" s="13">
        <f>IF('Données projet'!$A$166&gt;35,DO97+DN98-DW97,IF(A98&lt;'Données projet'!$A$166,$DL$205^A98,IF(A98='Données projet'!$A$166,'Données projet'!$B$166,DO97+DN98-DW97)))</f>
        <v>278.49999999999994</v>
      </c>
      <c r="DP98" s="18">
        <f>DO98*VLOOKUP('Données projet'!$B$14,Paramètres!$A$1:$I$89,3,0)*VLOOKUP('Données projet'!$B$14,Paramètres!$A$1:$I$89,5,0)</f>
        <v>282.399</v>
      </c>
      <c r="DQ98" s="14">
        <f t="shared" si="97"/>
        <v>67.473734542548371</v>
      </c>
      <c r="DR98" s="22">
        <f t="shared" si="70"/>
        <v>609.36167932827175</v>
      </c>
      <c r="DS98" s="60">
        <f t="shared" si="71"/>
        <v>902.69501266160501</v>
      </c>
      <c r="DT98" s="60">
        <f ca="1">AVERAGE(OFFSET($DS$3,0,0,'Données projet'!$E$14+1,1))-AVERAGE(OFFSET($H$3,0,0,'Données projet'!$E$14+1,1))</f>
        <v>475.47920969424894</v>
      </c>
      <c r="DU98" s="60">
        <f t="shared" si="98"/>
        <v>271.73544012419364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4.9000000000000004</v>
      </c>
      <c r="EJ98" s="13">
        <f>IF('Données projet'!$A$192&gt;35,EJ97+EI98-ER97,IF(A98&lt;'Données projet'!$A$192,$EG$205^A98,IF(A98='Données projet'!$A$192,'Données projet'!$B$192,EJ97+EI98-ER97)))</f>
        <v>278.49999999999994</v>
      </c>
      <c r="EK98" s="18">
        <f>EJ98*VLOOKUP('Données projet'!$B$15,Paramètres!$A$1:$I$89,3,0)*VLOOKUP('Données projet'!$B$15,Paramètres!$A$1:$I$89,5,0)</f>
        <v>251.98679999999993</v>
      </c>
      <c r="EL98" s="14">
        <f t="shared" si="99"/>
        <v>61.011187970195053</v>
      </c>
      <c r="EM98" s="22">
        <f t="shared" si="73"/>
        <v>545.13816238142283</v>
      </c>
      <c r="EN98" s="60">
        <f t="shared" si="74"/>
        <v>838.4714957147562</v>
      </c>
      <c r="EO98" s="60">
        <f ca="1">AVERAGE(OFFSET($EN$3,0,0,'Données projet'!$E$15+1,1))-AVERAGE(OFFSET($H$3,0,0,'Données projet'!$E$15+1,1))</f>
        <v>428.8489304403459</v>
      </c>
      <c r="EP98" s="60">
        <f t="shared" si="100"/>
        <v>247.01165577562966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4.9000000000000004</v>
      </c>
      <c r="FE98" s="13">
        <f>IF('Données projet'!$A$218&gt;35,FE97+FD98-FM97,IF(A98&lt;'Données projet'!$A$218,$FB$205^A98,IF(A98='Données projet'!$A$218,'Données projet'!$B$218,FE97+FD98-FM97)))</f>
        <v>278.49999999999994</v>
      </c>
      <c r="FF98" s="18">
        <f>FE98*VLOOKUP('Données projet'!$B$16,Paramètres!$A$1:$I$89,3,0)*VLOOKUP('Données projet'!$B$16,Paramètres!$A$1:$I$89,5,0)</f>
        <v>269.36519999999996</v>
      </c>
      <c r="FG98" s="14">
        <f t="shared" si="101"/>
        <v>64.714530255967034</v>
      </c>
      <c r="FH98" s="22">
        <f t="shared" si="76"/>
        <v>581.85553019580914</v>
      </c>
      <c r="FI98" s="60">
        <f t="shared" si="77"/>
        <v>875.18886352914251</v>
      </c>
      <c r="FJ98" s="60">
        <f ca="1">AVERAGE(OFFSET($FI$3,0,0,'Données projet'!$E$16+1,1))-AVERAGE(OFFSET($H$3,0,0,'Données projet'!$E$16+1,1))</f>
        <v>455.50822833641354</v>
      </c>
      <c r="FK98" s="60">
        <f t="shared" si="102"/>
        <v>261.14722581688039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 t="e">
        <f>N99*VLOOKUP('Données projet'!$B$9,Paramètres!$A$1:$I$89,3,0)*VLOOKUP('Données projet'!$B$9,Paramètres!$A$1:$I$89,5,0)</f>
        <v>#N/A</v>
      </c>
      <c r="P99" s="14" t="e">
        <f t="shared" si="87"/>
        <v>#N/A</v>
      </c>
      <c r="Q99" s="22" t="e">
        <f t="shared" ref="Q99:Q130" si="107">(O99+P99)*0.475*44/12</f>
        <v>#N/A</v>
      </c>
      <c r="R99" s="60" t="e">
        <f t="shared" si="55"/>
        <v>#N/A</v>
      </c>
      <c r="S99" s="60" t="e">
        <f ca="1">AVERAGE(OFFSET($R$3,0,0,'Données projet'!$E$9+1,1))-AVERAGE(OFFSET($H$3,0,0,'Données projet'!$E$9+1,1))</f>
        <v>#N/A</v>
      </c>
      <c r="T99" s="60" t="e">
        <f t="shared" si="88"/>
        <v>#N/A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 t="e">
        <f>EXP(-LN(2)/35)*Z98+(1-EXP(-LN(2)/35))/(LN(2)/35)*V99*W99*VLOOKUP('Données projet'!$B$9,Paramètres!$A$1:$I$89,3,0)*0.475*44/12</f>
        <v>#N/A</v>
      </c>
      <c r="AA99" s="23" t="e">
        <f>EXP(-LN(2)/25)*AA98+(1-EXP(-LN(2)/25))/(LN(2)/25)*Calculateur!V99*Calculateur!X99*VLOOKUP('Données projet'!$B$9,Paramètres!$A$1:$I$89,3,0)*0.475*44/12</f>
        <v>#N/A</v>
      </c>
      <c r="AB99" s="23" t="e">
        <f>EXP(-LN(2)/2)*AB98+(1-EXP(-LN(2)/2))/(LN(2)/2)*V99*Y99*VLOOKUP('Données projet'!$B$9,Paramètres!$A$1:$I$89,3,0)*0.475*44/12</f>
        <v>#N/A</v>
      </c>
      <c r="AC99" s="24" t="e">
        <f t="shared" si="57"/>
        <v>#N/A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projet'!$B$10,Paramètres!$A$1:$I$89,3,0)*VLOOKUP('Données projet'!$B$10,Paramètres!$A$1:$I$89,5,0)</f>
        <v>1.9863364286720756E-13</v>
      </c>
      <c r="AK99" s="14">
        <f t="shared" si="89"/>
        <v>2.7549360720371426E-12</v>
      </c>
      <c r="AL99" s="22">
        <f t="shared" si="58"/>
        <v>5.144133920125077E-12</v>
      </c>
      <c r="AM99" s="60">
        <f t="shared" si="59"/>
        <v>293.33333333333843</v>
      </c>
      <c r="AN99" s="60">
        <f ca="1">AVERAGE(OFFSET($AM$3,0,0,'Données projet'!$E$10+1,1))-AVERAGE(OFFSET($H$3,0,0,'Données projet'!$E$10+1,1))</f>
        <v>325.06345339097095</v>
      </c>
      <c r="AO99" s="60">
        <f t="shared" si="90"/>
        <v>318.90379036810754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0" t="e">
        <f t="shared" si="62"/>
        <v>#N/A</v>
      </c>
      <c r="BI99" s="60" t="e">
        <f ca="1">AVERAGE(OFFSET($BH$3,0,0,'Données projet'!$E$11+1,1))-AVERAGE(OFFSET($H$3,0,0,'Données projet'!$E$11+1,1))</f>
        <v>#N/A</v>
      </c>
      <c r="BJ99" s="60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0" t="e">
        <f t="shared" si="65"/>
        <v>#N/A</v>
      </c>
      <c r="CD99" s="60" t="e">
        <f ca="1">AVERAGE(OFFSET($CC$3,0,0,'Données projet'!$E$12+1,1))-AVERAGE(OFFSET($H$3,0,0,'Données projet'!$E$12+1,1))</f>
        <v>#N/A</v>
      </c>
      <c r="CE99" s="60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247.57823999999997</v>
      </c>
      <c r="CV99" s="14">
        <f t="shared" si="95"/>
        <v>60.067063968069192</v>
      </c>
      <c r="CW99" s="22">
        <f t="shared" si="67"/>
        <v>535.81557107772039</v>
      </c>
      <c r="CX99" s="60">
        <f t="shared" si="68"/>
        <v>829.14890441105376</v>
      </c>
      <c r="CY99" s="60">
        <f ca="1">AVERAGE(OFFSET($CX$3,0,0,'Données projet'!$E$13+1,1))-AVERAGE(OFFSET($H$3,0,0,'Données projet'!$E$13+1,1))</f>
        <v>415.50509041799154</v>
      </c>
      <c r="CZ99" s="60">
        <f t="shared" si="96"/>
        <v>239.93573789765657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4.9000000000000004</v>
      </c>
      <c r="DO99" s="13">
        <f>IF('Données projet'!$A$166&gt;35,DO98+DN99-DW98,IF(A99&lt;'Données projet'!$A$166,$DL$205^A99,IF(A99='Données projet'!$A$166,'Données projet'!$B$166,DO98+DN99-DW98)))</f>
        <v>283.39999999999992</v>
      </c>
      <c r="DP99" s="18">
        <f>DO99*VLOOKUP('Données projet'!$B$14,Paramètres!$A$1:$I$89,3,0)*VLOOKUP('Données projet'!$B$14,Paramètres!$A$1:$I$89,5,0)</f>
        <v>287.36759999999992</v>
      </c>
      <c r="DQ99" s="14">
        <f t="shared" si="97"/>
        <v>68.521633201565123</v>
      </c>
      <c r="DR99" s="22">
        <f t="shared" si="70"/>
        <v>619.84041449272581</v>
      </c>
      <c r="DS99" s="60">
        <f t="shared" si="71"/>
        <v>913.17374782605907</v>
      </c>
      <c r="DT99" s="60">
        <f ca="1">AVERAGE(OFFSET($DS$3,0,0,'Données projet'!$E$14+1,1))-AVERAGE(OFFSET($H$3,0,0,'Données projet'!$E$14+1,1))</f>
        <v>475.47920969424894</v>
      </c>
      <c r="DU99" s="60">
        <f t="shared" si="98"/>
        <v>271.73544012419364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4.9000000000000004</v>
      </c>
      <c r="EJ99" s="13">
        <f>IF('Données projet'!$A$192&gt;35,EJ98+EI99-ER98,IF(A99&lt;'Données projet'!$A$192,$EG$205^A99,IF(A99='Données projet'!$A$192,'Données projet'!$B$192,EJ98+EI99-ER98)))</f>
        <v>283.39999999999992</v>
      </c>
      <c r="EK99" s="18">
        <f>EJ99*VLOOKUP('Données projet'!$B$15,Paramètres!$A$1:$I$89,3,0)*VLOOKUP('Données projet'!$B$15,Paramètres!$A$1:$I$89,5,0)</f>
        <v>256.42031999999989</v>
      </c>
      <c r="EL99" s="14">
        <f t="shared" si="99"/>
        <v>61.958720258016918</v>
      </c>
      <c r="EM99" s="22">
        <f t="shared" si="73"/>
        <v>554.51016178271254</v>
      </c>
      <c r="EN99" s="60">
        <f t="shared" si="74"/>
        <v>847.84349511604591</v>
      </c>
      <c r="EO99" s="60">
        <f ca="1">AVERAGE(OFFSET($EN$3,0,0,'Données projet'!$E$15+1,1))-AVERAGE(OFFSET($H$3,0,0,'Données projet'!$E$15+1,1))</f>
        <v>428.8489304403459</v>
      </c>
      <c r="EP99" s="60">
        <f t="shared" si="100"/>
        <v>247.01165577562966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4.9000000000000004</v>
      </c>
      <c r="FE99" s="13">
        <f>IF('Données projet'!$A$218&gt;35,FE98+FD99-FM98,IF(A99&lt;'Données projet'!$A$218,$FB$205^A99,IF(A99='Données projet'!$A$218,'Données projet'!$B$218,FE98+FD99-FM98)))</f>
        <v>283.39999999999992</v>
      </c>
      <c r="FF99" s="18">
        <f>FE99*VLOOKUP('Données projet'!$B$16,Paramètres!$A$1:$I$89,3,0)*VLOOKUP('Données projet'!$B$16,Paramètres!$A$1:$I$89,5,0)</f>
        <v>274.10447999999991</v>
      </c>
      <c r="FG99" s="14">
        <f t="shared" si="101"/>
        <v>65.719577181765516</v>
      </c>
      <c r="FH99" s="22">
        <f t="shared" si="76"/>
        <v>591.86023292490802</v>
      </c>
      <c r="FI99" s="60">
        <f t="shared" si="77"/>
        <v>885.19356625824139</v>
      </c>
      <c r="FJ99" s="60">
        <f ca="1">AVERAGE(OFFSET($FI$3,0,0,'Données projet'!$E$16+1,1))-AVERAGE(OFFSET($H$3,0,0,'Données projet'!$E$16+1,1))</f>
        <v>455.50822833641354</v>
      </c>
      <c r="FK99" s="60">
        <f t="shared" si="102"/>
        <v>261.14722581688039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 t="e">
        <f>N100*VLOOKUP('Données projet'!$B$9,Paramètres!$A$1:$I$89,3,0)*VLOOKUP('Données projet'!$B$9,Paramètres!$A$1:$I$89,5,0)</f>
        <v>#N/A</v>
      </c>
      <c r="P100" s="14" t="e">
        <f t="shared" si="87"/>
        <v>#N/A</v>
      </c>
      <c r="Q100" s="22" t="e">
        <f t="shared" si="107"/>
        <v>#N/A</v>
      </c>
      <c r="R100" s="60" t="e">
        <f t="shared" si="55"/>
        <v>#N/A</v>
      </c>
      <c r="S100" s="60" t="e">
        <f ca="1">AVERAGE(OFFSET($R$3,0,0,'Données projet'!$E$9+1,1))-AVERAGE(OFFSET($H$3,0,0,'Données projet'!$E$9+1,1))</f>
        <v>#N/A</v>
      </c>
      <c r="T100" s="60" t="e">
        <f t="shared" si="88"/>
        <v>#N/A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 t="e">
        <f>EXP(-LN(2)/35)*Z99+(1-EXP(-LN(2)/35))/(LN(2)/35)*V100*W100*VLOOKUP('Données projet'!$B$9,Paramètres!$A$1:$I$89,3,0)*0.475*44/12</f>
        <v>#N/A</v>
      </c>
      <c r="AA100" s="23" t="e">
        <f>EXP(-LN(2)/25)*AA99+(1-EXP(-LN(2)/25))/(LN(2)/25)*Calculateur!V100*Calculateur!X100*VLOOKUP('Données projet'!$B$9,Paramètres!$A$1:$I$89,3,0)*0.475*44/12</f>
        <v>#N/A</v>
      </c>
      <c r="AB100" s="23" t="e">
        <f>EXP(-LN(2)/2)*AB99+(1-EXP(-LN(2)/2))/(LN(2)/2)*V100*Y100*VLOOKUP('Données projet'!$B$9,Paramètres!$A$1:$I$89,3,0)*0.475*44/12</f>
        <v>#N/A</v>
      </c>
      <c r="AC100" s="24" t="e">
        <f t="shared" si="57"/>
        <v>#N/A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projet'!$B$10,Paramètres!$A$1:$I$89,3,0)*VLOOKUP('Données projet'!$B$10,Paramètres!$A$1:$I$89,5,0)</f>
        <v>1.9863364286720756E-13</v>
      </c>
      <c r="AK100" s="14">
        <f t="shared" si="89"/>
        <v>2.7549360720371426E-12</v>
      </c>
      <c r="AL100" s="22">
        <f t="shared" si="58"/>
        <v>5.144133920125077E-12</v>
      </c>
      <c r="AM100" s="60">
        <f t="shared" si="59"/>
        <v>293.33333333333843</v>
      </c>
      <c r="AN100" s="60">
        <f ca="1">AVERAGE(OFFSET($AM$3,0,0,'Données projet'!$E$10+1,1))-AVERAGE(OFFSET($H$3,0,0,'Données projet'!$E$10+1,1))</f>
        <v>325.06345339097095</v>
      </c>
      <c r="AO100" s="60">
        <f t="shared" si="90"/>
        <v>318.90379036810754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0" t="e">
        <f t="shared" si="62"/>
        <v>#N/A</v>
      </c>
      <c r="BI100" s="60" t="e">
        <f ca="1">AVERAGE(OFFSET($BH$3,0,0,'Données projet'!$E$11+1,1))-AVERAGE(OFFSET($H$3,0,0,'Données projet'!$E$11+1,1))</f>
        <v>#N/A</v>
      </c>
      <c r="BJ100" s="60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0" t="e">
        <f t="shared" si="65"/>
        <v>#N/A</v>
      </c>
      <c r="CD100" s="60" t="e">
        <f ca="1">AVERAGE(OFFSET($CC$3,0,0,'Données projet'!$E$12+1,1))-AVERAGE(OFFSET($H$3,0,0,'Données projet'!$E$12+1,1))</f>
        <v>#N/A</v>
      </c>
      <c r="CE100" s="60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251.85887999999994</v>
      </c>
      <c r="CV100" s="14">
        <f t="shared" si="95"/>
        <v>60.983820246198448</v>
      </c>
      <c r="CW100" s="22">
        <f t="shared" si="67"/>
        <v>544.86770292879544</v>
      </c>
      <c r="CX100" s="60">
        <f t="shared" si="68"/>
        <v>838.20103626212881</v>
      </c>
      <c r="CY100" s="60">
        <f ca="1">AVERAGE(OFFSET($CX$3,0,0,'Données projet'!$E$13+1,1))-AVERAGE(OFFSET($H$3,0,0,'Données projet'!$E$13+1,1))</f>
        <v>415.50509041799154</v>
      </c>
      <c r="CZ100" s="60">
        <f t="shared" si="96"/>
        <v>239.93573789765657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4.9000000000000004</v>
      </c>
      <c r="DO100" s="13">
        <f>IF('Données projet'!$A$166&gt;35,DO99+DN100-DW99,IF(A100&lt;'Données projet'!$A$166,$DL$205^A100,IF(A100='Données projet'!$A$166,'Données projet'!$B$166,DO99+DN100-DW99)))</f>
        <v>288.2999999999999</v>
      </c>
      <c r="DP100" s="18">
        <f>DO100*VLOOKUP('Données projet'!$B$14,Paramètres!$A$1:$I$89,3,0)*VLOOKUP('Données projet'!$B$14,Paramètres!$A$1:$I$89,5,0)</f>
        <v>292.33619999999996</v>
      </c>
      <c r="DQ100" s="14">
        <f t="shared" si="97"/>
        <v>69.56742490962327</v>
      </c>
      <c r="DR100" s="22">
        <f t="shared" si="70"/>
        <v>630.31548005092702</v>
      </c>
      <c r="DS100" s="60">
        <f t="shared" si="71"/>
        <v>923.64881338426039</v>
      </c>
      <c r="DT100" s="60">
        <f ca="1">AVERAGE(OFFSET($DS$3,0,0,'Données projet'!$E$14+1,1))-AVERAGE(OFFSET($H$3,0,0,'Données projet'!$E$14+1,1))</f>
        <v>475.47920969424894</v>
      </c>
      <c r="DU100" s="60">
        <f t="shared" si="98"/>
        <v>271.73544012419364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4.9000000000000004</v>
      </c>
      <c r="EJ100" s="13">
        <f>IF('Données projet'!$A$192&gt;35,EJ99+EI100-ER99,IF(A100&lt;'Données projet'!$A$192,$EG$205^A100,IF(A100='Données projet'!$A$192,'Données projet'!$B$192,EJ99+EI100-ER99)))</f>
        <v>288.2999999999999</v>
      </c>
      <c r="EK100" s="18">
        <f>EJ100*VLOOKUP('Données projet'!$B$15,Paramètres!$A$1:$I$89,3,0)*VLOOKUP('Données projet'!$B$15,Paramètres!$A$1:$I$89,5,0)</f>
        <v>260.85383999999993</v>
      </c>
      <c r="EL100" s="14">
        <f t="shared" si="99"/>
        <v>62.904347395903763</v>
      </c>
      <c r="EM100" s="22">
        <f t="shared" si="73"/>
        <v>563.87884304786564</v>
      </c>
      <c r="EN100" s="60">
        <f t="shared" si="74"/>
        <v>857.21217638119901</v>
      </c>
      <c r="EO100" s="60">
        <f ca="1">AVERAGE(OFFSET($EN$3,0,0,'Données projet'!$E$15+1,1))-AVERAGE(OFFSET($H$3,0,0,'Données projet'!$E$15+1,1))</f>
        <v>428.8489304403459</v>
      </c>
      <c r="EP100" s="60">
        <f t="shared" si="100"/>
        <v>247.01165577562966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4.9000000000000004</v>
      </c>
      <c r="FE100" s="13">
        <f>IF('Données projet'!$A$218&gt;35,FE99+FD100-FM99,IF(A100&lt;'Données projet'!$A$218,$FB$205^A100,IF(A100='Données projet'!$A$218,'Données projet'!$B$218,FE99+FD100-FM99)))</f>
        <v>288.2999999999999</v>
      </c>
      <c r="FF100" s="18">
        <f>FE100*VLOOKUP('Données projet'!$B$16,Paramètres!$A$1:$I$89,3,0)*VLOOKUP('Données projet'!$B$16,Paramètres!$A$1:$I$89,5,0)</f>
        <v>278.84375999999992</v>
      </c>
      <c r="FG100" s="14">
        <f t="shared" si="101"/>
        <v>66.722603316177725</v>
      </c>
      <c r="FH100" s="22">
        <f t="shared" si="76"/>
        <v>601.86141610900938</v>
      </c>
      <c r="FI100" s="60">
        <f t="shared" si="77"/>
        <v>895.19474944234275</v>
      </c>
      <c r="FJ100" s="60">
        <f ca="1">AVERAGE(OFFSET($FI$3,0,0,'Données projet'!$E$16+1,1))-AVERAGE(OFFSET($H$3,0,0,'Données projet'!$E$16+1,1))</f>
        <v>455.50822833641354</v>
      </c>
      <c r="FK100" s="60">
        <f t="shared" si="102"/>
        <v>261.14722581688039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 t="e">
        <f>N101*VLOOKUP('Données projet'!$B$9,Paramètres!$A$1:$I$89,3,0)*VLOOKUP('Données projet'!$B$9,Paramètres!$A$1:$I$89,5,0)</f>
        <v>#N/A</v>
      </c>
      <c r="P101" s="14" t="e">
        <f t="shared" si="87"/>
        <v>#N/A</v>
      </c>
      <c r="Q101" s="22" t="e">
        <f t="shared" si="107"/>
        <v>#N/A</v>
      </c>
      <c r="R101" s="60" t="e">
        <f t="shared" si="55"/>
        <v>#N/A</v>
      </c>
      <c r="S101" s="60" t="e">
        <f ca="1">AVERAGE(OFFSET($R$3,0,0,'Données projet'!$E$9+1,1))-AVERAGE(OFFSET($H$3,0,0,'Données projet'!$E$9+1,1))</f>
        <v>#N/A</v>
      </c>
      <c r="T101" s="60" t="e">
        <f t="shared" si="88"/>
        <v>#N/A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 t="e">
        <f>EXP(-LN(2)/35)*Z100+(1-EXP(-LN(2)/35))/(LN(2)/35)*V101*W101*VLOOKUP('Données projet'!$B$9,Paramètres!$A$1:$I$89,3,0)*0.475*44/12</f>
        <v>#N/A</v>
      </c>
      <c r="AA101" s="23" t="e">
        <f>EXP(-LN(2)/25)*AA100+(1-EXP(-LN(2)/25))/(LN(2)/25)*Calculateur!V101*Calculateur!X101*VLOOKUP('Données projet'!$B$9,Paramètres!$A$1:$I$89,3,0)*0.475*44/12</f>
        <v>#N/A</v>
      </c>
      <c r="AB101" s="23" t="e">
        <f>EXP(-LN(2)/2)*AB100+(1-EXP(-LN(2)/2))/(LN(2)/2)*V101*Y101*VLOOKUP('Données projet'!$B$9,Paramètres!$A$1:$I$89,3,0)*0.475*44/12</f>
        <v>#N/A</v>
      </c>
      <c r="AC101" s="24" t="e">
        <f t="shared" si="57"/>
        <v>#N/A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projet'!$B$10,Paramètres!$A$1:$I$89,3,0)*VLOOKUP('Données projet'!$B$10,Paramètres!$A$1:$I$89,5,0)</f>
        <v>1.9863364286720756E-13</v>
      </c>
      <c r="AK101" s="14">
        <f t="shared" si="89"/>
        <v>2.7549360720371426E-12</v>
      </c>
      <c r="AL101" s="22">
        <f t="shared" si="58"/>
        <v>5.144133920125077E-12</v>
      </c>
      <c r="AM101" s="60">
        <f t="shared" si="59"/>
        <v>293.33333333333843</v>
      </c>
      <c r="AN101" s="60">
        <f ca="1">AVERAGE(OFFSET($AM$3,0,0,'Données projet'!$E$10+1,1))-AVERAGE(OFFSET($H$3,0,0,'Données projet'!$E$10+1,1))</f>
        <v>325.06345339097095</v>
      </c>
      <c r="AO101" s="60">
        <f t="shared" si="90"/>
        <v>318.90379036810754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0" t="e">
        <f t="shared" si="62"/>
        <v>#N/A</v>
      </c>
      <c r="BI101" s="60" t="e">
        <f ca="1">AVERAGE(OFFSET($BH$3,0,0,'Données projet'!$E$11+1,1))-AVERAGE(OFFSET($H$3,0,0,'Données projet'!$E$11+1,1))</f>
        <v>#N/A</v>
      </c>
      <c r="BJ101" s="60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0" t="e">
        <f t="shared" si="65"/>
        <v>#N/A</v>
      </c>
      <c r="CD101" s="60" t="e">
        <f ca="1">AVERAGE(OFFSET($CC$3,0,0,'Données projet'!$E$12+1,1))-AVERAGE(OFFSET($H$3,0,0,'Données projet'!$E$12+1,1))</f>
        <v>#N/A</v>
      </c>
      <c r="CE101" s="60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256.13951999999995</v>
      </c>
      <c r="CV101" s="14">
        <f t="shared" si="95"/>
        <v>61.898764554785309</v>
      </c>
      <c r="CW101" s="22">
        <f t="shared" si="67"/>
        <v>553.91667893291765</v>
      </c>
      <c r="CX101" s="60">
        <f t="shared" si="68"/>
        <v>847.25001226625091</v>
      </c>
      <c r="CY101" s="60">
        <f ca="1">AVERAGE(OFFSET($CX$3,0,0,'Données projet'!$E$13+1,1))-AVERAGE(OFFSET($H$3,0,0,'Données projet'!$E$13+1,1))</f>
        <v>415.50509041799154</v>
      </c>
      <c r="CZ101" s="60">
        <f t="shared" si="96"/>
        <v>239.93573789765657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4.9000000000000004</v>
      </c>
      <c r="DO101" s="13">
        <f>IF('Données projet'!$A$166&gt;35,DO100+DN101-DW100,IF(A101&lt;'Données projet'!$A$166,$DL$205^A101,IF(A101='Données projet'!$A$166,'Données projet'!$B$166,DO100+DN101-DW100)))</f>
        <v>293.19999999999987</v>
      </c>
      <c r="DP101" s="18">
        <f>DO101*VLOOKUP('Données projet'!$B$14,Paramètres!$A$1:$I$89,3,0)*VLOOKUP('Données projet'!$B$14,Paramètres!$A$1:$I$89,5,0)</f>
        <v>297.30479999999989</v>
      </c>
      <c r="DQ101" s="14">
        <f t="shared" si="97"/>
        <v>70.611149609504906</v>
      </c>
      <c r="DR101" s="22">
        <f t="shared" si="70"/>
        <v>640.78694556988739</v>
      </c>
      <c r="DS101" s="60">
        <f t="shared" si="71"/>
        <v>934.12027890322065</v>
      </c>
      <c r="DT101" s="60">
        <f ca="1">AVERAGE(OFFSET($DS$3,0,0,'Données projet'!$E$14+1,1))-AVERAGE(OFFSET($H$3,0,0,'Données projet'!$E$14+1,1))</f>
        <v>475.47920969424894</v>
      </c>
      <c r="DU101" s="60">
        <f t="shared" si="98"/>
        <v>271.73544012419364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4.9000000000000004</v>
      </c>
      <c r="EJ101" s="13">
        <f>IF('Données projet'!$A$192&gt;35,EJ100+EI101-ER100,IF(A101&lt;'Données projet'!$A$192,$EG$205^A101,IF(A101='Données projet'!$A$192,'Données projet'!$B$192,EJ100+EI101-ER100)))</f>
        <v>293.19999999999987</v>
      </c>
      <c r="EK101" s="18">
        <f>EJ101*VLOOKUP('Données projet'!$B$15,Paramètres!$A$1:$I$89,3,0)*VLOOKUP('Données projet'!$B$15,Paramètres!$A$1:$I$89,5,0)</f>
        <v>265.28735999999992</v>
      </c>
      <c r="EL101" s="14">
        <f t="shared" si="99"/>
        <v>63.84810550096995</v>
      </c>
      <c r="EM101" s="22">
        <f t="shared" si="73"/>
        <v>573.24426908085582</v>
      </c>
      <c r="EN101" s="60">
        <f t="shared" si="74"/>
        <v>866.57760241418919</v>
      </c>
      <c r="EO101" s="60">
        <f ca="1">AVERAGE(OFFSET($EN$3,0,0,'Données projet'!$E$15+1,1))-AVERAGE(OFFSET($H$3,0,0,'Données projet'!$E$15+1,1))</f>
        <v>428.8489304403459</v>
      </c>
      <c r="EP101" s="60">
        <f t="shared" si="100"/>
        <v>247.01165577562966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4.9000000000000004</v>
      </c>
      <c r="FE101" s="13">
        <f>IF('Données projet'!$A$218&gt;35,FE100+FD101-FM100,IF(A101&lt;'Données projet'!$A$218,$FB$205^A101,IF(A101='Données projet'!$A$218,'Données projet'!$B$218,FE100+FD101-FM100)))</f>
        <v>293.19999999999987</v>
      </c>
      <c r="FF101" s="18">
        <f>FE101*VLOOKUP('Données projet'!$B$16,Paramètres!$A$1:$I$89,3,0)*VLOOKUP('Données projet'!$B$16,Paramètres!$A$1:$I$89,5,0)</f>
        <v>283.58303999999993</v>
      </c>
      <c r="FG101" s="14">
        <f t="shared" si="101"/>
        <v>67.723646968605209</v>
      </c>
      <c r="FH101" s="22">
        <f t="shared" si="76"/>
        <v>611.85914647032064</v>
      </c>
      <c r="FI101" s="60">
        <f t="shared" si="77"/>
        <v>905.1924798036539</v>
      </c>
      <c r="FJ101" s="60">
        <f ca="1">AVERAGE(OFFSET($FI$3,0,0,'Données projet'!$E$16+1,1))-AVERAGE(OFFSET($H$3,0,0,'Données projet'!$E$16+1,1))</f>
        <v>455.50822833641354</v>
      </c>
      <c r="FK101" s="60">
        <f t="shared" si="102"/>
        <v>261.14722581688039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 t="e">
        <f>N102*VLOOKUP('Données projet'!$B$9,Paramètres!$A$1:$I$89,3,0)*VLOOKUP('Données projet'!$B$9,Paramètres!$A$1:$I$89,5,0)</f>
        <v>#N/A</v>
      </c>
      <c r="P102" s="14" t="e">
        <f t="shared" si="87"/>
        <v>#N/A</v>
      </c>
      <c r="Q102" s="22" t="e">
        <f t="shared" si="107"/>
        <v>#N/A</v>
      </c>
      <c r="R102" s="60" t="e">
        <f t="shared" si="55"/>
        <v>#N/A</v>
      </c>
      <c r="S102" s="60" t="e">
        <f ca="1">AVERAGE(OFFSET($R$3,0,0,'Données projet'!$E$9+1,1))-AVERAGE(OFFSET($H$3,0,0,'Données projet'!$E$9+1,1))</f>
        <v>#N/A</v>
      </c>
      <c r="T102" s="60" t="e">
        <f t="shared" si="88"/>
        <v>#N/A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 t="e">
        <f>EXP(-LN(2)/35)*Z101+(1-EXP(-LN(2)/35))/(LN(2)/35)*V102*W102*VLOOKUP('Données projet'!$B$9,Paramètres!$A$1:$I$89,3,0)*0.475*44/12</f>
        <v>#N/A</v>
      </c>
      <c r="AA102" s="23" t="e">
        <f>EXP(-LN(2)/25)*AA101+(1-EXP(-LN(2)/25))/(LN(2)/25)*Calculateur!V102*Calculateur!X102*VLOOKUP('Données projet'!$B$9,Paramètres!$A$1:$I$89,3,0)*0.475*44/12</f>
        <v>#N/A</v>
      </c>
      <c r="AB102" s="23" t="e">
        <f>EXP(-LN(2)/2)*AB101+(1-EXP(-LN(2)/2))/(LN(2)/2)*V102*Y102*VLOOKUP('Données projet'!$B$9,Paramètres!$A$1:$I$89,3,0)*0.475*44/12</f>
        <v>#N/A</v>
      </c>
      <c r="AC102" s="24" t="e">
        <f t="shared" si="57"/>
        <v>#N/A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projet'!$B$10,Paramètres!$A$1:$I$89,3,0)*VLOOKUP('Données projet'!$B$10,Paramètres!$A$1:$I$89,5,0)</f>
        <v>1.9863364286720756E-13</v>
      </c>
      <c r="AK102" s="14">
        <f t="shared" si="89"/>
        <v>2.7549360720371426E-12</v>
      </c>
      <c r="AL102" s="22">
        <f t="shared" si="58"/>
        <v>5.144133920125077E-12</v>
      </c>
      <c r="AM102" s="60">
        <f t="shared" si="59"/>
        <v>293.33333333333843</v>
      </c>
      <c r="AN102" s="60">
        <f ca="1">AVERAGE(OFFSET($AM$3,0,0,'Données projet'!$E$10+1,1))-AVERAGE(OFFSET($H$3,0,0,'Données projet'!$E$10+1,1))</f>
        <v>325.06345339097095</v>
      </c>
      <c r="AO102" s="60">
        <f t="shared" si="90"/>
        <v>318.90379036810754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0" t="e">
        <f t="shared" si="62"/>
        <v>#N/A</v>
      </c>
      <c r="BI102" s="60" t="e">
        <f ca="1">AVERAGE(OFFSET($BH$3,0,0,'Données projet'!$E$11+1,1))-AVERAGE(OFFSET($H$3,0,0,'Données projet'!$E$11+1,1))</f>
        <v>#N/A</v>
      </c>
      <c r="BJ102" s="60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0" t="e">
        <f t="shared" si="65"/>
        <v>#N/A</v>
      </c>
      <c r="CD102" s="60" t="e">
        <f ca="1">AVERAGE(OFFSET($CC$3,0,0,'Données projet'!$E$12+1,1))-AVERAGE(OFFSET($H$3,0,0,'Données projet'!$E$12+1,1))</f>
        <v>#N/A</v>
      </c>
      <c r="CE102" s="60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260.4201599999999</v>
      </c>
      <c r="CV102" s="14">
        <f t="shared" si="95"/>
        <v>62.811930670841733</v>
      </c>
      <c r="CW102" s="22">
        <f t="shared" si="67"/>
        <v>562.96255791838246</v>
      </c>
      <c r="CX102" s="60">
        <f t="shared" si="68"/>
        <v>856.29589125171583</v>
      </c>
      <c r="CY102" s="60">
        <f ca="1">AVERAGE(OFFSET($CX$3,0,0,'Données projet'!$E$13+1,1))-AVERAGE(OFFSET($H$3,0,0,'Données projet'!$E$13+1,1))</f>
        <v>415.50509041799154</v>
      </c>
      <c r="CZ102" s="60">
        <f t="shared" si="96"/>
        <v>239.93573789765657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4.9000000000000004</v>
      </c>
      <c r="DO102" s="13">
        <f>IF('Données projet'!$A$166&gt;35,DO101+DN102-DW101,IF(A102&lt;'Données projet'!$A$166,$DL$205^A102,IF(A102='Données projet'!$A$166,'Données projet'!$B$166,DO101+DN102-DW101)))</f>
        <v>298.09999999999985</v>
      </c>
      <c r="DP102" s="18">
        <f>DO102*VLOOKUP('Données projet'!$B$14,Paramètres!$A$1:$I$89,3,0)*VLOOKUP('Données projet'!$B$14,Paramètres!$A$1:$I$89,5,0)</f>
        <v>302.27339999999987</v>
      </c>
      <c r="DQ102" s="14">
        <f t="shared" si="97"/>
        <v>71.652845832409739</v>
      </c>
      <c r="DR102" s="22">
        <f t="shared" si="70"/>
        <v>651.25487815811346</v>
      </c>
      <c r="DS102" s="60">
        <f t="shared" si="71"/>
        <v>944.58821149144683</v>
      </c>
      <c r="DT102" s="60">
        <f ca="1">AVERAGE(OFFSET($DS$3,0,0,'Données projet'!$E$14+1,1))-AVERAGE(OFFSET($H$3,0,0,'Données projet'!$E$14+1,1))</f>
        <v>475.47920969424894</v>
      </c>
      <c r="DU102" s="60">
        <f t="shared" si="98"/>
        <v>271.73544012419364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4.9000000000000004</v>
      </c>
      <c r="EJ102" s="13">
        <f>IF('Données projet'!$A$192&gt;35,EJ101+EI102-ER101,IF(A102&lt;'Données projet'!$A$192,$EG$205^A102,IF(A102='Données projet'!$A$192,'Données projet'!$B$192,EJ101+EI102-ER101)))</f>
        <v>298.09999999999985</v>
      </c>
      <c r="EK102" s="18">
        <f>EJ102*VLOOKUP('Données projet'!$B$15,Paramètres!$A$1:$I$89,3,0)*VLOOKUP('Données projet'!$B$15,Paramètres!$A$1:$I$89,5,0)</f>
        <v>269.72087999999985</v>
      </c>
      <c r="EL102" s="14">
        <f t="shared" si="99"/>
        <v>64.790029413946939</v>
      </c>
      <c r="EM102" s="22">
        <f t="shared" si="73"/>
        <v>582.60650056262409</v>
      </c>
      <c r="EN102" s="60">
        <f t="shared" si="74"/>
        <v>875.93983389595746</v>
      </c>
      <c r="EO102" s="60">
        <f ca="1">AVERAGE(OFFSET($EN$3,0,0,'Données projet'!$E$15+1,1))-AVERAGE(OFFSET($H$3,0,0,'Données projet'!$E$15+1,1))</f>
        <v>428.8489304403459</v>
      </c>
      <c r="EP102" s="60">
        <f t="shared" si="100"/>
        <v>247.01165577562966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4.9000000000000004</v>
      </c>
      <c r="FE102" s="13">
        <f>IF('Données projet'!$A$218&gt;35,FE101+FD102-FM101,IF(A102&lt;'Données projet'!$A$218,$FB$205^A102,IF(A102='Données projet'!$A$218,'Données projet'!$B$218,FE101+FD102-FM101)))</f>
        <v>298.09999999999985</v>
      </c>
      <c r="FF102" s="18">
        <f>FE102*VLOOKUP('Données projet'!$B$16,Paramètres!$A$1:$I$89,3,0)*VLOOKUP('Données projet'!$B$16,Paramètres!$A$1:$I$89,5,0)</f>
        <v>288.32231999999988</v>
      </c>
      <c r="FG102" s="14">
        <f t="shared" si="101"/>
        <v>68.722745094590621</v>
      </c>
      <c r="FH102" s="22">
        <f t="shared" si="76"/>
        <v>621.85348837307845</v>
      </c>
      <c r="FI102" s="60">
        <f t="shared" si="77"/>
        <v>915.18682170641182</v>
      </c>
      <c r="FJ102" s="60">
        <f ca="1">AVERAGE(OFFSET($FI$3,0,0,'Données projet'!$E$16+1,1))-AVERAGE(OFFSET($H$3,0,0,'Données projet'!$E$16+1,1))</f>
        <v>455.50822833641354</v>
      </c>
      <c r="FK102" s="60">
        <f t="shared" si="102"/>
        <v>261.14722581688039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 t="e">
        <f>N103*VLOOKUP('Données projet'!$B$9,Paramètres!$A$1:$I$89,3,0)*VLOOKUP('Données projet'!$B$9,Paramètres!$A$1:$I$89,5,0)</f>
        <v>#N/A</v>
      </c>
      <c r="P103" s="14" t="e">
        <f t="shared" si="87"/>
        <v>#N/A</v>
      </c>
      <c r="Q103" s="22" t="e">
        <f t="shared" si="107"/>
        <v>#N/A</v>
      </c>
      <c r="R103" s="60" t="e">
        <f t="shared" si="55"/>
        <v>#N/A</v>
      </c>
      <c r="S103" s="60" t="e">
        <f ca="1">AVERAGE(OFFSET($R$3,0,0,'Données projet'!$E$9+1,1))-AVERAGE(OFFSET($H$3,0,0,'Données projet'!$E$9+1,1))</f>
        <v>#N/A</v>
      </c>
      <c r="T103" s="60" t="e">
        <f t="shared" si="88"/>
        <v>#N/A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 t="e">
        <f>EXP(-LN(2)/35)*Z102+(1-EXP(-LN(2)/35))/(LN(2)/35)*V103*W103*VLOOKUP('Données projet'!$B$9,Paramètres!$A$1:$I$89,3,0)*0.475*44/12</f>
        <v>#N/A</v>
      </c>
      <c r="AA103" s="23" t="e">
        <f>EXP(-LN(2)/25)*AA102+(1-EXP(-LN(2)/25))/(LN(2)/25)*Calculateur!V103*Calculateur!X103*VLOOKUP('Données projet'!$B$9,Paramètres!$A$1:$I$89,3,0)*0.475*44/12</f>
        <v>#N/A</v>
      </c>
      <c r="AB103" s="23" t="e">
        <f>EXP(-LN(2)/2)*AB102+(1-EXP(-LN(2)/2))/(LN(2)/2)*V103*Y103*VLOOKUP('Données projet'!$B$9,Paramètres!$A$1:$I$89,3,0)*0.475*44/12</f>
        <v>#N/A</v>
      </c>
      <c r="AC103" s="24" t="e">
        <f t="shared" si="57"/>
        <v>#N/A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projet'!$B$10,Paramètres!$A$1:$I$89,3,0)*VLOOKUP('Données projet'!$B$10,Paramètres!$A$1:$I$89,5,0)</f>
        <v>1.9863364286720756E-13</v>
      </c>
      <c r="AK103" s="14">
        <f t="shared" si="89"/>
        <v>2.7549360720371426E-12</v>
      </c>
      <c r="AL103" s="22">
        <f t="shared" si="58"/>
        <v>5.144133920125077E-12</v>
      </c>
      <c r="AM103" s="60">
        <f t="shared" si="59"/>
        <v>293.33333333333843</v>
      </c>
      <c r="AN103" s="60">
        <f ca="1">AVERAGE(OFFSET($AM$3,0,0,'Données projet'!$E$10+1,1))-AVERAGE(OFFSET($H$3,0,0,'Données projet'!$E$10+1,1))</f>
        <v>325.06345339097095</v>
      </c>
      <c r="AO103" s="60">
        <f t="shared" si="90"/>
        <v>318.90379036810754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0" t="e">
        <f t="shared" si="62"/>
        <v>#N/A</v>
      </c>
      <c r="BI103" s="60" t="e">
        <f ca="1">AVERAGE(OFFSET($BH$3,0,0,'Données projet'!$E$11+1,1))-AVERAGE(OFFSET($H$3,0,0,'Données projet'!$E$11+1,1))</f>
        <v>#N/A</v>
      </c>
      <c r="BJ103" s="60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0" t="e">
        <f t="shared" si="65"/>
        <v>#N/A</v>
      </c>
      <c r="CD103" s="60" t="e">
        <f ca="1">AVERAGE(OFFSET($CC$3,0,0,'Données projet'!$E$12+1,1))-AVERAGE(OFFSET($H$3,0,0,'Données projet'!$E$12+1,1))</f>
        <v>#N/A</v>
      </c>
      <c r="CE103" s="60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264.7007999999999</v>
      </c>
      <c r="CV103" s="14">
        <f t="shared" si="95"/>
        <v>63.723351197304062</v>
      </c>
      <c r="CW103" s="22">
        <f t="shared" si="67"/>
        <v>572.00539666863767</v>
      </c>
      <c r="CX103" s="60">
        <f t="shared" si="68"/>
        <v>865.33873000197104</v>
      </c>
      <c r="CY103" s="60">
        <f ca="1">AVERAGE(OFFSET($CX$3,0,0,'Données projet'!$E$13+1,1))-AVERAGE(OFFSET($H$3,0,0,'Données projet'!$E$13+1,1))</f>
        <v>415.50509041799154</v>
      </c>
      <c r="CZ103" s="60">
        <f t="shared" si="96"/>
        <v>239.93573789765657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303</v>
      </c>
      <c r="DM103" s="13">
        <f>VLOOKUP(A103,'Données projet'!$A$165:$I$185,9,0)</f>
        <v>4.9000000000000004</v>
      </c>
      <c r="DN103" s="13">
        <f t="array" ref="DN103">INDEX(DM:DM,MIN(IF(ISNUMBER(DM103:DM299),ROW(DM103:DM299),"")))</f>
        <v>4.9000000000000004</v>
      </c>
      <c r="DO103" s="13">
        <f>IF('Données projet'!$A$166&gt;35,DO102+DN103-DW102,IF(A103&lt;'Données projet'!$A$166,$DL$205^A103,IF(A103='Données projet'!$A$166,'Données projet'!$B$166,DO102+DN103-DW102)))</f>
        <v>302.99999999999983</v>
      </c>
      <c r="DP103" s="18">
        <f>DO103*VLOOKUP('Données projet'!$B$14,Paramètres!$A$1:$I$89,3,0)*VLOOKUP('Données projet'!$B$14,Paramètres!$A$1:$I$89,5,0)</f>
        <v>307.24199999999985</v>
      </c>
      <c r="DQ103" s="14">
        <f t="shared" si="97"/>
        <v>72.692550770207774</v>
      </c>
      <c r="DR103" s="22">
        <f t="shared" si="70"/>
        <v>661.71934259144484</v>
      </c>
      <c r="DS103" s="60">
        <f t="shared" si="71"/>
        <v>955.05267592477821</v>
      </c>
      <c r="DT103" s="60">
        <f ca="1">AVERAGE(OFFSET($DS$3,0,0,'Données projet'!$E$14+1,1))-AVERAGE(OFFSET($H$3,0,0,'Données projet'!$E$14+1,1))</f>
        <v>475.47920969424894</v>
      </c>
      <c r="DU103" s="60">
        <f t="shared" si="98"/>
        <v>271.73544012419364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303</v>
      </c>
      <c r="EH103" s="13">
        <f>VLOOKUP(A103,'Données projet'!$A$191:$I$211,9,0)</f>
        <v>4.9000000000000004</v>
      </c>
      <c r="EI103" s="13">
        <f t="array" ref="EI103">INDEX(EH:EH,MIN(IF(ISNUMBER(EH103:EH299),ROW(EH103:EH299),"")))</f>
        <v>4.9000000000000004</v>
      </c>
      <c r="EJ103" s="13">
        <f>IF('Données projet'!$A$192&gt;35,EJ102+EI103-ER102,IF(A103&lt;'Données projet'!$A$192,$EG$205^A103,IF(A103='Données projet'!$A$192,'Données projet'!$B$192,EJ102+EI103-ER102)))</f>
        <v>302.99999999999983</v>
      </c>
      <c r="EK103" s="18">
        <f>EJ103*VLOOKUP('Données projet'!$B$15,Paramètres!$A$1:$I$89,3,0)*VLOOKUP('Données projet'!$B$15,Paramètres!$A$1:$I$89,5,0)</f>
        <v>274.15439999999984</v>
      </c>
      <c r="EL103" s="14">
        <f t="shared" si="99"/>
        <v>65.730152764515779</v>
      </c>
      <c r="EM103" s="22">
        <f t="shared" si="73"/>
        <v>591.9655960648646</v>
      </c>
      <c r="EN103" s="60">
        <f t="shared" si="74"/>
        <v>885.29892939819797</v>
      </c>
      <c r="EO103" s="60">
        <f ca="1">AVERAGE(OFFSET($EN$3,0,0,'Données projet'!$E$15+1,1))-AVERAGE(OFFSET($H$3,0,0,'Données projet'!$E$15+1,1))</f>
        <v>428.8489304403459</v>
      </c>
      <c r="EP103" s="60">
        <f t="shared" si="100"/>
        <v>247.01165577562966</v>
      </c>
      <c r="EQ103" s="16">
        <f>IF(ISNA(VLOOKUP(A103,'Données projet'!$A$191:$I$211,3,0)),0,VLOOKUP(A103,'Données projet'!$A$191:$I$211,3,0))</f>
        <v>8</v>
      </c>
      <c r="ER103" s="16">
        <f>IF(ISNA(VLOOKUP(A103,'Données projet'!$A$191:$I$211,4,0)),0,VLOOKUP(A103,'Données projet'!$A$191:$I$211,4,0))</f>
        <v>42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303</v>
      </c>
      <c r="FC103" s="13">
        <f>VLOOKUP(A103,'Données projet'!$A$217:$I$237,9,0)</f>
        <v>4.9000000000000004</v>
      </c>
      <c r="FD103" s="13">
        <f t="array" ref="FD103">INDEX(FC:FC,MIN(IF(ISNUMBER(FC103:FC299),ROW(FC103:FC299),"")))</f>
        <v>4.9000000000000004</v>
      </c>
      <c r="FE103" s="13">
        <f>IF('Données projet'!$A$218&gt;35,FE102+FD103-FM102,IF(A103&lt;'Données projet'!$A$218,$FB$205^A103,IF(A103='Données projet'!$A$218,'Données projet'!$B$218,FE102+FD103-FM102)))</f>
        <v>302.99999999999983</v>
      </c>
      <c r="FF103" s="18">
        <f>FE103*VLOOKUP('Données projet'!$B$16,Paramètres!$A$1:$I$89,3,0)*VLOOKUP('Données projet'!$B$16,Paramètres!$A$1:$I$89,5,0)</f>
        <v>293.06159999999983</v>
      </c>
      <c r="FG103" s="14">
        <f t="shared" si="101"/>
        <v>69.719933365116546</v>
      </c>
      <c r="FH103" s="22">
        <f t="shared" si="76"/>
        <v>631.84450394424437</v>
      </c>
      <c r="FI103" s="60">
        <f t="shared" si="77"/>
        <v>925.17783727757774</v>
      </c>
      <c r="FJ103" s="60">
        <f ca="1">AVERAGE(OFFSET($FI$3,0,0,'Données projet'!$E$16+1,1))-AVERAGE(OFFSET($H$3,0,0,'Données projet'!$E$16+1,1))</f>
        <v>455.50822833641354</v>
      </c>
      <c r="FK103" s="60">
        <f t="shared" si="102"/>
        <v>261.14722581688039</v>
      </c>
      <c r="FL103" s="16">
        <f>IF(ISNA(VLOOKUP(A103,'Données projet'!$A$217:$I$237,3,0)),0,VLOOKUP(A103,'Données projet'!$A$217:$I$237,3,0))</f>
        <v>8</v>
      </c>
      <c r="FM103" s="16">
        <f>IF(ISNA(VLOOKUP(A103,'Données projet'!$A$217:$I$237,4,0)),0,VLOOKUP(A103,'Données projet'!$A$217:$I$237,4,0))</f>
        <v>42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 t="e">
        <f>N104*VLOOKUP('Données projet'!$B$9,Paramètres!$A$1:$I$89,3,0)*VLOOKUP('Données projet'!$B$9,Paramètres!$A$1:$I$89,5,0)</f>
        <v>#N/A</v>
      </c>
      <c r="P104" s="14" t="e">
        <f t="shared" si="87"/>
        <v>#N/A</v>
      </c>
      <c r="Q104" s="22" t="e">
        <f t="shared" si="107"/>
        <v>#N/A</v>
      </c>
      <c r="R104" s="60" t="e">
        <f t="shared" si="55"/>
        <v>#N/A</v>
      </c>
      <c r="S104" s="60" t="e">
        <f ca="1">AVERAGE(OFFSET($R$3,0,0,'Données projet'!$E$9+1,1))-AVERAGE(OFFSET($H$3,0,0,'Données projet'!$E$9+1,1))</f>
        <v>#N/A</v>
      </c>
      <c r="T104" s="60" t="e">
        <f t="shared" si="88"/>
        <v>#N/A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 t="e">
        <f>EXP(-LN(2)/35)*Z103+(1-EXP(-LN(2)/35))/(LN(2)/35)*V104*W104*VLOOKUP('Données projet'!$B$9,Paramètres!$A$1:$I$89,3,0)*0.475*44/12</f>
        <v>#N/A</v>
      </c>
      <c r="AA104" s="23" t="e">
        <f>EXP(-LN(2)/25)*AA103+(1-EXP(-LN(2)/25))/(LN(2)/25)*Calculateur!V104*Calculateur!X104*VLOOKUP('Données projet'!$B$9,Paramètres!$A$1:$I$89,3,0)*0.475*44/12</f>
        <v>#N/A</v>
      </c>
      <c r="AB104" s="23" t="e">
        <f>EXP(-LN(2)/2)*AB103+(1-EXP(-LN(2)/2))/(LN(2)/2)*V104*Y104*VLOOKUP('Données projet'!$B$9,Paramètres!$A$1:$I$89,3,0)*0.475*44/12</f>
        <v>#N/A</v>
      </c>
      <c r="AC104" s="24" t="e">
        <f t="shared" si="57"/>
        <v>#N/A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projet'!$B$10,Paramètres!$A$1:$I$89,3,0)*VLOOKUP('Données projet'!$B$10,Paramètres!$A$1:$I$89,5,0)</f>
        <v>1.9863364286720756E-13</v>
      </c>
      <c r="AK104" s="14">
        <f t="shared" si="89"/>
        <v>2.7549360720371426E-12</v>
      </c>
      <c r="AL104" s="22">
        <f t="shared" si="58"/>
        <v>5.144133920125077E-12</v>
      </c>
      <c r="AM104" s="60">
        <f t="shared" si="59"/>
        <v>293.33333333333843</v>
      </c>
      <c r="AN104" s="60">
        <f ca="1">AVERAGE(OFFSET($AM$3,0,0,'Données projet'!$E$10+1,1))-AVERAGE(OFFSET($H$3,0,0,'Données projet'!$E$10+1,1))</f>
        <v>325.06345339097095</v>
      </c>
      <c r="AO104" s="60">
        <f t="shared" si="90"/>
        <v>318.90379036810754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0" t="e">
        <f t="shared" si="62"/>
        <v>#N/A</v>
      </c>
      <c r="BI104" s="60" t="e">
        <f ca="1">AVERAGE(OFFSET($BH$3,0,0,'Données projet'!$E$11+1,1))-AVERAGE(OFFSET($H$3,0,0,'Données projet'!$E$11+1,1))</f>
        <v>#N/A</v>
      </c>
      <c r="BJ104" s="60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0" t="e">
        <f t="shared" si="65"/>
        <v>#N/A</v>
      </c>
      <c r="CD104" s="60" t="e">
        <f ca="1">AVERAGE(OFFSET($CC$3,0,0,'Données projet'!$E$12+1,1))-AVERAGE(OFFSET($H$3,0,0,'Données projet'!$E$12+1,1))</f>
        <v>#N/A</v>
      </c>
      <c r="CE104" s="60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231.85343999999986</v>
      </c>
      <c r="CV104" s="14">
        <f t="shared" si="95"/>
        <v>56.683251198403141</v>
      </c>
      <c r="CW104" s="22">
        <f t="shared" si="67"/>
        <v>502.53473717055186</v>
      </c>
      <c r="CX104" s="60">
        <f t="shared" si="68"/>
        <v>795.86807050388518</v>
      </c>
      <c r="CY104" s="60">
        <f ca="1">AVERAGE(OFFSET($CX$3,0,0,'Données projet'!$E$13+1,1))-AVERAGE(OFFSET($H$3,0,0,'Données projet'!$E$13+1,1))</f>
        <v>415.50509041799154</v>
      </c>
      <c r="CZ104" s="60">
        <f t="shared" si="96"/>
        <v>239.93573789765657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265.39999999999981</v>
      </c>
      <c r="DP104" s="18">
        <f>DO104*VLOOKUP('Données projet'!$B$14,Paramètres!$A$1:$I$89,3,0)*VLOOKUP('Données projet'!$B$14,Paramètres!$A$1:$I$89,5,0)</f>
        <v>269.1155999999998</v>
      </c>
      <c r="DQ104" s="14">
        <f t="shared" si="97"/>
        <v>64.661541462287076</v>
      </c>
      <c r="DR104" s="22">
        <f t="shared" si="70"/>
        <v>581.3285213801496</v>
      </c>
      <c r="DS104" s="60">
        <f t="shared" si="71"/>
        <v>874.66185471348285</v>
      </c>
      <c r="DT104" s="60">
        <f ca="1">AVERAGE(OFFSET($DS$3,0,0,'Données projet'!$E$14+1,1))-AVERAGE(OFFSET($H$3,0,0,'Données projet'!$E$14+1,1))</f>
        <v>475.47920969424894</v>
      </c>
      <c r="DU104" s="60">
        <f t="shared" si="98"/>
        <v>271.73544012419364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4.4000000000000004</v>
      </c>
      <c r="EJ104" s="13">
        <f>IF('Données projet'!$A$192&gt;35,EJ103+EI104-ER103,IF(A104&lt;'Données projet'!$A$192,$EG$205^A104,IF(A104='Données projet'!$A$192,'Données projet'!$B$192,EJ103+EI104-ER103)))</f>
        <v>265.39999999999981</v>
      </c>
      <c r="EK104" s="18">
        <f>EJ104*VLOOKUP('Données projet'!$B$15,Paramètres!$A$1:$I$89,3,0)*VLOOKUP('Données projet'!$B$15,Paramètres!$A$1:$I$89,5,0)</f>
        <v>240.13391999999982</v>
      </c>
      <c r="EL104" s="14">
        <f t="shared" si="99"/>
        <v>58.468343087048559</v>
      </c>
      <c r="EM104" s="22">
        <f t="shared" si="73"/>
        <v>520.06560820994252</v>
      </c>
      <c r="EN104" s="60">
        <f t="shared" si="74"/>
        <v>813.3989415432759</v>
      </c>
      <c r="EO104" s="60">
        <f ca="1">AVERAGE(OFFSET($EN$3,0,0,'Données projet'!$E$15+1,1))-AVERAGE(OFFSET($H$3,0,0,'Données projet'!$E$15+1,1))</f>
        <v>428.8489304403459</v>
      </c>
      <c r="EP104" s="60">
        <f t="shared" si="100"/>
        <v>247.01165577562966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4.4000000000000004</v>
      </c>
      <c r="FE104" s="13">
        <f>IF('Données projet'!$A$218&gt;35,FE103+FD104-FM103,IF(A104&lt;'Données projet'!$A$218,$FB$205^A104,IF(A104='Données projet'!$A$218,'Données projet'!$B$218,FE103+FD104-FM103)))</f>
        <v>265.39999999999981</v>
      </c>
      <c r="FF104" s="18">
        <f>FE104*VLOOKUP('Données projet'!$B$16,Paramètres!$A$1:$I$89,3,0)*VLOOKUP('Données projet'!$B$16,Paramètres!$A$1:$I$89,5,0)</f>
        <v>256.69487999999984</v>
      </c>
      <c r="FG104" s="14">
        <f t="shared" si="101"/>
        <v>62.017336223177502</v>
      </c>
      <c r="FH104" s="22">
        <f t="shared" si="76"/>
        <v>555.09044325536718</v>
      </c>
      <c r="FI104" s="60">
        <f t="shared" si="77"/>
        <v>848.42377658870055</v>
      </c>
      <c r="FJ104" s="60">
        <f ca="1">AVERAGE(OFFSET($FI$3,0,0,'Données projet'!$E$16+1,1))-AVERAGE(OFFSET($H$3,0,0,'Données projet'!$E$16+1,1))</f>
        <v>455.50822833641354</v>
      </c>
      <c r="FK104" s="60">
        <f t="shared" si="102"/>
        <v>261.14722581688039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 t="e">
        <f>N105*VLOOKUP('Données projet'!$B$9,Paramètres!$A$1:$I$89,3,0)*VLOOKUP('Données projet'!$B$9,Paramètres!$A$1:$I$89,5,0)</f>
        <v>#N/A</v>
      </c>
      <c r="P105" s="14" t="e">
        <f t="shared" si="87"/>
        <v>#N/A</v>
      </c>
      <c r="Q105" s="22" t="e">
        <f t="shared" si="107"/>
        <v>#N/A</v>
      </c>
      <c r="R105" s="60" t="e">
        <f t="shared" si="55"/>
        <v>#N/A</v>
      </c>
      <c r="S105" s="60" t="e">
        <f ca="1">AVERAGE(OFFSET($R$3,0,0,'Données projet'!$E$9+1,1))-AVERAGE(OFFSET($H$3,0,0,'Données projet'!$E$9+1,1))</f>
        <v>#N/A</v>
      </c>
      <c r="T105" s="60" t="e">
        <f t="shared" si="88"/>
        <v>#N/A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 t="e">
        <f>EXP(-LN(2)/35)*Z104+(1-EXP(-LN(2)/35))/(LN(2)/35)*V105*W105*VLOOKUP('Données projet'!$B$9,Paramètres!$A$1:$I$89,3,0)*0.475*44/12</f>
        <v>#N/A</v>
      </c>
      <c r="AA105" s="23" t="e">
        <f>EXP(-LN(2)/25)*AA104+(1-EXP(-LN(2)/25))/(LN(2)/25)*Calculateur!V105*Calculateur!X105*VLOOKUP('Données projet'!$B$9,Paramètres!$A$1:$I$89,3,0)*0.475*44/12</f>
        <v>#N/A</v>
      </c>
      <c r="AB105" s="23" t="e">
        <f>EXP(-LN(2)/2)*AB104+(1-EXP(-LN(2)/2))/(LN(2)/2)*V105*Y105*VLOOKUP('Données projet'!$B$9,Paramètres!$A$1:$I$89,3,0)*0.475*44/12</f>
        <v>#N/A</v>
      </c>
      <c r="AC105" s="24" t="e">
        <f t="shared" si="57"/>
        <v>#N/A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projet'!$B$10,Paramètres!$A$1:$I$89,3,0)*VLOOKUP('Données projet'!$B$10,Paramètres!$A$1:$I$89,5,0)</f>
        <v>1.9863364286720756E-13</v>
      </c>
      <c r="AK105" s="14">
        <f t="shared" si="89"/>
        <v>2.7549360720371426E-12</v>
      </c>
      <c r="AL105" s="22">
        <f t="shared" si="58"/>
        <v>5.144133920125077E-12</v>
      </c>
      <c r="AM105" s="60">
        <f t="shared" si="59"/>
        <v>293.33333333333843</v>
      </c>
      <c r="AN105" s="60">
        <f ca="1">AVERAGE(OFFSET($AM$3,0,0,'Données projet'!$E$10+1,1))-AVERAGE(OFFSET($H$3,0,0,'Données projet'!$E$10+1,1))</f>
        <v>325.06345339097095</v>
      </c>
      <c r="AO105" s="60">
        <f t="shared" si="90"/>
        <v>318.90379036810754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0" t="e">
        <f t="shared" si="62"/>
        <v>#N/A</v>
      </c>
      <c r="BI105" s="60" t="e">
        <f ca="1">AVERAGE(OFFSET($BH$3,0,0,'Données projet'!$E$11+1,1))-AVERAGE(OFFSET($H$3,0,0,'Données projet'!$E$11+1,1))</f>
        <v>#N/A</v>
      </c>
      <c r="BJ105" s="60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0" t="e">
        <f t="shared" si="65"/>
        <v>#N/A</v>
      </c>
      <c r="CD105" s="60" t="e">
        <f ca="1">AVERAGE(OFFSET($CC$3,0,0,'Données projet'!$E$12+1,1))-AVERAGE(OFFSET($H$3,0,0,'Données projet'!$E$12+1,1))</f>
        <v>#N/A</v>
      </c>
      <c r="CE105" s="60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235.69727999999981</v>
      </c>
      <c r="CV105" s="14">
        <f t="shared" si="95"/>
        <v>57.512806870145788</v>
      </c>
      <c r="CW105" s="22">
        <f t="shared" si="67"/>
        <v>510.67423463217023</v>
      </c>
      <c r="CX105" s="60">
        <f t="shared" si="68"/>
        <v>804.00756796550354</v>
      </c>
      <c r="CY105" s="60">
        <f ca="1">AVERAGE(OFFSET($CX$3,0,0,'Données projet'!$E$13+1,1))-AVERAGE(OFFSET($H$3,0,0,'Données projet'!$E$13+1,1))</f>
        <v>415.50509041799154</v>
      </c>
      <c r="CZ105" s="60">
        <f t="shared" si="96"/>
        <v>239.93573789765657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269.79999999999978</v>
      </c>
      <c r="DP105" s="18">
        <f>DO105*VLOOKUP('Données projet'!$B$14,Paramètres!$A$1:$I$89,3,0)*VLOOKUP('Données projet'!$B$14,Paramètres!$A$1:$I$89,5,0)</f>
        <v>273.57719999999978</v>
      </c>
      <c r="DQ105" s="14">
        <f t="shared" si="97"/>
        <v>65.60785888991505</v>
      </c>
      <c r="DR105" s="22">
        <f t="shared" si="70"/>
        <v>590.74731089993509</v>
      </c>
      <c r="DS105" s="60">
        <f t="shared" si="71"/>
        <v>884.08064423326846</v>
      </c>
      <c r="DT105" s="60">
        <f ca="1">AVERAGE(OFFSET($DS$3,0,0,'Données projet'!$E$14+1,1))-AVERAGE(OFFSET($H$3,0,0,'Données projet'!$E$14+1,1))</f>
        <v>475.47920969424894</v>
      </c>
      <c r="DU105" s="60">
        <f t="shared" si="98"/>
        <v>271.73544012419364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4.4000000000000004</v>
      </c>
      <c r="EJ105" s="13">
        <f>IF('Données projet'!$A$192&gt;35,EJ104+EI105-ER104,IF(A105&lt;'Données projet'!$A$192,$EG$205^A105,IF(A105='Données projet'!$A$192,'Données projet'!$B$192,EJ104+EI105-ER104)))</f>
        <v>269.79999999999978</v>
      </c>
      <c r="EK105" s="18">
        <f>EJ105*VLOOKUP('Données projet'!$B$15,Paramètres!$A$1:$I$89,3,0)*VLOOKUP('Données projet'!$B$15,Paramètres!$A$1:$I$89,5,0)</f>
        <v>244.11503999999979</v>
      </c>
      <c r="EL105" s="14">
        <f t="shared" si="99"/>
        <v>59.324023461759012</v>
      </c>
      <c r="EM105" s="22">
        <f t="shared" si="73"/>
        <v>528.48970219589648</v>
      </c>
      <c r="EN105" s="60">
        <f t="shared" si="74"/>
        <v>821.82303552922986</v>
      </c>
      <c r="EO105" s="60">
        <f ca="1">AVERAGE(OFFSET($EN$3,0,0,'Données projet'!$E$15+1,1))-AVERAGE(OFFSET($H$3,0,0,'Données projet'!$E$15+1,1))</f>
        <v>428.8489304403459</v>
      </c>
      <c r="EP105" s="60">
        <f t="shared" si="100"/>
        <v>247.01165577562966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4.4000000000000004</v>
      </c>
      <c r="FE105" s="13">
        <f>IF('Données projet'!$A$218&gt;35,FE104+FD105-FM104,IF(A105&lt;'Données projet'!$A$218,$FB$205^A105,IF(A105='Données projet'!$A$218,'Données projet'!$B$218,FE104+FD105-FM104)))</f>
        <v>269.79999999999978</v>
      </c>
      <c r="FF105" s="18">
        <f>FE105*VLOOKUP('Données projet'!$B$16,Paramètres!$A$1:$I$89,3,0)*VLOOKUP('Données projet'!$B$16,Paramètres!$A$1:$I$89,5,0)</f>
        <v>260.95055999999983</v>
      </c>
      <c r="FG105" s="14">
        <f t="shared" si="101"/>
        <v>62.924955880176938</v>
      </c>
      <c r="FH105" s="22">
        <f t="shared" si="76"/>
        <v>564.08319015797451</v>
      </c>
      <c r="FI105" s="60">
        <f t="shared" si="77"/>
        <v>857.41652349130777</v>
      </c>
      <c r="FJ105" s="60">
        <f ca="1">AVERAGE(OFFSET($FI$3,0,0,'Données projet'!$E$16+1,1))-AVERAGE(OFFSET($H$3,0,0,'Données projet'!$E$16+1,1))</f>
        <v>455.50822833641354</v>
      </c>
      <c r="FK105" s="60">
        <f t="shared" si="102"/>
        <v>261.14722581688039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 t="e">
        <f>N106*VLOOKUP('Données projet'!$B$9,Paramètres!$A$1:$I$89,3,0)*VLOOKUP('Données projet'!$B$9,Paramètres!$A$1:$I$89,5,0)</f>
        <v>#N/A</v>
      </c>
      <c r="P106" s="14" t="e">
        <f t="shared" si="87"/>
        <v>#N/A</v>
      </c>
      <c r="Q106" s="22" t="e">
        <f t="shared" si="107"/>
        <v>#N/A</v>
      </c>
      <c r="R106" s="60" t="e">
        <f t="shared" si="55"/>
        <v>#N/A</v>
      </c>
      <c r="S106" s="60" t="e">
        <f ca="1">AVERAGE(OFFSET($R$3,0,0,'Données projet'!$E$9+1,1))-AVERAGE(OFFSET($H$3,0,0,'Données projet'!$E$9+1,1))</f>
        <v>#N/A</v>
      </c>
      <c r="T106" s="60" t="e">
        <f t="shared" si="88"/>
        <v>#N/A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 t="e">
        <f>EXP(-LN(2)/35)*Z105+(1-EXP(-LN(2)/35))/(LN(2)/35)*V106*W106*VLOOKUP('Données projet'!$B$9,Paramètres!$A$1:$I$89,3,0)*0.475*44/12</f>
        <v>#N/A</v>
      </c>
      <c r="AA106" s="23" t="e">
        <f>EXP(-LN(2)/25)*AA105+(1-EXP(-LN(2)/25))/(LN(2)/25)*Calculateur!V106*Calculateur!X106*VLOOKUP('Données projet'!$B$9,Paramètres!$A$1:$I$89,3,0)*0.475*44/12</f>
        <v>#N/A</v>
      </c>
      <c r="AB106" s="23" t="e">
        <f>EXP(-LN(2)/2)*AB105+(1-EXP(-LN(2)/2))/(LN(2)/2)*V106*Y106*VLOOKUP('Données projet'!$B$9,Paramètres!$A$1:$I$89,3,0)*0.475*44/12</f>
        <v>#N/A</v>
      </c>
      <c r="AC106" s="24" t="e">
        <f t="shared" si="57"/>
        <v>#N/A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projet'!$B$10,Paramètres!$A$1:$I$89,3,0)*VLOOKUP('Données projet'!$B$10,Paramètres!$A$1:$I$89,5,0)</f>
        <v>1.9863364286720756E-13</v>
      </c>
      <c r="AK106" s="14">
        <f t="shared" si="89"/>
        <v>2.7549360720371426E-12</v>
      </c>
      <c r="AL106" s="22">
        <f t="shared" si="58"/>
        <v>5.144133920125077E-12</v>
      </c>
      <c r="AM106" s="60">
        <f t="shared" si="59"/>
        <v>293.33333333333843</v>
      </c>
      <c r="AN106" s="60">
        <f ca="1">AVERAGE(OFFSET($AM$3,0,0,'Données projet'!$E$10+1,1))-AVERAGE(OFFSET($H$3,0,0,'Données projet'!$E$10+1,1))</f>
        <v>325.06345339097095</v>
      </c>
      <c r="AO106" s="60">
        <f t="shared" si="90"/>
        <v>318.90379036810754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0" t="e">
        <f t="shared" si="62"/>
        <v>#N/A</v>
      </c>
      <c r="BI106" s="60" t="e">
        <f ca="1">AVERAGE(OFFSET($BH$3,0,0,'Données projet'!$E$11+1,1))-AVERAGE(OFFSET($H$3,0,0,'Données projet'!$E$11+1,1))</f>
        <v>#N/A</v>
      </c>
      <c r="BJ106" s="60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0" t="e">
        <f t="shared" si="65"/>
        <v>#N/A</v>
      </c>
      <c r="CD106" s="60" t="e">
        <f ca="1">AVERAGE(OFFSET($CC$3,0,0,'Données projet'!$E$12+1,1))-AVERAGE(OFFSET($H$3,0,0,'Données projet'!$E$12+1,1))</f>
        <v>#N/A</v>
      </c>
      <c r="CE106" s="60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239.54111999999981</v>
      </c>
      <c r="CV106" s="14">
        <f t="shared" si="95"/>
        <v>58.340789220458902</v>
      </c>
      <c r="CW106" s="22">
        <f t="shared" si="67"/>
        <v>518.81099189229883</v>
      </c>
      <c r="CX106" s="60">
        <f t="shared" si="68"/>
        <v>812.1443252256322</v>
      </c>
      <c r="CY106" s="60">
        <f ca="1">AVERAGE(OFFSET($CX$3,0,0,'Données projet'!$E$13+1,1))-AVERAGE(OFFSET($H$3,0,0,'Données projet'!$E$13+1,1))</f>
        <v>415.50509041799154</v>
      </c>
      <c r="CZ106" s="60">
        <f t="shared" si="96"/>
        <v>239.93573789765657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274.19999999999976</v>
      </c>
      <c r="DP106" s="18">
        <f>DO106*VLOOKUP('Données projet'!$B$14,Paramètres!$A$1:$I$89,3,0)*VLOOKUP('Données projet'!$B$14,Paramètres!$A$1:$I$89,5,0)</f>
        <v>278.03879999999975</v>
      </c>
      <c r="DQ106" s="14">
        <f t="shared" si="97"/>
        <v>66.552381547717744</v>
      </c>
      <c r="DR106" s="22">
        <f t="shared" si="70"/>
        <v>600.16297452894128</v>
      </c>
      <c r="DS106" s="60">
        <f t="shared" si="71"/>
        <v>893.49630786227453</v>
      </c>
      <c r="DT106" s="60">
        <f ca="1">AVERAGE(OFFSET($DS$3,0,0,'Données projet'!$E$14+1,1))-AVERAGE(OFFSET($H$3,0,0,'Données projet'!$E$14+1,1))</f>
        <v>475.47920969424894</v>
      </c>
      <c r="DU106" s="60">
        <f t="shared" si="98"/>
        <v>271.73544012419364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4.4000000000000004</v>
      </c>
      <c r="EJ106" s="13">
        <f>IF('Données projet'!$A$192&gt;35,EJ105+EI106-ER105,IF(A106&lt;'Données projet'!$A$192,$EG$205^A106,IF(A106='Données projet'!$A$192,'Données projet'!$B$192,EJ105+EI106-ER105)))</f>
        <v>274.19999999999976</v>
      </c>
      <c r="EK106" s="18">
        <f>EJ106*VLOOKUP('Données projet'!$B$15,Paramètres!$A$1:$I$89,3,0)*VLOOKUP('Données projet'!$B$15,Paramètres!$A$1:$I$89,5,0)</f>
        <v>248.0961599999998</v>
      </c>
      <c r="EL106" s="14">
        <f t="shared" si="99"/>
        <v>60.178080967364686</v>
      </c>
      <c r="EM106" s="22">
        <f t="shared" si="73"/>
        <v>536.91096968482657</v>
      </c>
      <c r="EN106" s="60">
        <f t="shared" si="74"/>
        <v>830.24430301815983</v>
      </c>
      <c r="EO106" s="60">
        <f ca="1">AVERAGE(OFFSET($EN$3,0,0,'Données projet'!$E$15+1,1))-AVERAGE(OFFSET($H$3,0,0,'Données projet'!$E$15+1,1))</f>
        <v>428.8489304403459</v>
      </c>
      <c r="EP106" s="60">
        <f t="shared" si="100"/>
        <v>247.01165577562966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4.4000000000000004</v>
      </c>
      <c r="FE106" s="13">
        <f>IF('Données projet'!$A$218&gt;35,FE105+FD106-FM105,IF(A106&lt;'Données projet'!$A$218,$FB$205^A106,IF(A106='Données projet'!$A$218,'Données projet'!$B$218,FE105+FD106-FM105)))</f>
        <v>274.19999999999976</v>
      </c>
      <c r="FF106" s="18">
        <f>FE106*VLOOKUP('Données projet'!$B$16,Paramètres!$A$1:$I$89,3,0)*VLOOKUP('Données projet'!$B$16,Paramètres!$A$1:$I$89,5,0)</f>
        <v>265.20623999999975</v>
      </c>
      <c r="FG106" s="14">
        <f t="shared" si="101"/>
        <v>63.830854160896386</v>
      </c>
      <c r="FH106" s="22">
        <f t="shared" si="76"/>
        <v>573.07293899689409</v>
      </c>
      <c r="FI106" s="60">
        <f t="shared" si="77"/>
        <v>866.40627233022747</v>
      </c>
      <c r="FJ106" s="60">
        <f ca="1">AVERAGE(OFFSET($FI$3,0,0,'Données projet'!$E$16+1,1))-AVERAGE(OFFSET($H$3,0,0,'Données projet'!$E$16+1,1))</f>
        <v>455.50822833641354</v>
      </c>
      <c r="FK106" s="60">
        <f t="shared" si="102"/>
        <v>261.14722581688039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 t="e">
        <f>N107*VLOOKUP('Données projet'!$B$9,Paramètres!$A$1:$I$89,3,0)*VLOOKUP('Données projet'!$B$9,Paramètres!$A$1:$I$89,5,0)</f>
        <v>#N/A</v>
      </c>
      <c r="P107" s="14" t="e">
        <f t="shared" si="87"/>
        <v>#N/A</v>
      </c>
      <c r="Q107" s="22" t="e">
        <f t="shared" si="107"/>
        <v>#N/A</v>
      </c>
      <c r="R107" s="60" t="e">
        <f t="shared" si="55"/>
        <v>#N/A</v>
      </c>
      <c r="S107" s="60" t="e">
        <f ca="1">AVERAGE(OFFSET($R$3,0,0,'Données projet'!$E$9+1,1))-AVERAGE(OFFSET($H$3,0,0,'Données projet'!$E$9+1,1))</f>
        <v>#N/A</v>
      </c>
      <c r="T107" s="60" t="e">
        <f t="shared" si="88"/>
        <v>#N/A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 t="e">
        <f>EXP(-LN(2)/35)*Z106+(1-EXP(-LN(2)/35))/(LN(2)/35)*V107*W107*VLOOKUP('Données projet'!$B$9,Paramètres!$A$1:$I$89,3,0)*0.475*44/12</f>
        <v>#N/A</v>
      </c>
      <c r="AA107" s="23" t="e">
        <f>EXP(-LN(2)/25)*AA106+(1-EXP(-LN(2)/25))/(LN(2)/25)*Calculateur!V107*Calculateur!X107*VLOOKUP('Données projet'!$B$9,Paramètres!$A$1:$I$89,3,0)*0.475*44/12</f>
        <v>#N/A</v>
      </c>
      <c r="AB107" s="23" t="e">
        <f>EXP(-LN(2)/2)*AB106+(1-EXP(-LN(2)/2))/(LN(2)/2)*V107*Y107*VLOOKUP('Données projet'!$B$9,Paramètres!$A$1:$I$89,3,0)*0.475*44/12</f>
        <v>#N/A</v>
      </c>
      <c r="AC107" s="24" t="e">
        <f t="shared" si="57"/>
        <v>#N/A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projet'!$B$10,Paramètres!$A$1:$I$89,3,0)*VLOOKUP('Données projet'!$B$10,Paramètres!$A$1:$I$89,5,0)</f>
        <v>1.9863364286720756E-13</v>
      </c>
      <c r="AK107" s="14">
        <f t="shared" si="89"/>
        <v>2.7549360720371426E-12</v>
      </c>
      <c r="AL107" s="22">
        <f t="shared" si="58"/>
        <v>5.144133920125077E-12</v>
      </c>
      <c r="AM107" s="60">
        <f t="shared" si="59"/>
        <v>293.33333333333843</v>
      </c>
      <c r="AN107" s="60">
        <f ca="1">AVERAGE(OFFSET($AM$3,0,0,'Données projet'!$E$10+1,1))-AVERAGE(OFFSET($H$3,0,0,'Données projet'!$E$10+1,1))</f>
        <v>325.06345339097095</v>
      </c>
      <c r="AO107" s="60">
        <f t="shared" si="90"/>
        <v>318.90379036810754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0" t="e">
        <f t="shared" si="62"/>
        <v>#N/A</v>
      </c>
      <c r="BI107" s="60" t="e">
        <f ca="1">AVERAGE(OFFSET($BH$3,0,0,'Données projet'!$E$11+1,1))-AVERAGE(OFFSET($H$3,0,0,'Données projet'!$E$11+1,1))</f>
        <v>#N/A</v>
      </c>
      <c r="BJ107" s="60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0" t="e">
        <f t="shared" si="65"/>
        <v>#N/A</v>
      </c>
      <c r="CD107" s="60" t="e">
        <f ca="1">AVERAGE(OFFSET($CC$3,0,0,'Données projet'!$E$12+1,1))-AVERAGE(OFFSET($H$3,0,0,'Données projet'!$E$12+1,1))</f>
        <v>#N/A</v>
      </c>
      <c r="CE107" s="60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243.38495999999981</v>
      </c>
      <c r="CV107" s="14">
        <f t="shared" si="95"/>
        <v>59.167226410761096</v>
      </c>
      <c r="CW107" s="22">
        <f t="shared" si="67"/>
        <v>526.94505799874185</v>
      </c>
      <c r="CX107" s="60">
        <f t="shared" si="68"/>
        <v>820.27839133207522</v>
      </c>
      <c r="CY107" s="60">
        <f ca="1">AVERAGE(OFFSET($CX$3,0,0,'Données projet'!$E$13+1,1))-AVERAGE(OFFSET($H$3,0,0,'Données projet'!$E$13+1,1))</f>
        <v>415.50509041799154</v>
      </c>
      <c r="CZ107" s="60">
        <f t="shared" si="96"/>
        <v>239.93573789765657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278.59999999999974</v>
      </c>
      <c r="DP107" s="18">
        <f>DO107*VLOOKUP('Données projet'!$B$14,Paramètres!$A$1:$I$89,3,0)*VLOOKUP('Données projet'!$B$14,Paramètres!$A$1:$I$89,5,0)</f>
        <v>282.50039999999973</v>
      </c>
      <c r="DQ107" s="14">
        <f t="shared" si="97"/>
        <v>67.495141560894311</v>
      </c>
      <c r="DR107" s="22">
        <f t="shared" si="70"/>
        <v>609.57556821855712</v>
      </c>
      <c r="DS107" s="60">
        <f t="shared" si="71"/>
        <v>902.90890155189049</v>
      </c>
      <c r="DT107" s="60">
        <f ca="1">AVERAGE(OFFSET($DS$3,0,0,'Données projet'!$E$14+1,1))-AVERAGE(OFFSET($H$3,0,0,'Données projet'!$E$14+1,1))</f>
        <v>475.47920969424894</v>
      </c>
      <c r="DU107" s="60">
        <f t="shared" si="98"/>
        <v>271.73544012419364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4.4000000000000004</v>
      </c>
      <c r="EJ107" s="13">
        <f>IF('Données projet'!$A$192&gt;35,EJ106+EI107-ER106,IF(A107&lt;'Données projet'!$A$192,$EG$205^A107,IF(A107='Données projet'!$A$192,'Données projet'!$B$192,EJ106+EI107-ER106)))</f>
        <v>278.59999999999974</v>
      </c>
      <c r="EK107" s="18">
        <f>EJ107*VLOOKUP('Données projet'!$B$15,Paramètres!$A$1:$I$89,3,0)*VLOOKUP('Données projet'!$B$15,Paramètres!$A$1:$I$89,5,0)</f>
        <v>252.07727999999975</v>
      </c>
      <c r="EL107" s="14">
        <f t="shared" si="99"/>
        <v>61.03054465215493</v>
      </c>
      <c r="EM107" s="22">
        <f t="shared" si="73"/>
        <v>545.32946126916943</v>
      </c>
      <c r="EN107" s="60">
        <f t="shared" si="74"/>
        <v>838.6627946025028</v>
      </c>
      <c r="EO107" s="60">
        <f ca="1">AVERAGE(OFFSET($EN$3,0,0,'Données projet'!$E$15+1,1))-AVERAGE(OFFSET($H$3,0,0,'Données projet'!$E$15+1,1))</f>
        <v>428.8489304403459</v>
      </c>
      <c r="EP107" s="60">
        <f t="shared" si="100"/>
        <v>247.01165577562966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4.4000000000000004</v>
      </c>
      <c r="FE107" s="13">
        <f>IF('Données projet'!$A$218&gt;35,FE106+FD107-FM106,IF(A107&lt;'Données projet'!$A$218,$FB$205^A107,IF(A107='Données projet'!$A$218,'Données projet'!$B$218,FE106+FD107-FM106)))</f>
        <v>278.59999999999974</v>
      </c>
      <c r="FF107" s="18">
        <f>FE107*VLOOKUP('Données projet'!$B$16,Paramètres!$A$1:$I$89,3,0)*VLOOKUP('Données projet'!$B$16,Paramètres!$A$1:$I$89,5,0)</f>
        <v>269.46191999999974</v>
      </c>
      <c r="FG107" s="14">
        <f t="shared" si="101"/>
        <v>64.735061876839055</v>
      </c>
      <c r="FH107" s="22">
        <f t="shared" si="76"/>
        <v>582.05974343549417</v>
      </c>
      <c r="FI107" s="60">
        <f t="shared" si="77"/>
        <v>875.39307676882754</v>
      </c>
      <c r="FJ107" s="60">
        <f ca="1">AVERAGE(OFFSET($FI$3,0,0,'Données projet'!$E$16+1,1))-AVERAGE(OFFSET($H$3,0,0,'Données projet'!$E$16+1,1))</f>
        <v>455.50822833641354</v>
      </c>
      <c r="FK107" s="60">
        <f t="shared" si="102"/>
        <v>261.14722581688039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 t="e">
        <f>N108*VLOOKUP('Données projet'!$B$9,Paramètres!$A$1:$I$89,3,0)*VLOOKUP('Données projet'!$B$9,Paramètres!$A$1:$I$89,5,0)</f>
        <v>#N/A</v>
      </c>
      <c r="P108" s="14" t="e">
        <f t="shared" si="87"/>
        <v>#N/A</v>
      </c>
      <c r="Q108" s="22" t="e">
        <f t="shared" si="107"/>
        <v>#N/A</v>
      </c>
      <c r="R108" s="60" t="e">
        <f t="shared" si="55"/>
        <v>#N/A</v>
      </c>
      <c r="S108" s="60" t="e">
        <f ca="1">AVERAGE(OFFSET($R$3,0,0,'Données projet'!$E$9+1,1))-AVERAGE(OFFSET($H$3,0,0,'Données projet'!$E$9+1,1))</f>
        <v>#N/A</v>
      </c>
      <c r="T108" s="60" t="e">
        <f t="shared" si="88"/>
        <v>#N/A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 t="e">
        <f>EXP(-LN(2)/35)*Z107+(1-EXP(-LN(2)/35))/(LN(2)/35)*V108*W108*VLOOKUP('Données projet'!$B$9,Paramètres!$A$1:$I$89,3,0)*0.475*44/12</f>
        <v>#N/A</v>
      </c>
      <c r="AA108" s="23" t="e">
        <f>EXP(-LN(2)/25)*AA107+(1-EXP(-LN(2)/25))/(LN(2)/25)*Calculateur!V108*Calculateur!X108*VLOOKUP('Données projet'!$B$9,Paramètres!$A$1:$I$89,3,0)*0.475*44/12</f>
        <v>#N/A</v>
      </c>
      <c r="AB108" s="23" t="e">
        <f>EXP(-LN(2)/2)*AB107+(1-EXP(-LN(2)/2))/(LN(2)/2)*V108*Y108*VLOOKUP('Données projet'!$B$9,Paramètres!$A$1:$I$89,3,0)*0.475*44/12</f>
        <v>#N/A</v>
      </c>
      <c r="AC108" s="24" t="e">
        <f t="shared" si="57"/>
        <v>#N/A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projet'!$B$10,Paramètres!$A$1:$I$89,3,0)*VLOOKUP('Données projet'!$B$10,Paramètres!$A$1:$I$89,5,0)</f>
        <v>1.9863364286720756E-13</v>
      </c>
      <c r="AK108" s="14">
        <f t="shared" si="89"/>
        <v>2.7549360720371426E-12</v>
      </c>
      <c r="AL108" s="22">
        <f t="shared" si="58"/>
        <v>5.144133920125077E-12</v>
      </c>
      <c r="AM108" s="60">
        <f t="shared" si="59"/>
        <v>293.33333333333843</v>
      </c>
      <c r="AN108" s="60">
        <f ca="1">AVERAGE(OFFSET($AM$3,0,0,'Données projet'!$E$10+1,1))-AVERAGE(OFFSET($H$3,0,0,'Données projet'!$E$10+1,1))</f>
        <v>325.06345339097095</v>
      </c>
      <c r="AO108" s="60">
        <f t="shared" si="90"/>
        <v>318.90379036810754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0" t="e">
        <f t="shared" si="62"/>
        <v>#N/A</v>
      </c>
      <c r="BI108" s="60" t="e">
        <f ca="1">AVERAGE(OFFSET($BH$3,0,0,'Données projet'!$E$11+1,1))-AVERAGE(OFFSET($H$3,0,0,'Données projet'!$E$11+1,1))</f>
        <v>#N/A</v>
      </c>
      <c r="BJ108" s="60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0" t="e">
        <f t="shared" si="65"/>
        <v>#N/A</v>
      </c>
      <c r="CD108" s="60" t="e">
        <f ca="1">AVERAGE(OFFSET($CC$3,0,0,'Données projet'!$E$12+1,1))-AVERAGE(OFFSET($H$3,0,0,'Données projet'!$E$12+1,1))</f>
        <v>#N/A</v>
      </c>
      <c r="CE108" s="60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247.22879999999978</v>
      </c>
      <c r="CV108" s="14">
        <f t="shared" si="95"/>
        <v>59.992145661928042</v>
      </c>
      <c r="CW108" s="22">
        <f t="shared" si="67"/>
        <v>535.07648036119087</v>
      </c>
      <c r="CX108" s="60">
        <f t="shared" si="68"/>
        <v>828.40981369452425</v>
      </c>
      <c r="CY108" s="60">
        <f ca="1">AVERAGE(OFFSET($CX$3,0,0,'Données projet'!$E$13+1,1))-AVERAGE(OFFSET($H$3,0,0,'Données projet'!$E$13+1,1))</f>
        <v>415.50509041799154</v>
      </c>
      <c r="CZ108" s="60">
        <f t="shared" si="96"/>
        <v>239.93573789765657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282.99999999999972</v>
      </c>
      <c r="DP108" s="18">
        <f>DO108*VLOOKUP('Données projet'!$B$14,Paramètres!$A$1:$I$89,3,0)*VLOOKUP('Données projet'!$B$14,Paramètres!$A$1:$I$89,5,0)</f>
        <v>286.9619999999997</v>
      </c>
      <c r="DQ108" s="14">
        <f t="shared" si="97"/>
        <v>68.436169981717796</v>
      </c>
      <c r="DR108" s="22">
        <f t="shared" si="70"/>
        <v>618.98514605149137</v>
      </c>
      <c r="DS108" s="60">
        <f t="shared" si="71"/>
        <v>912.31847938482474</v>
      </c>
      <c r="DT108" s="60">
        <f ca="1">AVERAGE(OFFSET($DS$3,0,0,'Données projet'!$E$14+1,1))-AVERAGE(OFFSET($H$3,0,0,'Données projet'!$E$14+1,1))</f>
        <v>475.47920969424894</v>
      </c>
      <c r="DU108" s="60">
        <f t="shared" si="98"/>
        <v>271.73544012419364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4.4000000000000004</v>
      </c>
      <c r="EJ108" s="13">
        <f>IF('Données projet'!$A$192&gt;35,EJ107+EI108-ER107,IF(A108&lt;'Données projet'!$A$192,$EG$205^A108,IF(A108='Données projet'!$A$192,'Données projet'!$B$192,EJ107+EI108-ER107)))</f>
        <v>282.99999999999972</v>
      </c>
      <c r="EK108" s="18">
        <f>EJ108*VLOOKUP('Données projet'!$B$15,Paramètres!$A$1:$I$89,3,0)*VLOOKUP('Données projet'!$B$15,Paramètres!$A$1:$I$89,5,0)</f>
        <v>256.05839999999972</v>
      </c>
      <c r="EL108" s="14">
        <f t="shared" si="99"/>
        <v>61.881442594256434</v>
      </c>
      <c r="EM108" s="22">
        <f t="shared" si="73"/>
        <v>553.74522585166278</v>
      </c>
      <c r="EN108" s="60">
        <f t="shared" si="74"/>
        <v>847.07855918499604</v>
      </c>
      <c r="EO108" s="60">
        <f ca="1">AVERAGE(OFFSET($EN$3,0,0,'Données projet'!$E$15+1,1))-AVERAGE(OFFSET($H$3,0,0,'Données projet'!$E$15+1,1))</f>
        <v>428.8489304403459</v>
      </c>
      <c r="EP108" s="60">
        <f t="shared" si="100"/>
        <v>247.01165577562966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4.4000000000000004</v>
      </c>
      <c r="FE108" s="13">
        <f>IF('Données projet'!$A$218&gt;35,FE107+FD108-FM107,IF(A108&lt;'Données projet'!$A$218,$FB$205^A108,IF(A108='Données projet'!$A$218,'Données projet'!$B$218,FE107+FD108-FM107)))</f>
        <v>282.99999999999972</v>
      </c>
      <c r="FF108" s="18">
        <f>FE108*VLOOKUP('Données projet'!$B$16,Paramètres!$A$1:$I$89,3,0)*VLOOKUP('Données projet'!$B$16,Paramètres!$A$1:$I$89,5,0)</f>
        <v>273.71759999999972</v>
      </c>
      <c r="FG108" s="14">
        <f t="shared" si="101"/>
        <v>65.637608810456612</v>
      </c>
      <c r="FH108" s="22">
        <f t="shared" si="76"/>
        <v>591.04365534487806</v>
      </c>
      <c r="FI108" s="60">
        <f t="shared" si="77"/>
        <v>884.37698867821132</v>
      </c>
      <c r="FJ108" s="60">
        <f ca="1">AVERAGE(OFFSET($FI$3,0,0,'Données projet'!$E$16+1,1))-AVERAGE(OFFSET($H$3,0,0,'Données projet'!$E$16+1,1))</f>
        <v>455.50822833641354</v>
      </c>
      <c r="FK108" s="60">
        <f t="shared" si="102"/>
        <v>261.14722581688039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 t="e">
        <f>N109*VLOOKUP('Données projet'!$B$9,Paramètres!$A$1:$I$89,3,0)*VLOOKUP('Données projet'!$B$9,Paramètres!$A$1:$I$89,5,0)</f>
        <v>#N/A</v>
      </c>
      <c r="P109" s="14" t="e">
        <f t="shared" si="87"/>
        <v>#N/A</v>
      </c>
      <c r="Q109" s="22" t="e">
        <f t="shared" si="107"/>
        <v>#N/A</v>
      </c>
      <c r="R109" s="60" t="e">
        <f t="shared" si="55"/>
        <v>#N/A</v>
      </c>
      <c r="S109" s="60" t="e">
        <f ca="1">AVERAGE(OFFSET($R$3,0,0,'Données projet'!$E$9+1,1))-AVERAGE(OFFSET($H$3,0,0,'Données projet'!$E$9+1,1))</f>
        <v>#N/A</v>
      </c>
      <c r="T109" s="60" t="e">
        <f t="shared" si="88"/>
        <v>#N/A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 t="e">
        <f>EXP(-LN(2)/35)*Z108+(1-EXP(-LN(2)/35))/(LN(2)/35)*V109*W109*VLOOKUP('Données projet'!$B$9,Paramètres!$A$1:$I$89,3,0)*0.475*44/12</f>
        <v>#N/A</v>
      </c>
      <c r="AA109" s="23" t="e">
        <f>EXP(-LN(2)/25)*AA108+(1-EXP(-LN(2)/25))/(LN(2)/25)*Calculateur!V109*Calculateur!X109*VLOOKUP('Données projet'!$B$9,Paramètres!$A$1:$I$89,3,0)*0.475*44/12</f>
        <v>#N/A</v>
      </c>
      <c r="AB109" s="23" t="e">
        <f>EXP(-LN(2)/2)*AB108+(1-EXP(-LN(2)/2))/(LN(2)/2)*V109*Y109*VLOOKUP('Données projet'!$B$9,Paramètres!$A$1:$I$89,3,0)*0.475*44/12</f>
        <v>#N/A</v>
      </c>
      <c r="AC109" s="24" t="e">
        <f t="shared" si="57"/>
        <v>#N/A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projet'!$B$10,Paramètres!$A$1:$I$89,3,0)*VLOOKUP('Données projet'!$B$10,Paramètres!$A$1:$I$89,5,0)</f>
        <v>1.9863364286720756E-13</v>
      </c>
      <c r="AK109" s="14">
        <f t="shared" si="89"/>
        <v>2.7549360720371426E-12</v>
      </c>
      <c r="AL109" s="22">
        <f t="shared" si="58"/>
        <v>5.144133920125077E-12</v>
      </c>
      <c r="AM109" s="60">
        <f t="shared" si="59"/>
        <v>293.33333333333843</v>
      </c>
      <c r="AN109" s="60">
        <f ca="1">AVERAGE(OFFSET($AM$3,0,0,'Données projet'!$E$10+1,1))-AVERAGE(OFFSET($H$3,0,0,'Données projet'!$E$10+1,1))</f>
        <v>325.06345339097095</v>
      </c>
      <c r="AO109" s="60">
        <f t="shared" si="90"/>
        <v>318.90379036810754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0" t="e">
        <f t="shared" si="62"/>
        <v>#N/A</v>
      </c>
      <c r="BI109" s="60" t="e">
        <f ca="1">AVERAGE(OFFSET($BH$3,0,0,'Données projet'!$E$11+1,1))-AVERAGE(OFFSET($H$3,0,0,'Données projet'!$E$11+1,1))</f>
        <v>#N/A</v>
      </c>
      <c r="BJ109" s="60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0" t="e">
        <f t="shared" si="65"/>
        <v>#N/A</v>
      </c>
      <c r="CD109" s="60" t="e">
        <f ca="1">AVERAGE(OFFSET($CC$3,0,0,'Données projet'!$E$12+1,1))-AVERAGE(OFFSET($H$3,0,0,'Données projet'!$E$12+1,1))</f>
        <v>#N/A</v>
      </c>
      <c r="CE109" s="60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251.07263999999978</v>
      </c>
      <c r="CV109" s="14">
        <f t="shared" si="95"/>
        <v>60.815573299830625</v>
      </c>
      <c r="CW109" s="22">
        <f t="shared" si="67"/>
        <v>543.2053048305379</v>
      </c>
      <c r="CX109" s="60">
        <f t="shared" si="68"/>
        <v>836.53863816387116</v>
      </c>
      <c r="CY109" s="60">
        <f ca="1">AVERAGE(OFFSET($CX$3,0,0,'Données projet'!$E$13+1,1))-AVERAGE(OFFSET($H$3,0,0,'Données projet'!$E$13+1,1))</f>
        <v>415.50509041799154</v>
      </c>
      <c r="CZ109" s="60">
        <f t="shared" si="96"/>
        <v>239.93573789765657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4.4000000000000004</v>
      </c>
      <c r="DO109" s="13">
        <f>IF('Données projet'!$A$166&gt;35,DO108+DN109-DW108,IF(A109&lt;'Données projet'!$A$166,$DL$205^A109,IF(A109='Données projet'!$A$166,'Données projet'!$B$166,DO108+DN109-DW108)))</f>
        <v>287.39999999999969</v>
      </c>
      <c r="DP109" s="18">
        <f>DO109*VLOOKUP('Données projet'!$B$14,Paramètres!$A$1:$I$89,3,0)*VLOOKUP('Données projet'!$B$14,Paramètres!$A$1:$I$89,5,0)</f>
        <v>291.42359999999968</v>
      </c>
      <c r="DQ109" s="14">
        <f t="shared" si="97"/>
        <v>69.375496841482104</v>
      </c>
      <c r="DR109" s="22">
        <f t="shared" si="70"/>
        <v>628.39176033224737</v>
      </c>
      <c r="DS109" s="60">
        <f t="shared" si="71"/>
        <v>921.72509366558074</v>
      </c>
      <c r="DT109" s="60">
        <f ca="1">AVERAGE(OFFSET($DS$3,0,0,'Données projet'!$E$14+1,1))-AVERAGE(OFFSET($H$3,0,0,'Données projet'!$E$14+1,1))</f>
        <v>475.47920969424894</v>
      </c>
      <c r="DU109" s="60">
        <f t="shared" si="98"/>
        <v>271.73544012419364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4.4000000000000004</v>
      </c>
      <c r="EJ109" s="13">
        <f>IF('Données projet'!$A$192&gt;35,EJ108+EI109-ER108,IF(A109&lt;'Données projet'!$A$192,$EG$205^A109,IF(A109='Données projet'!$A$192,'Données projet'!$B$192,EJ108+EI109-ER108)))</f>
        <v>287.39999999999969</v>
      </c>
      <c r="EK109" s="18">
        <f>EJ109*VLOOKUP('Données projet'!$B$15,Paramètres!$A$1:$I$89,3,0)*VLOOKUP('Données projet'!$B$15,Paramètres!$A$1:$I$89,5,0)</f>
        <v>260.0395199999997</v>
      </c>
      <c r="EL109" s="14">
        <f t="shared" si="99"/>
        <v>62.730801948604821</v>
      </c>
      <c r="EM109" s="22">
        <f t="shared" si="73"/>
        <v>562.15831072715287</v>
      </c>
      <c r="EN109" s="60">
        <f t="shared" si="74"/>
        <v>855.49164406048612</v>
      </c>
      <c r="EO109" s="60">
        <f ca="1">AVERAGE(OFFSET($EN$3,0,0,'Données projet'!$E$15+1,1))-AVERAGE(OFFSET($H$3,0,0,'Données projet'!$E$15+1,1))</f>
        <v>428.8489304403459</v>
      </c>
      <c r="EP109" s="60">
        <f t="shared" si="100"/>
        <v>247.01165577562966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4.4000000000000004</v>
      </c>
      <c r="FE109" s="13">
        <f>IF('Données projet'!$A$218&gt;35,FE108+FD109-FM108,IF(A109&lt;'Données projet'!$A$218,$FB$205^A109,IF(A109='Données projet'!$A$218,'Données projet'!$B$218,FE108+FD109-FM108)))</f>
        <v>287.39999999999969</v>
      </c>
      <c r="FF109" s="18">
        <f>FE109*VLOOKUP('Données projet'!$B$16,Paramètres!$A$1:$I$89,3,0)*VLOOKUP('Données projet'!$B$16,Paramètres!$A$1:$I$89,5,0)</f>
        <v>277.9732799999997</v>
      </c>
      <c r="FG109" s="14">
        <f t="shared" si="101"/>
        <v>66.538523764973135</v>
      </c>
      <c r="FH109" s="22">
        <f t="shared" si="76"/>
        <v>600.0247248906611</v>
      </c>
      <c r="FI109" s="60">
        <f t="shared" si="77"/>
        <v>893.35805822399448</v>
      </c>
      <c r="FJ109" s="60">
        <f ca="1">AVERAGE(OFFSET($FI$3,0,0,'Données projet'!$E$16+1,1))-AVERAGE(OFFSET($H$3,0,0,'Données projet'!$E$16+1,1))</f>
        <v>455.50822833641354</v>
      </c>
      <c r="FK109" s="60">
        <f t="shared" si="102"/>
        <v>261.14722581688039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 t="e">
        <f>N110*VLOOKUP('Données projet'!$B$9,Paramètres!$A$1:$I$89,3,0)*VLOOKUP('Données projet'!$B$9,Paramètres!$A$1:$I$89,5,0)</f>
        <v>#N/A</v>
      </c>
      <c r="P110" s="14" t="e">
        <f t="shared" si="87"/>
        <v>#N/A</v>
      </c>
      <c r="Q110" s="22" t="e">
        <f t="shared" si="107"/>
        <v>#N/A</v>
      </c>
      <c r="R110" s="60" t="e">
        <f t="shared" si="55"/>
        <v>#N/A</v>
      </c>
      <c r="S110" s="60" t="e">
        <f ca="1">AVERAGE(OFFSET($R$3,0,0,'Données projet'!$E$9+1,1))-AVERAGE(OFFSET($H$3,0,0,'Données projet'!$E$9+1,1))</f>
        <v>#N/A</v>
      </c>
      <c r="T110" s="60" t="e">
        <f t="shared" si="88"/>
        <v>#N/A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 t="e">
        <f>EXP(-LN(2)/35)*Z109+(1-EXP(-LN(2)/35))/(LN(2)/35)*V110*W110*VLOOKUP('Données projet'!$B$9,Paramètres!$A$1:$I$89,3,0)*0.475*44/12</f>
        <v>#N/A</v>
      </c>
      <c r="AA110" s="23" t="e">
        <f>EXP(-LN(2)/25)*AA109+(1-EXP(-LN(2)/25))/(LN(2)/25)*Calculateur!V110*Calculateur!X110*VLOOKUP('Données projet'!$B$9,Paramètres!$A$1:$I$89,3,0)*0.475*44/12</f>
        <v>#N/A</v>
      </c>
      <c r="AB110" s="23" t="e">
        <f>EXP(-LN(2)/2)*AB109+(1-EXP(-LN(2)/2))/(LN(2)/2)*V110*Y110*VLOOKUP('Données projet'!$B$9,Paramètres!$A$1:$I$89,3,0)*0.475*44/12</f>
        <v>#N/A</v>
      </c>
      <c r="AC110" s="24" t="e">
        <f t="shared" si="57"/>
        <v>#N/A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projet'!$B$10,Paramètres!$A$1:$I$89,3,0)*VLOOKUP('Données projet'!$B$10,Paramètres!$A$1:$I$89,5,0)</f>
        <v>1.9863364286720756E-13</v>
      </c>
      <c r="AK110" s="14">
        <f t="shared" si="89"/>
        <v>2.7549360720371426E-12</v>
      </c>
      <c r="AL110" s="22">
        <f t="shared" si="58"/>
        <v>5.144133920125077E-12</v>
      </c>
      <c r="AM110" s="60">
        <f t="shared" si="59"/>
        <v>293.33333333333843</v>
      </c>
      <c r="AN110" s="60">
        <f ca="1">AVERAGE(OFFSET($AM$3,0,0,'Données projet'!$E$10+1,1))-AVERAGE(OFFSET($H$3,0,0,'Données projet'!$E$10+1,1))</f>
        <v>325.06345339097095</v>
      </c>
      <c r="AO110" s="60">
        <f t="shared" si="90"/>
        <v>318.90379036810754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0" t="e">
        <f t="shared" si="62"/>
        <v>#N/A</v>
      </c>
      <c r="BI110" s="60" t="e">
        <f ca="1">AVERAGE(OFFSET($BH$3,0,0,'Données projet'!$E$11+1,1))-AVERAGE(OFFSET($H$3,0,0,'Données projet'!$E$11+1,1))</f>
        <v>#N/A</v>
      </c>
      <c r="BJ110" s="60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0" t="e">
        <f t="shared" si="65"/>
        <v>#N/A</v>
      </c>
      <c r="CD110" s="60" t="e">
        <f ca="1">AVERAGE(OFFSET($CC$3,0,0,'Données projet'!$E$12+1,1))-AVERAGE(OFFSET($H$3,0,0,'Données projet'!$E$12+1,1))</f>
        <v>#N/A</v>
      </c>
      <c r="CE110" s="60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254.91647999999978</v>
      </c>
      <c r="CV110" s="14">
        <f t="shared" si="95"/>
        <v>61.637534798004744</v>
      </c>
      <c r="CW110" s="22">
        <f t="shared" si="67"/>
        <v>551.33157577319116</v>
      </c>
      <c r="CX110" s="60">
        <f t="shared" si="68"/>
        <v>844.66490910652442</v>
      </c>
      <c r="CY110" s="60">
        <f ca="1">AVERAGE(OFFSET($CX$3,0,0,'Données projet'!$E$13+1,1))-AVERAGE(OFFSET($H$3,0,0,'Données projet'!$E$13+1,1))</f>
        <v>415.50509041799154</v>
      </c>
      <c r="CZ110" s="60">
        <f t="shared" si="96"/>
        <v>239.93573789765657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4.4000000000000004</v>
      </c>
      <c r="DO110" s="13">
        <f>IF('Données projet'!$A$166&gt;35,DO109+DN110-DW109,IF(A110&lt;'Données projet'!$A$166,$DL$205^A110,IF(A110='Données projet'!$A$166,'Données projet'!$B$166,DO109+DN110-DW109)))</f>
        <v>291.79999999999967</v>
      </c>
      <c r="DP110" s="18">
        <f>DO110*VLOOKUP('Données projet'!$B$14,Paramètres!$A$1:$I$89,3,0)*VLOOKUP('Données projet'!$B$14,Paramètres!$A$1:$I$89,5,0)</f>
        <v>295.88519999999966</v>
      </c>
      <c r="DQ110" s="14">
        <f t="shared" si="97"/>
        <v>70.313151199178748</v>
      </c>
      <c r="DR110" s="22">
        <f t="shared" si="70"/>
        <v>637.79546167190244</v>
      </c>
      <c r="DS110" s="60">
        <f t="shared" si="71"/>
        <v>931.12879500523582</v>
      </c>
      <c r="DT110" s="60">
        <f ca="1">AVERAGE(OFFSET($DS$3,0,0,'Données projet'!$E$14+1,1))-AVERAGE(OFFSET($H$3,0,0,'Données projet'!$E$14+1,1))</f>
        <v>475.47920969424894</v>
      </c>
      <c r="DU110" s="60">
        <f t="shared" si="98"/>
        <v>271.73544012419364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4.4000000000000004</v>
      </c>
      <c r="EJ110" s="13">
        <f>IF('Données projet'!$A$192&gt;35,EJ109+EI110-ER109,IF(A110&lt;'Données projet'!$A$192,$EG$205^A110,IF(A110='Données projet'!$A$192,'Données projet'!$B$192,EJ109+EI110-ER109)))</f>
        <v>291.79999999999967</v>
      </c>
      <c r="EK110" s="18">
        <f>EJ110*VLOOKUP('Données projet'!$B$15,Paramètres!$A$1:$I$89,3,0)*VLOOKUP('Données projet'!$B$15,Paramètres!$A$1:$I$89,5,0)</f>
        <v>264.02063999999967</v>
      </c>
      <c r="EL110" s="14">
        <f t="shared" si="99"/>
        <v>63.57864899095906</v>
      </c>
      <c r="EM110" s="22">
        <f t="shared" si="73"/>
        <v>570.56876165925303</v>
      </c>
      <c r="EN110" s="60">
        <f t="shared" si="74"/>
        <v>863.9020949925864</v>
      </c>
      <c r="EO110" s="60">
        <f ca="1">AVERAGE(OFFSET($EN$3,0,0,'Données projet'!$E$15+1,1))-AVERAGE(OFFSET($H$3,0,0,'Données projet'!$E$15+1,1))</f>
        <v>428.8489304403459</v>
      </c>
      <c r="EP110" s="60">
        <f t="shared" si="100"/>
        <v>247.01165577562966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4.4000000000000004</v>
      </c>
      <c r="FE110" s="13">
        <f>IF('Données projet'!$A$218&gt;35,FE109+FD110-FM109,IF(A110&lt;'Données projet'!$A$218,$FB$205^A110,IF(A110='Données projet'!$A$218,'Données projet'!$B$218,FE109+FD110-FM109)))</f>
        <v>291.79999999999967</v>
      </c>
      <c r="FF110" s="18">
        <f>FE110*VLOOKUP('Données projet'!$B$16,Paramètres!$A$1:$I$89,3,0)*VLOOKUP('Données projet'!$B$16,Paramètres!$A$1:$I$89,5,0)</f>
        <v>282.22895999999969</v>
      </c>
      <c r="FG110" s="14">
        <f t="shared" si="101"/>
        <v>67.437834611070301</v>
      </c>
      <c r="FH110" s="22">
        <f t="shared" si="76"/>
        <v>609.00300061428027</v>
      </c>
      <c r="FI110" s="60">
        <f t="shared" si="77"/>
        <v>902.33633394761364</v>
      </c>
      <c r="FJ110" s="60">
        <f ca="1">AVERAGE(OFFSET($FI$3,0,0,'Données projet'!$E$16+1,1))-AVERAGE(OFFSET($H$3,0,0,'Données projet'!$E$16+1,1))</f>
        <v>455.50822833641354</v>
      </c>
      <c r="FK110" s="60">
        <f t="shared" si="102"/>
        <v>261.14722581688039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 t="e">
        <f>N111*VLOOKUP('Données projet'!$B$9,Paramètres!$A$1:$I$89,3,0)*VLOOKUP('Données projet'!$B$9,Paramètres!$A$1:$I$89,5,0)</f>
        <v>#N/A</v>
      </c>
      <c r="P111" s="14" t="e">
        <f t="shared" si="87"/>
        <v>#N/A</v>
      </c>
      <c r="Q111" s="22" t="e">
        <f t="shared" si="107"/>
        <v>#N/A</v>
      </c>
      <c r="R111" s="60" t="e">
        <f t="shared" si="55"/>
        <v>#N/A</v>
      </c>
      <c r="S111" s="60" t="e">
        <f ca="1">AVERAGE(OFFSET($R$3,0,0,'Données projet'!$E$9+1,1))-AVERAGE(OFFSET($H$3,0,0,'Données projet'!$E$9+1,1))</f>
        <v>#N/A</v>
      </c>
      <c r="T111" s="60" t="e">
        <f t="shared" si="88"/>
        <v>#N/A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 t="e">
        <f>EXP(-LN(2)/35)*Z110+(1-EXP(-LN(2)/35))/(LN(2)/35)*V111*W111*VLOOKUP('Données projet'!$B$9,Paramètres!$A$1:$I$89,3,0)*0.475*44/12</f>
        <v>#N/A</v>
      </c>
      <c r="AA111" s="23" t="e">
        <f>EXP(-LN(2)/25)*AA110+(1-EXP(-LN(2)/25))/(LN(2)/25)*Calculateur!V111*Calculateur!X111*VLOOKUP('Données projet'!$B$9,Paramètres!$A$1:$I$89,3,0)*0.475*44/12</f>
        <v>#N/A</v>
      </c>
      <c r="AB111" s="23" t="e">
        <f>EXP(-LN(2)/2)*AB110+(1-EXP(-LN(2)/2))/(LN(2)/2)*V111*Y111*VLOOKUP('Données projet'!$B$9,Paramètres!$A$1:$I$89,3,0)*0.475*44/12</f>
        <v>#N/A</v>
      </c>
      <c r="AC111" s="24" t="e">
        <f t="shared" si="57"/>
        <v>#N/A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projet'!$B$10,Paramètres!$A$1:$I$89,3,0)*VLOOKUP('Données projet'!$B$10,Paramètres!$A$1:$I$89,5,0)</f>
        <v>1.9863364286720756E-13</v>
      </c>
      <c r="AK111" s="14">
        <f t="shared" si="89"/>
        <v>2.7549360720371426E-12</v>
      </c>
      <c r="AL111" s="22">
        <f t="shared" si="58"/>
        <v>5.144133920125077E-12</v>
      </c>
      <c r="AM111" s="60">
        <f t="shared" si="59"/>
        <v>293.33333333333843</v>
      </c>
      <c r="AN111" s="60">
        <f ca="1">AVERAGE(OFFSET($AM$3,0,0,'Données projet'!$E$10+1,1))-AVERAGE(OFFSET($H$3,0,0,'Données projet'!$E$10+1,1))</f>
        <v>325.06345339097095</v>
      </c>
      <c r="AO111" s="60">
        <f t="shared" si="90"/>
        <v>318.90379036810754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0" t="e">
        <f t="shared" si="62"/>
        <v>#N/A</v>
      </c>
      <c r="BI111" s="60" t="e">
        <f ca="1">AVERAGE(OFFSET($BH$3,0,0,'Données projet'!$E$11+1,1))-AVERAGE(OFFSET($H$3,0,0,'Données projet'!$E$11+1,1))</f>
        <v>#N/A</v>
      </c>
      <c r="BJ111" s="60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0" t="e">
        <f t="shared" si="65"/>
        <v>#N/A</v>
      </c>
      <c r="CD111" s="60" t="e">
        <f ca="1">AVERAGE(OFFSET($CC$3,0,0,'Données projet'!$E$12+1,1))-AVERAGE(OFFSET($H$3,0,0,'Données projet'!$E$12+1,1))</f>
        <v>#N/A</v>
      </c>
      <c r="CE111" s="60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258.76031999999969</v>
      </c>
      <c r="CV111" s="14">
        <f t="shared" si="95"/>
        <v>62.458054817675475</v>
      </c>
      <c r="CW111" s="22">
        <f t="shared" si="67"/>
        <v>559.4553361407842</v>
      </c>
      <c r="CX111" s="60">
        <f t="shared" si="68"/>
        <v>852.78866947411757</v>
      </c>
      <c r="CY111" s="60">
        <f ca="1">AVERAGE(OFFSET($CX$3,0,0,'Données projet'!$E$13+1,1))-AVERAGE(OFFSET($H$3,0,0,'Données projet'!$E$13+1,1))</f>
        <v>415.50509041799154</v>
      </c>
      <c r="CZ111" s="60">
        <f t="shared" si="96"/>
        <v>239.93573789765657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4.4000000000000004</v>
      </c>
      <c r="DO111" s="13">
        <f>IF('Données projet'!$A$166&gt;35,DO110+DN111-DW110,IF(A111&lt;'Données projet'!$A$166,$DL$205^A111,IF(A111='Données projet'!$A$166,'Données projet'!$B$166,DO110+DN111-DW110)))</f>
        <v>296.19999999999965</v>
      </c>
      <c r="DP111" s="18">
        <f>DO111*VLOOKUP('Données projet'!$B$14,Paramètres!$A$1:$I$89,3,0)*VLOOKUP('Données projet'!$B$14,Paramètres!$A$1:$I$89,5,0)</f>
        <v>300.34679999999963</v>
      </c>
      <c r="DQ111" s="14">
        <f t="shared" si="97"/>
        <v>71.249161187153291</v>
      </c>
      <c r="DR111" s="22">
        <f t="shared" si="70"/>
        <v>647.19629906762464</v>
      </c>
      <c r="DS111" s="60">
        <f t="shared" si="71"/>
        <v>940.52963240095801</v>
      </c>
      <c r="DT111" s="60">
        <f ca="1">AVERAGE(OFFSET($DS$3,0,0,'Données projet'!$E$14+1,1))-AVERAGE(OFFSET($H$3,0,0,'Données projet'!$E$14+1,1))</f>
        <v>475.47920969424894</v>
      </c>
      <c r="DU111" s="60">
        <f t="shared" si="98"/>
        <v>271.73544012419364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4.4000000000000004</v>
      </c>
      <c r="EJ111" s="13">
        <f>IF('Données projet'!$A$192&gt;35,EJ110+EI111-ER110,IF(A111&lt;'Données projet'!$A$192,$EG$205^A111,IF(A111='Données projet'!$A$192,'Données projet'!$B$192,EJ110+EI111-ER110)))</f>
        <v>296.19999999999965</v>
      </c>
      <c r="EK111" s="18">
        <f>EJ111*VLOOKUP('Données projet'!$B$15,Paramètres!$A$1:$I$89,3,0)*VLOOKUP('Données projet'!$B$15,Paramètres!$A$1:$I$89,5,0)</f>
        <v>268.00175999999971</v>
      </c>
      <c r="EL111" s="14">
        <f t="shared" si="99"/>
        <v>64.425009159185521</v>
      </c>
      <c r="EM111" s="22">
        <f t="shared" si="73"/>
        <v>578.97662295224757</v>
      </c>
      <c r="EN111" s="60">
        <f t="shared" si="74"/>
        <v>872.30995628558094</v>
      </c>
      <c r="EO111" s="60">
        <f ca="1">AVERAGE(OFFSET($EN$3,0,0,'Données projet'!$E$15+1,1))-AVERAGE(OFFSET($H$3,0,0,'Données projet'!$E$15+1,1))</f>
        <v>428.8489304403459</v>
      </c>
      <c r="EP111" s="60">
        <f t="shared" si="100"/>
        <v>247.01165577562966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4.4000000000000004</v>
      </c>
      <c r="FE111" s="13">
        <f>IF('Données projet'!$A$218&gt;35,FE110+FD111-FM110,IF(A111&lt;'Données projet'!$A$218,$FB$205^A111,IF(A111='Données projet'!$A$218,'Données projet'!$B$218,FE110+FD111-FM110)))</f>
        <v>296.19999999999965</v>
      </c>
      <c r="FF111" s="18">
        <f>FE111*VLOOKUP('Données projet'!$B$16,Paramètres!$A$1:$I$89,3,0)*VLOOKUP('Données projet'!$B$16,Paramètres!$A$1:$I$89,5,0)</f>
        <v>286.48463999999967</v>
      </c>
      <c r="FG111" s="14">
        <f t="shared" si="101"/>
        <v>68.335568330677432</v>
      </c>
      <c r="FH111" s="22">
        <f t="shared" si="76"/>
        <v>617.97852950926267</v>
      </c>
      <c r="FI111" s="60">
        <f t="shared" si="77"/>
        <v>911.31186284259593</v>
      </c>
      <c r="FJ111" s="60">
        <f ca="1">AVERAGE(OFFSET($FI$3,0,0,'Données projet'!$E$16+1,1))-AVERAGE(OFFSET($H$3,0,0,'Données projet'!$E$16+1,1))</f>
        <v>455.50822833641354</v>
      </c>
      <c r="FK111" s="60">
        <f t="shared" si="102"/>
        <v>261.14722581688039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 t="e">
        <f>N112*VLOOKUP('Données projet'!$B$9,Paramètres!$A$1:$I$89,3,0)*VLOOKUP('Données projet'!$B$9,Paramètres!$A$1:$I$89,5,0)</f>
        <v>#N/A</v>
      </c>
      <c r="P112" s="14" t="e">
        <f t="shared" si="87"/>
        <v>#N/A</v>
      </c>
      <c r="Q112" s="22" t="e">
        <f t="shared" si="107"/>
        <v>#N/A</v>
      </c>
      <c r="R112" s="60" t="e">
        <f t="shared" si="55"/>
        <v>#N/A</v>
      </c>
      <c r="S112" s="60" t="e">
        <f ca="1">AVERAGE(OFFSET($R$3,0,0,'Données projet'!$E$9+1,1))-AVERAGE(OFFSET($H$3,0,0,'Données projet'!$E$9+1,1))</f>
        <v>#N/A</v>
      </c>
      <c r="T112" s="60" t="e">
        <f t="shared" si="88"/>
        <v>#N/A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 t="e">
        <f>EXP(-LN(2)/35)*Z111+(1-EXP(-LN(2)/35))/(LN(2)/35)*V112*W112*VLOOKUP('Données projet'!$B$9,Paramètres!$A$1:$I$89,3,0)*0.475*44/12</f>
        <v>#N/A</v>
      </c>
      <c r="AA112" s="23" t="e">
        <f>EXP(-LN(2)/25)*AA111+(1-EXP(-LN(2)/25))/(LN(2)/25)*Calculateur!V112*Calculateur!X112*VLOOKUP('Données projet'!$B$9,Paramètres!$A$1:$I$89,3,0)*0.475*44/12</f>
        <v>#N/A</v>
      </c>
      <c r="AB112" s="23" t="e">
        <f>EXP(-LN(2)/2)*AB111+(1-EXP(-LN(2)/2))/(LN(2)/2)*V112*Y112*VLOOKUP('Données projet'!$B$9,Paramètres!$A$1:$I$89,3,0)*0.475*44/12</f>
        <v>#N/A</v>
      </c>
      <c r="AC112" s="24" t="e">
        <f t="shared" si="57"/>
        <v>#N/A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projet'!$B$10,Paramètres!$A$1:$I$89,3,0)*VLOOKUP('Données projet'!$B$10,Paramètres!$A$1:$I$89,5,0)</f>
        <v>1.9863364286720756E-13</v>
      </c>
      <c r="AK112" s="14">
        <f t="shared" si="89"/>
        <v>2.7549360720371426E-12</v>
      </c>
      <c r="AL112" s="22">
        <f t="shared" si="58"/>
        <v>5.144133920125077E-12</v>
      </c>
      <c r="AM112" s="60">
        <f t="shared" si="59"/>
        <v>293.33333333333843</v>
      </c>
      <c r="AN112" s="60">
        <f ca="1">AVERAGE(OFFSET($AM$3,0,0,'Données projet'!$E$10+1,1))-AVERAGE(OFFSET($H$3,0,0,'Données projet'!$E$10+1,1))</f>
        <v>325.06345339097095</v>
      </c>
      <c r="AO112" s="60">
        <f t="shared" si="90"/>
        <v>318.90379036810754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0" t="e">
        <f t="shared" si="62"/>
        <v>#N/A</v>
      </c>
      <c r="BI112" s="60" t="e">
        <f ca="1">AVERAGE(OFFSET($BH$3,0,0,'Données projet'!$E$11+1,1))-AVERAGE(OFFSET($H$3,0,0,'Données projet'!$E$11+1,1))</f>
        <v>#N/A</v>
      </c>
      <c r="BJ112" s="60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0" t="e">
        <f t="shared" si="65"/>
        <v>#N/A</v>
      </c>
      <c r="CD112" s="60" t="e">
        <f ca="1">AVERAGE(OFFSET($CC$3,0,0,'Données projet'!$E$12+1,1))-AVERAGE(OFFSET($H$3,0,0,'Données projet'!$E$12+1,1))</f>
        <v>#N/A</v>
      </c>
      <c r="CE112" s="60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262.60415999999969</v>
      </c>
      <c r="CV112" s="14">
        <f t="shared" si="95"/>
        <v>63.277157245334358</v>
      </c>
      <c r="CW112" s="22">
        <f t="shared" si="67"/>
        <v>567.5766275356234</v>
      </c>
      <c r="CX112" s="60">
        <f t="shared" si="68"/>
        <v>860.90996086895666</v>
      </c>
      <c r="CY112" s="60">
        <f ca="1">AVERAGE(OFFSET($CX$3,0,0,'Données projet'!$E$13+1,1))-AVERAGE(OFFSET($H$3,0,0,'Données projet'!$E$13+1,1))</f>
        <v>415.50509041799154</v>
      </c>
      <c r="CZ112" s="60">
        <f t="shared" si="96"/>
        <v>239.93573789765657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4.4000000000000004</v>
      </c>
      <c r="DO112" s="13">
        <f>IF('Données projet'!$A$166&gt;35,DO111+DN112-DW111,IF(A112&lt;'Données projet'!$A$166,$DL$205^A112,IF(A112='Données projet'!$A$166,'Données projet'!$B$166,DO111+DN112-DW111)))</f>
        <v>300.59999999999962</v>
      </c>
      <c r="DP112" s="18">
        <f>DO112*VLOOKUP('Données projet'!$B$14,Paramètres!$A$1:$I$89,3,0)*VLOOKUP('Données projet'!$B$14,Paramètres!$A$1:$I$89,5,0)</f>
        <v>304.80839999999961</v>
      </c>
      <c r="DQ112" s="14">
        <f t="shared" si="97"/>
        <v>72.183554053972728</v>
      </c>
      <c r="DR112" s="22">
        <f t="shared" si="70"/>
        <v>656.59431997733509</v>
      </c>
      <c r="DS112" s="60">
        <f t="shared" si="71"/>
        <v>949.92765331066835</v>
      </c>
      <c r="DT112" s="60">
        <f ca="1">AVERAGE(OFFSET($DS$3,0,0,'Données projet'!$E$14+1,1))-AVERAGE(OFFSET($H$3,0,0,'Données projet'!$E$14+1,1))</f>
        <v>475.47920969424894</v>
      </c>
      <c r="DU112" s="60">
        <f t="shared" si="98"/>
        <v>271.73544012419364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4.4000000000000004</v>
      </c>
      <c r="EJ112" s="13">
        <f>IF('Données projet'!$A$192&gt;35,EJ111+EI112-ER111,IF(A112&lt;'Données projet'!$A$192,$EG$205^A112,IF(A112='Données projet'!$A$192,'Données projet'!$B$192,EJ111+EI112-ER111)))</f>
        <v>300.59999999999962</v>
      </c>
      <c r="EK112" s="18">
        <f>EJ112*VLOOKUP('Données projet'!$B$15,Paramètres!$A$1:$I$89,3,0)*VLOOKUP('Données projet'!$B$15,Paramètres!$A$1:$I$89,5,0)</f>
        <v>271.98287999999962</v>
      </c>
      <c r="EL112" s="14">
        <f t="shared" si="99"/>
        <v>65.269907092018684</v>
      </c>
      <c r="EM112" s="22">
        <f t="shared" si="73"/>
        <v>587.38193751859842</v>
      </c>
      <c r="EN112" s="60">
        <f t="shared" si="74"/>
        <v>880.71527085193179</v>
      </c>
      <c r="EO112" s="60">
        <f ca="1">AVERAGE(OFFSET($EN$3,0,0,'Données projet'!$E$15+1,1))-AVERAGE(OFFSET($H$3,0,0,'Données projet'!$E$15+1,1))</f>
        <v>428.8489304403459</v>
      </c>
      <c r="EP112" s="60">
        <f t="shared" si="100"/>
        <v>247.01165577562966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4.4000000000000004</v>
      </c>
      <c r="FE112" s="13">
        <f>IF('Données projet'!$A$218&gt;35,FE111+FD112-FM111,IF(A112&lt;'Données projet'!$A$218,$FB$205^A112,IF(A112='Données projet'!$A$218,'Données projet'!$B$218,FE111+FD112-FM111)))</f>
        <v>300.59999999999962</v>
      </c>
      <c r="FF112" s="18">
        <f>FE112*VLOOKUP('Données projet'!$B$16,Paramètres!$A$1:$I$89,3,0)*VLOOKUP('Données projet'!$B$16,Paramètres!$A$1:$I$89,5,0)</f>
        <v>290.74031999999966</v>
      </c>
      <c r="FG112" s="14">
        <f t="shared" si="101"/>
        <v>69.231751058085507</v>
      </c>
      <c r="FH112" s="22">
        <f t="shared" si="76"/>
        <v>626.95135709283159</v>
      </c>
      <c r="FI112" s="60">
        <f t="shared" si="77"/>
        <v>920.28469042616484</v>
      </c>
      <c r="FJ112" s="60">
        <f ca="1">AVERAGE(OFFSET($FI$3,0,0,'Données projet'!$E$16+1,1))-AVERAGE(OFFSET($H$3,0,0,'Données projet'!$E$16+1,1))</f>
        <v>455.50822833641354</v>
      </c>
      <c r="FK112" s="60">
        <f t="shared" si="102"/>
        <v>261.14722581688039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 t="e">
        <f>N113*VLOOKUP('Données projet'!$B$9,Paramètres!$A$1:$I$89,3,0)*VLOOKUP('Données projet'!$B$9,Paramètres!$A$1:$I$89,5,0)</f>
        <v>#N/A</v>
      </c>
      <c r="P113" s="14" t="e">
        <f t="shared" si="87"/>
        <v>#N/A</v>
      </c>
      <c r="Q113" s="22" t="e">
        <f t="shared" si="107"/>
        <v>#N/A</v>
      </c>
      <c r="R113" s="60" t="e">
        <f t="shared" si="55"/>
        <v>#N/A</v>
      </c>
      <c r="S113" s="60" t="e">
        <f ca="1">AVERAGE(OFFSET($R$3,0,0,'Données projet'!$E$9+1,1))-AVERAGE(OFFSET($H$3,0,0,'Données projet'!$E$9+1,1))</f>
        <v>#N/A</v>
      </c>
      <c r="T113" s="60" t="e">
        <f t="shared" si="88"/>
        <v>#N/A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 t="e">
        <f>EXP(-LN(2)/35)*Z112+(1-EXP(-LN(2)/35))/(LN(2)/35)*V113*W113*VLOOKUP('Données projet'!$B$9,Paramètres!$A$1:$I$89,3,0)*0.475*44/12</f>
        <v>#N/A</v>
      </c>
      <c r="AA113" s="23" t="e">
        <f>EXP(-LN(2)/25)*AA112+(1-EXP(-LN(2)/25))/(LN(2)/25)*Calculateur!V113*Calculateur!X113*VLOOKUP('Données projet'!$B$9,Paramètres!$A$1:$I$89,3,0)*0.475*44/12</f>
        <v>#N/A</v>
      </c>
      <c r="AB113" s="23" t="e">
        <f>EXP(-LN(2)/2)*AB112+(1-EXP(-LN(2)/2))/(LN(2)/2)*V113*Y113*VLOOKUP('Données projet'!$B$9,Paramètres!$A$1:$I$89,3,0)*0.475*44/12</f>
        <v>#N/A</v>
      </c>
      <c r="AC113" s="24" t="e">
        <f t="shared" si="57"/>
        <v>#N/A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projet'!$B$10,Paramètres!$A$1:$I$89,3,0)*VLOOKUP('Données projet'!$B$10,Paramètres!$A$1:$I$89,5,0)</f>
        <v>1.9863364286720756E-13</v>
      </c>
      <c r="AK113" s="14">
        <f t="shared" si="89"/>
        <v>2.7549360720371426E-12</v>
      </c>
      <c r="AL113" s="22">
        <f t="shared" si="58"/>
        <v>5.144133920125077E-12</v>
      </c>
      <c r="AM113" s="60">
        <f t="shared" si="59"/>
        <v>293.33333333333843</v>
      </c>
      <c r="AN113" s="60">
        <f ca="1">AVERAGE(OFFSET($AM$3,0,0,'Données projet'!$E$10+1,1))-AVERAGE(OFFSET($H$3,0,0,'Données projet'!$E$10+1,1))</f>
        <v>325.06345339097095</v>
      </c>
      <c r="AO113" s="60">
        <f t="shared" si="90"/>
        <v>318.90379036810754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0" t="e">
        <f t="shared" si="62"/>
        <v>#N/A</v>
      </c>
      <c r="BI113" s="60" t="e">
        <f ca="1">AVERAGE(OFFSET($BH$3,0,0,'Données projet'!$E$11+1,1))-AVERAGE(OFFSET($H$3,0,0,'Données projet'!$E$11+1,1))</f>
        <v>#N/A</v>
      </c>
      <c r="BJ113" s="60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0" t="e">
        <f t="shared" si="65"/>
        <v>#N/A</v>
      </c>
      <c r="CD113" s="60" t="e">
        <f ca="1">AVERAGE(OFFSET($CC$3,0,0,'Données projet'!$E$12+1,1))-AVERAGE(OFFSET($H$3,0,0,'Données projet'!$E$12+1,1))</f>
        <v>#N/A</v>
      </c>
      <c r="CE113" s="60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266.44799999999969</v>
      </c>
      <c r="CV113" s="14">
        <f t="shared" si="95"/>
        <v>64.09486522805463</v>
      </c>
      <c r="CW113" s="22">
        <f t="shared" si="67"/>
        <v>575.69549027219466</v>
      </c>
      <c r="CX113" s="60">
        <f t="shared" si="68"/>
        <v>869.02882360552803</v>
      </c>
      <c r="CY113" s="60">
        <f ca="1">AVERAGE(OFFSET($CX$3,0,0,'Données projet'!$E$13+1,1))-AVERAGE(OFFSET($H$3,0,0,'Données projet'!$E$13+1,1))</f>
        <v>415.50509041799154</v>
      </c>
      <c r="CZ113" s="60">
        <f t="shared" si="96"/>
        <v>239.93573789765657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305</v>
      </c>
      <c r="DM113" s="13">
        <f>VLOOKUP(A113,'Données projet'!$A$165:$I$185,9,0)</f>
        <v>4.4000000000000004</v>
      </c>
      <c r="DN113" s="13">
        <f t="array" ref="DN113">INDEX(DM:DM,MIN(IF(ISNUMBER(DM113:DM309),ROW(DM113:DM309),"")))</f>
        <v>4.4000000000000004</v>
      </c>
      <c r="DO113" s="13">
        <f>IF('Données projet'!$A$166&gt;35,DO112+DN113-DW112,IF(A113&lt;'Données projet'!$A$166,$DL$205^A113,IF(A113='Données projet'!$A$166,'Données projet'!$B$166,DO112+DN113-DW112)))</f>
        <v>304.9999999999996</v>
      </c>
      <c r="DP113" s="18">
        <f>DO113*VLOOKUP('Données projet'!$B$14,Paramètres!$A$1:$I$89,3,0)*VLOOKUP('Données projet'!$B$14,Paramètres!$A$1:$I$89,5,0)</f>
        <v>309.26999999999958</v>
      </c>
      <c r="DQ113" s="14">
        <f t="shared" si="97"/>
        <v>73.116356204710968</v>
      </c>
      <c r="DR113" s="22">
        <f t="shared" si="70"/>
        <v>665.98957038987078</v>
      </c>
      <c r="DS113" s="60">
        <f t="shared" si="71"/>
        <v>959.32290372320404</v>
      </c>
      <c r="DT113" s="60">
        <f ca="1">AVERAGE(OFFSET($DS$3,0,0,'Données projet'!$E$14+1,1))-AVERAGE(OFFSET($H$3,0,0,'Données projet'!$E$14+1,1))</f>
        <v>475.47920969424894</v>
      </c>
      <c r="DU113" s="60">
        <f t="shared" si="98"/>
        <v>271.73544012419364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305</v>
      </c>
      <c r="EH113" s="13">
        <f>VLOOKUP(A113,'Données projet'!$A$191:$I$211,9,0)</f>
        <v>4.4000000000000004</v>
      </c>
      <c r="EI113" s="13">
        <f t="array" ref="EI113">INDEX(EH:EH,MIN(IF(ISNUMBER(EH113:EH309),ROW(EH113:EH309),"")))</f>
        <v>4.4000000000000004</v>
      </c>
      <c r="EJ113" s="13">
        <f>IF('Données projet'!$A$192&gt;35,EJ112+EI113-ER112,IF(A113&lt;'Données projet'!$A$192,$EG$205^A113,IF(A113='Données projet'!$A$192,'Données projet'!$B$192,EJ112+EI113-ER112)))</f>
        <v>304.9999999999996</v>
      </c>
      <c r="EK113" s="18">
        <f>EJ113*VLOOKUP('Données projet'!$B$15,Paramètres!$A$1:$I$89,3,0)*VLOOKUP('Données projet'!$B$15,Paramètres!$A$1:$I$89,5,0)</f>
        <v>275.9639999999996</v>
      </c>
      <c r="EL113" s="14">
        <f t="shared" si="99"/>
        <v>66.113366665488797</v>
      </c>
      <c r="EM113" s="22">
        <f t="shared" si="73"/>
        <v>595.7847469423923</v>
      </c>
      <c r="EN113" s="60">
        <f t="shared" si="74"/>
        <v>889.11808027572556</v>
      </c>
      <c r="EO113" s="60">
        <f ca="1">AVERAGE(OFFSET($EN$3,0,0,'Données projet'!$E$15+1,1))-AVERAGE(OFFSET($H$3,0,0,'Données projet'!$E$15+1,1))</f>
        <v>428.8489304403459</v>
      </c>
      <c r="EP113" s="60">
        <f t="shared" si="100"/>
        <v>247.01165577562966</v>
      </c>
      <c r="EQ113" s="16">
        <f>IF(ISNA(VLOOKUP(A113,'Données projet'!$A$191:$I$211,3,0)),0,VLOOKUP(A113,'Données projet'!$A$191:$I$211,3,0))</f>
        <v>9</v>
      </c>
      <c r="ER113" s="16">
        <f>IF(ISNA(VLOOKUP(A113,'Données projet'!$A$191:$I$211,4,0)),0,VLOOKUP(A113,'Données projet'!$A$191:$I$211,4,0))</f>
        <v>39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305</v>
      </c>
      <c r="FC113" s="13">
        <f>VLOOKUP(A113,'Données projet'!$A$217:$I$237,9,0)</f>
        <v>4.4000000000000004</v>
      </c>
      <c r="FD113" s="13">
        <f t="array" ref="FD113">INDEX(FC:FC,MIN(IF(ISNUMBER(FC113:FC309),ROW(FC113:FC309),"")))</f>
        <v>4.4000000000000004</v>
      </c>
      <c r="FE113" s="13">
        <f>IF('Données projet'!$A$218&gt;35,FE112+FD113-FM112,IF(A113&lt;'Données projet'!$A$218,$FB$205^A113,IF(A113='Données projet'!$A$218,'Données projet'!$B$218,FE112+FD113-FM112)))</f>
        <v>304.9999999999996</v>
      </c>
      <c r="FF113" s="18">
        <f>FE113*VLOOKUP('Données projet'!$B$16,Paramètres!$A$1:$I$89,3,0)*VLOOKUP('Données projet'!$B$16,Paramètres!$A$1:$I$89,5,0)</f>
        <v>294.99599999999958</v>
      </c>
      <c r="FG113" s="14">
        <f t="shared" si="101"/>
        <v>70.126408118585317</v>
      </c>
      <c r="FH113" s="22">
        <f t="shared" si="76"/>
        <v>635.92152747320199</v>
      </c>
      <c r="FI113" s="60">
        <f t="shared" si="77"/>
        <v>929.25486080653536</v>
      </c>
      <c r="FJ113" s="60">
        <f ca="1">AVERAGE(OFFSET($FI$3,0,0,'Données projet'!$E$16+1,1))-AVERAGE(OFFSET($H$3,0,0,'Données projet'!$E$16+1,1))</f>
        <v>455.50822833641354</v>
      </c>
      <c r="FK113" s="60">
        <f t="shared" si="102"/>
        <v>261.14722581688039</v>
      </c>
      <c r="FL113" s="16">
        <f>IF(ISNA(VLOOKUP(A113,'Données projet'!$A$217:$I$237,3,0)),0,VLOOKUP(A113,'Données projet'!$A$217:$I$237,3,0))</f>
        <v>9</v>
      </c>
      <c r="FM113" s="16">
        <f>IF(ISNA(VLOOKUP(A113,'Données projet'!$A$217:$I$237,4,0)),0,VLOOKUP(A113,'Données projet'!$A$217:$I$237,4,0))</f>
        <v>39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 t="e">
        <f>N114*VLOOKUP('Données projet'!$B$9,Paramètres!$A$1:$I$89,3,0)*VLOOKUP('Données projet'!$B$9,Paramètres!$A$1:$I$89,5,0)</f>
        <v>#N/A</v>
      </c>
      <c r="P114" s="14" t="e">
        <f t="shared" si="87"/>
        <v>#N/A</v>
      </c>
      <c r="Q114" s="22" t="e">
        <f t="shared" si="107"/>
        <v>#N/A</v>
      </c>
      <c r="R114" s="60" t="e">
        <f t="shared" si="55"/>
        <v>#N/A</v>
      </c>
      <c r="S114" s="60" t="e">
        <f ca="1">AVERAGE(OFFSET($R$3,0,0,'Données projet'!$E$9+1,1))-AVERAGE(OFFSET($H$3,0,0,'Données projet'!$E$9+1,1))</f>
        <v>#N/A</v>
      </c>
      <c r="T114" s="60" t="e">
        <f t="shared" si="88"/>
        <v>#N/A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 t="e">
        <f>EXP(-LN(2)/35)*Z113+(1-EXP(-LN(2)/35))/(LN(2)/35)*V114*W114*VLOOKUP('Données projet'!$B$9,Paramètres!$A$1:$I$89,3,0)*0.475*44/12</f>
        <v>#N/A</v>
      </c>
      <c r="AA114" s="23" t="e">
        <f>EXP(-LN(2)/25)*AA113+(1-EXP(-LN(2)/25))/(LN(2)/25)*Calculateur!V114*Calculateur!X114*VLOOKUP('Données projet'!$B$9,Paramètres!$A$1:$I$89,3,0)*0.475*44/12</f>
        <v>#N/A</v>
      </c>
      <c r="AB114" s="23" t="e">
        <f>EXP(-LN(2)/2)*AB113+(1-EXP(-LN(2)/2))/(LN(2)/2)*V114*Y114*VLOOKUP('Données projet'!$B$9,Paramètres!$A$1:$I$89,3,0)*0.475*44/12</f>
        <v>#N/A</v>
      </c>
      <c r="AC114" s="24" t="e">
        <f t="shared" si="57"/>
        <v>#N/A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projet'!$B$10,Paramètres!$A$1:$I$89,3,0)*VLOOKUP('Données projet'!$B$10,Paramètres!$A$1:$I$89,5,0)</f>
        <v>1.9863364286720756E-13</v>
      </c>
      <c r="AK114" s="14">
        <f t="shared" si="89"/>
        <v>2.7549360720371426E-12</v>
      </c>
      <c r="AL114" s="22">
        <f t="shared" si="58"/>
        <v>5.144133920125077E-12</v>
      </c>
      <c r="AM114" s="60">
        <f t="shared" si="59"/>
        <v>293.33333333333843</v>
      </c>
      <c r="AN114" s="60">
        <f ca="1">AVERAGE(OFFSET($AM$3,0,0,'Données projet'!$E$10+1,1))-AVERAGE(OFFSET($H$3,0,0,'Données projet'!$E$10+1,1))</f>
        <v>325.06345339097095</v>
      </c>
      <c r="AO114" s="60">
        <f t="shared" si="90"/>
        <v>318.90379036810754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0" t="e">
        <f t="shared" si="62"/>
        <v>#N/A</v>
      </c>
      <c r="BI114" s="60" t="e">
        <f ca="1">AVERAGE(OFFSET($BH$3,0,0,'Données projet'!$E$11+1,1))-AVERAGE(OFFSET($H$3,0,0,'Données projet'!$E$11+1,1))</f>
        <v>#N/A</v>
      </c>
      <c r="BJ114" s="60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0" t="e">
        <f t="shared" si="65"/>
        <v>#N/A</v>
      </c>
      <c r="CD114" s="60" t="e">
        <f ca="1">AVERAGE(OFFSET($CC$3,0,0,'Données projet'!$E$12+1,1))-AVERAGE(OFFSET($H$3,0,0,'Données projet'!$E$12+1,1))</f>
        <v>#N/A</v>
      </c>
      <c r="CE114" s="60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235.60991999999968</v>
      </c>
      <c r="CV114" s="14">
        <f t="shared" si="95"/>
        <v>57.493970912943851</v>
      </c>
      <c r="CW114" s="22">
        <f t="shared" si="67"/>
        <v>510.48927667337665</v>
      </c>
      <c r="CX114" s="60">
        <f t="shared" si="68"/>
        <v>803.82261000670997</v>
      </c>
      <c r="CY114" s="60">
        <f ca="1">AVERAGE(OFFSET($CX$3,0,0,'Données projet'!$E$13+1,1))-AVERAGE(OFFSET($H$3,0,0,'Données projet'!$E$13+1,1))</f>
        <v>415.50509041799154</v>
      </c>
      <c r="CZ114" s="60">
        <f t="shared" si="96"/>
        <v>239.93573789765657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3.7</v>
      </c>
      <c r="DO114" s="13">
        <f>IF('Données projet'!$A$166&gt;35,DO113+DN114-DW113,IF(A114&lt;'Données projet'!$A$166,$DL$205^A114,IF(A114='Données projet'!$A$166,'Données projet'!$B$166,DO113+DN114-DW113)))</f>
        <v>269.69999999999959</v>
      </c>
      <c r="DP114" s="18">
        <f>DO114*VLOOKUP('Données projet'!$B$14,Paramètres!$A$1:$I$89,3,0)*VLOOKUP('Données projet'!$B$14,Paramètres!$A$1:$I$89,5,0)</f>
        <v>273.47579999999959</v>
      </c>
      <c r="DQ114" s="14">
        <f t="shared" si="97"/>
        <v>65.586371730977532</v>
      </c>
      <c r="DR114" s="22">
        <f t="shared" si="70"/>
        <v>590.53328243145177</v>
      </c>
      <c r="DS114" s="60">
        <f t="shared" si="71"/>
        <v>883.86661576478514</v>
      </c>
      <c r="DT114" s="60">
        <f ca="1">AVERAGE(OFFSET($DS$3,0,0,'Données projet'!$E$14+1,1))-AVERAGE(OFFSET($H$3,0,0,'Données projet'!$E$14+1,1))</f>
        <v>475.47920969424894</v>
      </c>
      <c r="DU114" s="60">
        <f t="shared" si="98"/>
        <v>271.73544012419364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3.7</v>
      </c>
      <c r="EJ114" s="13">
        <f>IF('Données projet'!$A$192&gt;35,EJ113+EI114-ER113,IF(A114&lt;'Données projet'!$A$192,$EG$205^A114,IF(A114='Données projet'!$A$192,'Données projet'!$B$192,EJ113+EI114-ER113)))</f>
        <v>269.69999999999959</v>
      </c>
      <c r="EK114" s="18">
        <f>EJ114*VLOOKUP('Données projet'!$B$15,Paramètres!$A$1:$I$89,3,0)*VLOOKUP('Données projet'!$B$15,Paramètres!$A$1:$I$89,5,0)</f>
        <v>244.02455999999964</v>
      </c>
      <c r="EL114" s="14">
        <f t="shared" si="99"/>
        <v>59.304594314969229</v>
      </c>
      <c r="EM114" s="22">
        <f t="shared" si="73"/>
        <v>528.29827709857079</v>
      </c>
      <c r="EN114" s="60">
        <f t="shared" si="74"/>
        <v>821.63161043190416</v>
      </c>
      <c r="EO114" s="60">
        <f ca="1">AVERAGE(OFFSET($EN$3,0,0,'Données projet'!$E$15+1,1))-AVERAGE(OFFSET($H$3,0,0,'Données projet'!$E$15+1,1))</f>
        <v>428.8489304403459</v>
      </c>
      <c r="EP114" s="60">
        <f t="shared" si="100"/>
        <v>247.01165577562966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3.7</v>
      </c>
      <c r="FE114" s="13">
        <f>IF('Données projet'!$A$218&gt;35,FE113+FD114-FM113,IF(A114&lt;'Données projet'!$A$218,$FB$205^A114,IF(A114='Données projet'!$A$218,'Données projet'!$B$218,FE113+FD114-FM113)))</f>
        <v>269.69999999999959</v>
      </c>
      <c r="FF114" s="18">
        <f>FE114*VLOOKUP('Données projet'!$B$16,Paramètres!$A$1:$I$89,3,0)*VLOOKUP('Données projet'!$B$16,Paramètres!$A$1:$I$89,5,0)</f>
        <v>260.85383999999959</v>
      </c>
      <c r="FG114" s="14">
        <f t="shared" si="101"/>
        <v>62.904347395903649</v>
      </c>
      <c r="FH114" s="22">
        <f t="shared" si="76"/>
        <v>563.87884304786473</v>
      </c>
      <c r="FI114" s="60">
        <f t="shared" si="77"/>
        <v>857.21217638119811</v>
      </c>
      <c r="FJ114" s="60">
        <f ca="1">AVERAGE(OFFSET($FI$3,0,0,'Données projet'!$E$16+1,1))-AVERAGE(OFFSET($H$3,0,0,'Données projet'!$E$16+1,1))</f>
        <v>455.50822833641354</v>
      </c>
      <c r="FK114" s="60">
        <f t="shared" si="102"/>
        <v>261.14722581688039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 t="e">
        <f>N115*VLOOKUP('Données projet'!$B$9,Paramètres!$A$1:$I$89,3,0)*VLOOKUP('Données projet'!$B$9,Paramètres!$A$1:$I$89,5,0)</f>
        <v>#N/A</v>
      </c>
      <c r="P115" s="14" t="e">
        <f t="shared" si="87"/>
        <v>#N/A</v>
      </c>
      <c r="Q115" s="22" t="e">
        <f t="shared" si="107"/>
        <v>#N/A</v>
      </c>
      <c r="R115" s="60" t="e">
        <f t="shared" si="55"/>
        <v>#N/A</v>
      </c>
      <c r="S115" s="60" t="e">
        <f ca="1">AVERAGE(OFFSET($R$3,0,0,'Données projet'!$E$9+1,1))-AVERAGE(OFFSET($H$3,0,0,'Données projet'!$E$9+1,1))</f>
        <v>#N/A</v>
      </c>
      <c r="T115" s="60" t="e">
        <f t="shared" si="88"/>
        <v>#N/A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 t="e">
        <f>EXP(-LN(2)/35)*Z114+(1-EXP(-LN(2)/35))/(LN(2)/35)*V115*W115*VLOOKUP('Données projet'!$B$9,Paramètres!$A$1:$I$89,3,0)*0.475*44/12</f>
        <v>#N/A</v>
      </c>
      <c r="AA115" s="23" t="e">
        <f>EXP(-LN(2)/25)*AA114+(1-EXP(-LN(2)/25))/(LN(2)/25)*Calculateur!V115*Calculateur!X115*VLOOKUP('Données projet'!$B$9,Paramètres!$A$1:$I$89,3,0)*0.475*44/12</f>
        <v>#N/A</v>
      </c>
      <c r="AB115" s="23" t="e">
        <f>EXP(-LN(2)/2)*AB114+(1-EXP(-LN(2)/2))/(LN(2)/2)*V115*Y115*VLOOKUP('Données projet'!$B$9,Paramètres!$A$1:$I$89,3,0)*0.475*44/12</f>
        <v>#N/A</v>
      </c>
      <c r="AC115" s="24" t="e">
        <f t="shared" si="57"/>
        <v>#N/A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projet'!$B$10,Paramètres!$A$1:$I$89,3,0)*VLOOKUP('Données projet'!$B$10,Paramètres!$A$1:$I$89,5,0)</f>
        <v>1.9863364286720756E-13</v>
      </c>
      <c r="AK115" s="14">
        <f t="shared" si="89"/>
        <v>2.7549360720371426E-12</v>
      </c>
      <c r="AL115" s="22">
        <f t="shared" si="58"/>
        <v>5.144133920125077E-12</v>
      </c>
      <c r="AM115" s="60">
        <f t="shared" si="59"/>
        <v>293.33333333333843</v>
      </c>
      <c r="AN115" s="60">
        <f ca="1">AVERAGE(OFFSET($AM$3,0,0,'Données projet'!$E$10+1,1))-AVERAGE(OFFSET($H$3,0,0,'Données projet'!$E$10+1,1))</f>
        <v>325.06345339097095</v>
      </c>
      <c r="AO115" s="60">
        <f t="shared" si="90"/>
        <v>318.90379036810754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0" t="e">
        <f t="shared" si="62"/>
        <v>#N/A</v>
      </c>
      <c r="BI115" s="60" t="e">
        <f ca="1">AVERAGE(OFFSET($BH$3,0,0,'Données projet'!$E$11+1,1))-AVERAGE(OFFSET($H$3,0,0,'Données projet'!$E$11+1,1))</f>
        <v>#N/A</v>
      </c>
      <c r="BJ115" s="60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0" t="e">
        <f t="shared" si="65"/>
        <v>#N/A</v>
      </c>
      <c r="CD115" s="60" t="e">
        <f ca="1">AVERAGE(OFFSET($CC$3,0,0,'Données projet'!$E$12+1,1))-AVERAGE(OFFSET($H$3,0,0,'Données projet'!$E$12+1,1))</f>
        <v>#N/A</v>
      </c>
      <c r="CE115" s="60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238.84223999999966</v>
      </c>
      <c r="CV115" s="14">
        <f t="shared" si="95"/>
        <v>58.190362716569084</v>
      </c>
      <c r="CW115" s="22">
        <f t="shared" si="67"/>
        <v>517.33178306469063</v>
      </c>
      <c r="CX115" s="60">
        <f t="shared" si="68"/>
        <v>810.66511639802388</v>
      </c>
      <c r="CY115" s="60">
        <f ca="1">AVERAGE(OFFSET($CX$3,0,0,'Données projet'!$E$13+1,1))-AVERAGE(OFFSET($H$3,0,0,'Données projet'!$E$13+1,1))</f>
        <v>415.50509041799154</v>
      </c>
      <c r="CZ115" s="60">
        <f t="shared" si="96"/>
        <v>239.93573789765657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3.7</v>
      </c>
      <c r="DO115" s="13">
        <f>IF('Données projet'!$A$166&gt;35,DO114+DN115-DW114,IF(A115&lt;'Données projet'!$A$166,$DL$205^A115,IF(A115='Données projet'!$A$166,'Données projet'!$B$166,DO114+DN115-DW114)))</f>
        <v>273.39999999999958</v>
      </c>
      <c r="DP115" s="18">
        <f>DO115*VLOOKUP('Données projet'!$B$14,Paramètres!$A$1:$I$89,3,0)*VLOOKUP('Données projet'!$B$14,Paramètres!$A$1:$I$89,5,0)</f>
        <v>277.2275999999996</v>
      </c>
      <c r="DQ115" s="14">
        <f t="shared" si="97"/>
        <v>66.380782187895392</v>
      </c>
      <c r="DR115" s="22">
        <f t="shared" si="70"/>
        <v>598.45126564391705</v>
      </c>
      <c r="DS115" s="60">
        <f t="shared" si="71"/>
        <v>891.78459897725043</v>
      </c>
      <c r="DT115" s="60">
        <f ca="1">AVERAGE(OFFSET($DS$3,0,0,'Données projet'!$E$14+1,1))-AVERAGE(OFFSET($H$3,0,0,'Données projet'!$E$14+1,1))</f>
        <v>475.47920969424894</v>
      </c>
      <c r="DU115" s="60">
        <f t="shared" si="98"/>
        <v>271.73544012419364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3.7</v>
      </c>
      <c r="EJ115" s="13">
        <f>IF('Données projet'!$A$192&gt;35,EJ114+EI115-ER114,IF(A115&lt;'Données projet'!$A$192,$EG$205^A115,IF(A115='Données projet'!$A$192,'Données projet'!$B$192,EJ114+EI115-ER114)))</f>
        <v>273.39999999999958</v>
      </c>
      <c r="EK115" s="18">
        <f>EJ115*VLOOKUP('Données projet'!$B$15,Paramètres!$A$1:$I$89,3,0)*VLOOKUP('Données projet'!$B$15,Paramètres!$A$1:$I$89,5,0)</f>
        <v>247.3723199999996</v>
      </c>
      <c r="EL115" s="14">
        <f t="shared" si="99"/>
        <v>60.022917171130942</v>
      </c>
      <c r="EM115" s="22">
        <f t="shared" si="73"/>
        <v>535.38003807305233</v>
      </c>
      <c r="EN115" s="60">
        <f t="shared" si="74"/>
        <v>828.7133714063857</v>
      </c>
      <c r="EO115" s="60">
        <f ca="1">AVERAGE(OFFSET($EN$3,0,0,'Données projet'!$E$15+1,1))-AVERAGE(OFFSET($H$3,0,0,'Données projet'!$E$15+1,1))</f>
        <v>428.8489304403459</v>
      </c>
      <c r="EP115" s="60">
        <f t="shared" si="100"/>
        <v>247.01165577562966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3.7</v>
      </c>
      <c r="FE115" s="13">
        <f>IF('Données projet'!$A$218&gt;35,FE114+FD115-FM114,IF(A115&lt;'Données projet'!$A$218,$FB$205^A115,IF(A115='Données projet'!$A$218,'Données projet'!$B$218,FE114+FD115-FM114)))</f>
        <v>273.39999999999958</v>
      </c>
      <c r="FF115" s="18">
        <f>FE115*VLOOKUP('Données projet'!$B$16,Paramètres!$A$1:$I$89,3,0)*VLOOKUP('Données projet'!$B$16,Paramètres!$A$1:$I$89,5,0)</f>
        <v>264.4324799999996</v>
      </c>
      <c r="FG115" s="14">
        <f t="shared" si="101"/>
        <v>63.666272015882292</v>
      </c>
      <c r="FH115" s="22">
        <f t="shared" si="76"/>
        <v>571.43865976099426</v>
      </c>
      <c r="FI115" s="60">
        <f t="shared" si="77"/>
        <v>864.77199309432763</v>
      </c>
      <c r="FJ115" s="60">
        <f ca="1">AVERAGE(OFFSET($FI$3,0,0,'Données projet'!$E$16+1,1))-AVERAGE(OFFSET($H$3,0,0,'Données projet'!$E$16+1,1))</f>
        <v>455.50822833641354</v>
      </c>
      <c r="FK115" s="60">
        <f t="shared" si="102"/>
        <v>261.14722581688039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 t="e">
        <f>N116*VLOOKUP('Données projet'!$B$9,Paramètres!$A$1:$I$89,3,0)*VLOOKUP('Données projet'!$B$9,Paramètres!$A$1:$I$89,5,0)</f>
        <v>#N/A</v>
      </c>
      <c r="P116" s="14" t="e">
        <f t="shared" si="87"/>
        <v>#N/A</v>
      </c>
      <c r="Q116" s="22" t="e">
        <f t="shared" si="107"/>
        <v>#N/A</v>
      </c>
      <c r="R116" s="60" t="e">
        <f t="shared" si="55"/>
        <v>#N/A</v>
      </c>
      <c r="S116" s="60" t="e">
        <f ca="1">AVERAGE(OFFSET($R$3,0,0,'Données projet'!$E$9+1,1))-AVERAGE(OFFSET($H$3,0,0,'Données projet'!$E$9+1,1))</f>
        <v>#N/A</v>
      </c>
      <c r="T116" s="60" t="e">
        <f t="shared" si="88"/>
        <v>#N/A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 t="e">
        <f>EXP(-LN(2)/35)*Z115+(1-EXP(-LN(2)/35))/(LN(2)/35)*V116*W116*VLOOKUP('Données projet'!$B$9,Paramètres!$A$1:$I$89,3,0)*0.475*44/12</f>
        <v>#N/A</v>
      </c>
      <c r="AA116" s="23" t="e">
        <f>EXP(-LN(2)/25)*AA115+(1-EXP(-LN(2)/25))/(LN(2)/25)*Calculateur!V116*Calculateur!X116*VLOOKUP('Données projet'!$B$9,Paramètres!$A$1:$I$89,3,0)*0.475*44/12</f>
        <v>#N/A</v>
      </c>
      <c r="AB116" s="23" t="e">
        <f>EXP(-LN(2)/2)*AB115+(1-EXP(-LN(2)/2))/(LN(2)/2)*V116*Y116*VLOOKUP('Données projet'!$B$9,Paramètres!$A$1:$I$89,3,0)*0.475*44/12</f>
        <v>#N/A</v>
      </c>
      <c r="AC116" s="24" t="e">
        <f t="shared" si="57"/>
        <v>#N/A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projet'!$B$10,Paramètres!$A$1:$I$89,3,0)*VLOOKUP('Données projet'!$B$10,Paramètres!$A$1:$I$89,5,0)</f>
        <v>1.9863364286720756E-13</v>
      </c>
      <c r="AK116" s="14">
        <f t="shared" si="89"/>
        <v>2.7549360720371426E-12</v>
      </c>
      <c r="AL116" s="22">
        <f t="shared" si="58"/>
        <v>5.144133920125077E-12</v>
      </c>
      <c r="AM116" s="60">
        <f t="shared" si="59"/>
        <v>293.33333333333843</v>
      </c>
      <c r="AN116" s="60">
        <f ca="1">AVERAGE(OFFSET($AM$3,0,0,'Données projet'!$E$10+1,1))-AVERAGE(OFFSET($H$3,0,0,'Données projet'!$E$10+1,1))</f>
        <v>325.06345339097095</v>
      </c>
      <c r="AO116" s="60">
        <f t="shared" si="90"/>
        <v>318.90379036810754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0" t="e">
        <f t="shared" si="62"/>
        <v>#N/A</v>
      </c>
      <c r="BI116" s="60" t="e">
        <f ca="1">AVERAGE(OFFSET($BH$3,0,0,'Données projet'!$E$11+1,1))-AVERAGE(OFFSET($H$3,0,0,'Données projet'!$E$11+1,1))</f>
        <v>#N/A</v>
      </c>
      <c r="BJ116" s="60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0" t="e">
        <f t="shared" si="65"/>
        <v>#N/A</v>
      </c>
      <c r="CD116" s="60" t="e">
        <f ca="1">AVERAGE(OFFSET($CC$3,0,0,'Données projet'!$E$12+1,1))-AVERAGE(OFFSET($H$3,0,0,'Données projet'!$E$12+1,1))</f>
        <v>#N/A</v>
      </c>
      <c r="CE116" s="60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242.07455999999962</v>
      </c>
      <c r="CV116" s="14">
        <f t="shared" si="95"/>
        <v>58.885658340276024</v>
      </c>
      <c r="CW116" s="22">
        <f t="shared" si="67"/>
        <v>524.17238027598012</v>
      </c>
      <c r="CX116" s="60">
        <f t="shared" si="68"/>
        <v>817.50571360931349</v>
      </c>
      <c r="CY116" s="60">
        <f ca="1">AVERAGE(OFFSET($CX$3,0,0,'Données projet'!$E$13+1,1))-AVERAGE(OFFSET($H$3,0,0,'Données projet'!$E$13+1,1))</f>
        <v>415.50509041799154</v>
      </c>
      <c r="CZ116" s="60">
        <f t="shared" si="96"/>
        <v>239.93573789765657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3.7</v>
      </c>
      <c r="DO116" s="13">
        <f>IF('Données projet'!$A$166&gt;35,DO115+DN116-DW115,IF(A116&lt;'Données projet'!$A$166,$DL$205^A116,IF(A116='Données projet'!$A$166,'Données projet'!$B$166,DO115+DN116-DW115)))</f>
        <v>277.09999999999957</v>
      </c>
      <c r="DP116" s="18">
        <f>DO116*VLOOKUP('Données projet'!$B$14,Paramètres!$A$1:$I$89,3,0)*VLOOKUP('Données projet'!$B$14,Paramètres!$A$1:$I$89,5,0)</f>
        <v>280.9793999999996</v>
      </c>
      <c r="DQ116" s="14">
        <f t="shared" si="97"/>
        <v>67.173942175199358</v>
      </c>
      <c r="DR116" s="22">
        <f t="shared" si="70"/>
        <v>606.36707095513827</v>
      </c>
      <c r="DS116" s="60">
        <f t="shared" si="71"/>
        <v>899.70040428847165</v>
      </c>
      <c r="DT116" s="60">
        <f ca="1">AVERAGE(OFFSET($DS$3,0,0,'Données projet'!$E$14+1,1))-AVERAGE(OFFSET($H$3,0,0,'Données projet'!$E$14+1,1))</f>
        <v>475.47920969424894</v>
      </c>
      <c r="DU116" s="60">
        <f t="shared" si="98"/>
        <v>271.73544012419364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3.7</v>
      </c>
      <c r="EJ116" s="13">
        <f>IF('Données projet'!$A$192&gt;35,EJ115+EI116-ER115,IF(A116&lt;'Données projet'!$A$192,$EG$205^A116,IF(A116='Données projet'!$A$192,'Données projet'!$B$192,EJ115+EI116-ER115)))</f>
        <v>277.09999999999957</v>
      </c>
      <c r="EK116" s="18">
        <f>EJ116*VLOOKUP('Données projet'!$B$15,Paramètres!$A$1:$I$89,3,0)*VLOOKUP('Données projet'!$B$15,Paramètres!$A$1:$I$89,5,0)</f>
        <v>250.7200799999996</v>
      </c>
      <c r="EL116" s="14">
        <f t="shared" si="99"/>
        <v>60.740109326032709</v>
      </c>
      <c r="EM116" s="22">
        <f t="shared" si="73"/>
        <v>542.45982974283959</v>
      </c>
      <c r="EN116" s="60">
        <f t="shared" si="74"/>
        <v>835.79316307617296</v>
      </c>
      <c r="EO116" s="60">
        <f ca="1">AVERAGE(OFFSET($EN$3,0,0,'Données projet'!$E$15+1,1))-AVERAGE(OFFSET($H$3,0,0,'Données projet'!$E$15+1,1))</f>
        <v>428.8489304403459</v>
      </c>
      <c r="EP116" s="60">
        <f t="shared" si="100"/>
        <v>247.01165577562966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3.7</v>
      </c>
      <c r="FE116" s="13">
        <f>IF('Données projet'!$A$218&gt;35,FE115+FD116-FM115,IF(A116&lt;'Données projet'!$A$218,$FB$205^A116,IF(A116='Données projet'!$A$218,'Données projet'!$B$218,FE115+FD116-FM115)))</f>
        <v>277.09999999999957</v>
      </c>
      <c r="FF116" s="18">
        <f>FE116*VLOOKUP('Données projet'!$B$16,Paramètres!$A$1:$I$89,3,0)*VLOOKUP('Données projet'!$B$16,Paramètres!$A$1:$I$89,5,0)</f>
        <v>268.01111999999961</v>
      </c>
      <c r="FG116" s="14">
        <f t="shared" si="101"/>
        <v>64.426997301716796</v>
      </c>
      <c r="FH116" s="22">
        <f t="shared" si="76"/>
        <v>578.99638763382268</v>
      </c>
      <c r="FI116" s="60">
        <f t="shared" si="77"/>
        <v>872.32972096715594</v>
      </c>
      <c r="FJ116" s="60">
        <f ca="1">AVERAGE(OFFSET($FI$3,0,0,'Données projet'!$E$16+1,1))-AVERAGE(OFFSET($H$3,0,0,'Données projet'!$E$16+1,1))</f>
        <v>455.50822833641354</v>
      </c>
      <c r="FK116" s="60">
        <f t="shared" si="102"/>
        <v>261.14722581688039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 t="e">
        <f>N117*VLOOKUP('Données projet'!$B$9,Paramètres!$A$1:$I$89,3,0)*VLOOKUP('Données projet'!$B$9,Paramètres!$A$1:$I$89,5,0)</f>
        <v>#N/A</v>
      </c>
      <c r="P117" s="14" t="e">
        <f t="shared" si="87"/>
        <v>#N/A</v>
      </c>
      <c r="Q117" s="22" t="e">
        <f t="shared" si="107"/>
        <v>#N/A</v>
      </c>
      <c r="R117" s="60" t="e">
        <f t="shared" si="55"/>
        <v>#N/A</v>
      </c>
      <c r="S117" s="60" t="e">
        <f ca="1">AVERAGE(OFFSET($R$3,0,0,'Données projet'!$E$9+1,1))-AVERAGE(OFFSET($H$3,0,0,'Données projet'!$E$9+1,1))</f>
        <v>#N/A</v>
      </c>
      <c r="T117" s="60" t="e">
        <f t="shared" si="88"/>
        <v>#N/A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 t="e">
        <f>EXP(-LN(2)/35)*Z116+(1-EXP(-LN(2)/35))/(LN(2)/35)*V117*W117*VLOOKUP('Données projet'!$B$9,Paramètres!$A$1:$I$89,3,0)*0.475*44/12</f>
        <v>#N/A</v>
      </c>
      <c r="AA117" s="23" t="e">
        <f>EXP(-LN(2)/25)*AA116+(1-EXP(-LN(2)/25))/(LN(2)/25)*Calculateur!V117*Calculateur!X117*VLOOKUP('Données projet'!$B$9,Paramètres!$A$1:$I$89,3,0)*0.475*44/12</f>
        <v>#N/A</v>
      </c>
      <c r="AB117" s="23" t="e">
        <f>EXP(-LN(2)/2)*AB116+(1-EXP(-LN(2)/2))/(LN(2)/2)*V117*Y117*VLOOKUP('Données projet'!$B$9,Paramètres!$A$1:$I$89,3,0)*0.475*44/12</f>
        <v>#N/A</v>
      </c>
      <c r="AC117" s="24" t="e">
        <f t="shared" si="57"/>
        <v>#N/A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projet'!$B$10,Paramètres!$A$1:$I$89,3,0)*VLOOKUP('Données projet'!$B$10,Paramètres!$A$1:$I$89,5,0)</f>
        <v>1.9863364286720756E-13</v>
      </c>
      <c r="AK117" s="14">
        <f t="shared" si="89"/>
        <v>2.7549360720371426E-12</v>
      </c>
      <c r="AL117" s="22">
        <f t="shared" si="58"/>
        <v>5.144133920125077E-12</v>
      </c>
      <c r="AM117" s="60">
        <f t="shared" si="59"/>
        <v>293.33333333333843</v>
      </c>
      <c r="AN117" s="60">
        <f ca="1">AVERAGE(OFFSET($AM$3,0,0,'Données projet'!$E$10+1,1))-AVERAGE(OFFSET($H$3,0,0,'Données projet'!$E$10+1,1))</f>
        <v>325.06345339097095</v>
      </c>
      <c r="AO117" s="60">
        <f t="shared" si="90"/>
        <v>318.90379036810754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0" t="e">
        <f t="shared" si="62"/>
        <v>#N/A</v>
      </c>
      <c r="BI117" s="60" t="e">
        <f ca="1">AVERAGE(OFFSET($BH$3,0,0,'Données projet'!$E$11+1,1))-AVERAGE(OFFSET($H$3,0,0,'Données projet'!$E$11+1,1))</f>
        <v>#N/A</v>
      </c>
      <c r="BJ117" s="60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0" t="e">
        <f t="shared" si="65"/>
        <v>#N/A</v>
      </c>
      <c r="CD117" s="60" t="e">
        <f ca="1">AVERAGE(OFFSET($CC$3,0,0,'Données projet'!$E$12+1,1))-AVERAGE(OFFSET($H$3,0,0,'Données projet'!$E$12+1,1))</f>
        <v>#N/A</v>
      </c>
      <c r="CE117" s="60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245.30687999999964</v>
      </c>
      <c r="CV117" s="14">
        <f t="shared" si="95"/>
        <v>59.579874112906325</v>
      </c>
      <c r="CW117" s="22">
        <f t="shared" si="67"/>
        <v>531.01109674664451</v>
      </c>
      <c r="CX117" s="60">
        <f t="shared" si="68"/>
        <v>824.34443007997788</v>
      </c>
      <c r="CY117" s="60">
        <f ca="1">AVERAGE(OFFSET($CX$3,0,0,'Données projet'!$E$13+1,1))-AVERAGE(OFFSET($H$3,0,0,'Données projet'!$E$13+1,1))</f>
        <v>415.50509041799154</v>
      </c>
      <c r="CZ117" s="60">
        <f t="shared" si="96"/>
        <v>239.93573789765657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3.7</v>
      </c>
      <c r="DO117" s="13">
        <f>IF('Données projet'!$A$166&gt;35,DO116+DN117-DW116,IF(A117&lt;'Données projet'!$A$166,$DL$205^A117,IF(A117='Données projet'!$A$166,'Données projet'!$B$166,DO116+DN117-DW116)))</f>
        <v>280.79999999999956</v>
      </c>
      <c r="DP117" s="18">
        <f>DO117*VLOOKUP('Données projet'!$B$14,Paramètres!$A$1:$I$89,3,0)*VLOOKUP('Données projet'!$B$14,Paramètres!$A$1:$I$89,5,0)</f>
        <v>284.7311999999996</v>
      </c>
      <c r="DQ117" s="14">
        <f t="shared" si="97"/>
        <v>67.965870320050882</v>
      </c>
      <c r="DR117" s="22">
        <f t="shared" si="70"/>
        <v>614.28073080742126</v>
      </c>
      <c r="DS117" s="60">
        <f t="shared" si="71"/>
        <v>907.61406414075464</v>
      </c>
      <c r="DT117" s="60">
        <f ca="1">AVERAGE(OFFSET($DS$3,0,0,'Données projet'!$E$14+1,1))-AVERAGE(OFFSET($H$3,0,0,'Données projet'!$E$14+1,1))</f>
        <v>475.47920969424894</v>
      </c>
      <c r="DU117" s="60">
        <f t="shared" si="98"/>
        <v>271.73544012419364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3.7</v>
      </c>
      <c r="EJ117" s="13">
        <f>IF('Données projet'!$A$192&gt;35,EJ116+EI117-ER116,IF(A117&lt;'Données projet'!$A$192,$EG$205^A117,IF(A117='Données projet'!$A$192,'Données projet'!$B$192,EJ116+EI117-ER116)))</f>
        <v>280.79999999999956</v>
      </c>
      <c r="EK117" s="18">
        <f>EJ117*VLOOKUP('Données projet'!$B$15,Paramètres!$A$1:$I$89,3,0)*VLOOKUP('Données projet'!$B$15,Paramètres!$A$1:$I$89,5,0)</f>
        <v>254.06783999999956</v>
      </c>
      <c r="EL117" s="14">
        <f t="shared" si="99"/>
        <v>61.456187622750669</v>
      </c>
      <c r="EM117" s="22">
        <f t="shared" si="73"/>
        <v>549.53768144295657</v>
      </c>
      <c r="EN117" s="60">
        <f t="shared" si="74"/>
        <v>842.87101477628994</v>
      </c>
      <c r="EO117" s="60">
        <f ca="1">AVERAGE(OFFSET($EN$3,0,0,'Données projet'!$E$15+1,1))-AVERAGE(OFFSET($H$3,0,0,'Données projet'!$E$15+1,1))</f>
        <v>428.8489304403459</v>
      </c>
      <c r="EP117" s="60">
        <f t="shared" si="100"/>
        <v>247.01165577562966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3.7</v>
      </c>
      <c r="FE117" s="13">
        <f>IF('Données projet'!$A$218&gt;35,FE116+FD117-FM116,IF(A117&lt;'Données projet'!$A$218,$FB$205^A117,IF(A117='Données projet'!$A$218,'Données projet'!$B$218,FE116+FD117-FM116)))</f>
        <v>280.79999999999956</v>
      </c>
      <c r="FF117" s="18">
        <f>FE117*VLOOKUP('Données projet'!$B$16,Paramètres!$A$1:$I$89,3,0)*VLOOKUP('Données projet'!$B$16,Paramètres!$A$1:$I$89,5,0)</f>
        <v>271.58975999999956</v>
      </c>
      <c r="FG117" s="14">
        <f t="shared" si="101"/>
        <v>65.186541118848012</v>
      </c>
      <c r="FH117" s="22">
        <f t="shared" si="76"/>
        <v>586.55205778199286</v>
      </c>
      <c r="FI117" s="60">
        <f t="shared" si="77"/>
        <v>879.88539111532623</v>
      </c>
      <c r="FJ117" s="60">
        <f ca="1">AVERAGE(OFFSET($FI$3,0,0,'Données projet'!$E$16+1,1))-AVERAGE(OFFSET($H$3,0,0,'Données projet'!$E$16+1,1))</f>
        <v>455.50822833641354</v>
      </c>
      <c r="FK117" s="60">
        <f t="shared" si="102"/>
        <v>261.14722581688039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 t="e">
        <f>N118*VLOOKUP('Données projet'!$B$9,Paramètres!$A$1:$I$89,3,0)*VLOOKUP('Données projet'!$B$9,Paramètres!$A$1:$I$89,5,0)</f>
        <v>#N/A</v>
      </c>
      <c r="P118" s="14" t="e">
        <f t="shared" si="87"/>
        <v>#N/A</v>
      </c>
      <c r="Q118" s="22" t="e">
        <f t="shared" si="107"/>
        <v>#N/A</v>
      </c>
      <c r="R118" s="60" t="e">
        <f t="shared" si="55"/>
        <v>#N/A</v>
      </c>
      <c r="S118" s="60" t="e">
        <f ca="1">AVERAGE(OFFSET($R$3,0,0,'Données projet'!$E$9+1,1))-AVERAGE(OFFSET($H$3,0,0,'Données projet'!$E$9+1,1))</f>
        <v>#N/A</v>
      </c>
      <c r="T118" s="60" t="e">
        <f t="shared" si="88"/>
        <v>#N/A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 t="e">
        <f>EXP(-LN(2)/35)*Z117+(1-EXP(-LN(2)/35))/(LN(2)/35)*V118*W118*VLOOKUP('Données projet'!$B$9,Paramètres!$A$1:$I$89,3,0)*0.475*44/12</f>
        <v>#N/A</v>
      </c>
      <c r="AA118" s="23" t="e">
        <f>EXP(-LN(2)/25)*AA117+(1-EXP(-LN(2)/25))/(LN(2)/25)*Calculateur!V118*Calculateur!X118*VLOOKUP('Données projet'!$B$9,Paramètres!$A$1:$I$89,3,0)*0.475*44/12</f>
        <v>#N/A</v>
      </c>
      <c r="AB118" s="23" t="e">
        <f>EXP(-LN(2)/2)*AB117+(1-EXP(-LN(2)/2))/(LN(2)/2)*V118*Y118*VLOOKUP('Données projet'!$B$9,Paramètres!$A$1:$I$89,3,0)*0.475*44/12</f>
        <v>#N/A</v>
      </c>
      <c r="AC118" s="24" t="e">
        <f t="shared" si="57"/>
        <v>#N/A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projet'!$B$10,Paramètres!$A$1:$I$89,3,0)*VLOOKUP('Données projet'!$B$10,Paramètres!$A$1:$I$89,5,0)</f>
        <v>1.9863364286720756E-13</v>
      </c>
      <c r="AK118" s="14">
        <f t="shared" si="89"/>
        <v>2.7549360720371426E-12</v>
      </c>
      <c r="AL118" s="22">
        <f t="shared" si="58"/>
        <v>5.144133920125077E-12</v>
      </c>
      <c r="AM118" s="60">
        <f t="shared" si="59"/>
        <v>293.33333333333843</v>
      </c>
      <c r="AN118" s="60">
        <f ca="1">AVERAGE(OFFSET($AM$3,0,0,'Données projet'!$E$10+1,1))-AVERAGE(OFFSET($H$3,0,0,'Données projet'!$E$10+1,1))</f>
        <v>325.06345339097095</v>
      </c>
      <c r="AO118" s="60">
        <f t="shared" si="90"/>
        <v>318.90379036810754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0" t="e">
        <f t="shared" si="62"/>
        <v>#N/A</v>
      </c>
      <c r="BI118" s="60" t="e">
        <f ca="1">AVERAGE(OFFSET($BH$3,0,0,'Données projet'!$E$11+1,1))-AVERAGE(OFFSET($H$3,0,0,'Données projet'!$E$11+1,1))</f>
        <v>#N/A</v>
      </c>
      <c r="BJ118" s="60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0" t="e">
        <f t="shared" si="65"/>
        <v>#N/A</v>
      </c>
      <c r="CD118" s="60" t="e">
        <f ca="1">AVERAGE(OFFSET($CC$3,0,0,'Données projet'!$E$12+1,1))-AVERAGE(OFFSET($H$3,0,0,'Données projet'!$E$12+1,1))</f>
        <v>#N/A</v>
      </c>
      <c r="CE118" s="60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248.53919999999965</v>
      </c>
      <c r="CV118" s="14">
        <f t="shared" si="95"/>
        <v>60.273025908248449</v>
      </c>
      <c r="CW118" s="22">
        <f t="shared" si="67"/>
        <v>537.84796012353206</v>
      </c>
      <c r="CX118" s="60">
        <f t="shared" si="68"/>
        <v>831.18129345686543</v>
      </c>
      <c r="CY118" s="60">
        <f ca="1">AVERAGE(OFFSET($CX$3,0,0,'Données projet'!$E$13+1,1))-AVERAGE(OFFSET($H$3,0,0,'Données projet'!$E$13+1,1))</f>
        <v>415.50509041799154</v>
      </c>
      <c r="CZ118" s="60">
        <f t="shared" si="96"/>
        <v>239.93573789765657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3.7</v>
      </c>
      <c r="DO118" s="13">
        <f>IF('Données projet'!$A$166&gt;35,DO117+DN118-DW117,IF(A118&lt;'Données projet'!$A$166,$DL$205^A118,IF(A118='Données projet'!$A$166,'Données projet'!$B$166,DO117+DN118-DW117)))</f>
        <v>284.49999999999955</v>
      </c>
      <c r="DP118" s="18">
        <f>DO118*VLOOKUP('Données projet'!$B$14,Paramètres!$A$1:$I$89,3,0)*VLOOKUP('Données projet'!$B$14,Paramètres!$A$1:$I$89,5,0)</f>
        <v>288.48299999999955</v>
      </c>
      <c r="DQ118" s="14">
        <f t="shared" si="97"/>
        <v>68.756584730508635</v>
      </c>
      <c r="DR118" s="22">
        <f t="shared" si="70"/>
        <v>622.19227673896842</v>
      </c>
      <c r="DS118" s="60">
        <f t="shared" si="71"/>
        <v>915.52561007230179</v>
      </c>
      <c r="DT118" s="60">
        <f ca="1">AVERAGE(OFFSET($DS$3,0,0,'Données projet'!$E$14+1,1))-AVERAGE(OFFSET($H$3,0,0,'Données projet'!$E$14+1,1))</f>
        <v>475.47920969424894</v>
      </c>
      <c r="DU118" s="60">
        <f t="shared" si="98"/>
        <v>271.73544012419364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3.7</v>
      </c>
      <c r="EJ118" s="13">
        <f>IF('Données projet'!$A$192&gt;35,EJ117+EI118-ER117,IF(A118&lt;'Données projet'!$A$192,$EG$205^A118,IF(A118='Données projet'!$A$192,'Données projet'!$B$192,EJ117+EI118-ER117)))</f>
        <v>284.49999999999955</v>
      </c>
      <c r="EK118" s="18">
        <f>EJ118*VLOOKUP('Données projet'!$B$15,Paramètres!$A$1:$I$89,3,0)*VLOOKUP('Données projet'!$B$15,Paramètres!$A$1:$I$89,5,0)</f>
        <v>257.41559999999959</v>
      </c>
      <c r="EL118" s="14">
        <f t="shared" si="99"/>
        <v>62.171168434977062</v>
      </c>
      <c r="EM118" s="22">
        <f t="shared" si="73"/>
        <v>556.61362169091774</v>
      </c>
      <c r="EN118" s="60">
        <f t="shared" si="74"/>
        <v>849.94695502425111</v>
      </c>
      <c r="EO118" s="60">
        <f ca="1">AVERAGE(OFFSET($EN$3,0,0,'Données projet'!$E$15+1,1))-AVERAGE(OFFSET($H$3,0,0,'Données projet'!$E$15+1,1))</f>
        <v>428.8489304403459</v>
      </c>
      <c r="EP118" s="60">
        <f t="shared" si="100"/>
        <v>247.01165577562966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3.7</v>
      </c>
      <c r="FE118" s="13">
        <f>IF('Données projet'!$A$218&gt;35,FE117+FD118-FM117,IF(A118&lt;'Données projet'!$A$218,$FB$205^A118,IF(A118='Données projet'!$A$218,'Données projet'!$B$218,FE117+FD118-FM117)))</f>
        <v>284.49999999999955</v>
      </c>
      <c r="FF118" s="18">
        <f>FE118*VLOOKUP('Données projet'!$B$16,Paramètres!$A$1:$I$89,3,0)*VLOOKUP('Données projet'!$B$16,Paramètres!$A$1:$I$89,5,0)</f>
        <v>275.16839999999956</v>
      </c>
      <c r="FG118" s="14">
        <f t="shared" si="101"/>
        <v>65.944920834841554</v>
      </c>
      <c r="FH118" s="22">
        <f t="shared" si="76"/>
        <v>594.10570045401494</v>
      </c>
      <c r="FI118" s="60">
        <f t="shared" si="77"/>
        <v>887.43903378734831</v>
      </c>
      <c r="FJ118" s="60">
        <f ca="1">AVERAGE(OFFSET($FI$3,0,0,'Données projet'!$E$16+1,1))-AVERAGE(OFFSET($H$3,0,0,'Données projet'!$E$16+1,1))</f>
        <v>455.50822833641354</v>
      </c>
      <c r="FK118" s="60">
        <f t="shared" si="102"/>
        <v>261.14722581688039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 t="e">
        <f>N119*VLOOKUP('Données projet'!$B$9,Paramètres!$A$1:$I$89,3,0)*VLOOKUP('Données projet'!$B$9,Paramètres!$A$1:$I$89,5,0)</f>
        <v>#N/A</v>
      </c>
      <c r="P119" s="14" t="e">
        <f t="shared" si="87"/>
        <v>#N/A</v>
      </c>
      <c r="Q119" s="22" t="e">
        <f t="shared" si="107"/>
        <v>#N/A</v>
      </c>
      <c r="R119" s="60" t="e">
        <f t="shared" si="55"/>
        <v>#N/A</v>
      </c>
      <c r="S119" s="60" t="e">
        <f ca="1">AVERAGE(OFFSET($R$3,0,0,'Données projet'!$E$9+1,1))-AVERAGE(OFFSET($H$3,0,0,'Données projet'!$E$9+1,1))</f>
        <v>#N/A</v>
      </c>
      <c r="T119" s="60" t="e">
        <f t="shared" si="88"/>
        <v>#N/A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 t="e">
        <f>EXP(-LN(2)/35)*Z118+(1-EXP(-LN(2)/35))/(LN(2)/35)*V119*W119*VLOOKUP('Données projet'!$B$9,Paramètres!$A$1:$I$89,3,0)*0.475*44/12</f>
        <v>#N/A</v>
      </c>
      <c r="AA119" s="23" t="e">
        <f>EXP(-LN(2)/25)*AA118+(1-EXP(-LN(2)/25))/(LN(2)/25)*Calculateur!V119*Calculateur!X119*VLOOKUP('Données projet'!$B$9,Paramètres!$A$1:$I$89,3,0)*0.475*44/12</f>
        <v>#N/A</v>
      </c>
      <c r="AB119" s="23" t="e">
        <f>EXP(-LN(2)/2)*AB118+(1-EXP(-LN(2)/2))/(LN(2)/2)*V119*Y119*VLOOKUP('Données projet'!$B$9,Paramètres!$A$1:$I$89,3,0)*0.475*44/12</f>
        <v>#N/A</v>
      </c>
      <c r="AC119" s="24" t="e">
        <f t="shared" si="57"/>
        <v>#N/A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projet'!$B$10,Paramètres!$A$1:$I$89,3,0)*VLOOKUP('Données projet'!$B$10,Paramètres!$A$1:$I$89,5,0)</f>
        <v>1.9863364286720756E-13</v>
      </c>
      <c r="AK119" s="14">
        <f t="shared" si="89"/>
        <v>2.7549360720371426E-12</v>
      </c>
      <c r="AL119" s="22">
        <f t="shared" si="58"/>
        <v>5.144133920125077E-12</v>
      </c>
      <c r="AM119" s="60">
        <f t="shared" si="59"/>
        <v>293.33333333333843</v>
      </c>
      <c r="AN119" s="60">
        <f ca="1">AVERAGE(OFFSET($AM$3,0,0,'Données projet'!$E$10+1,1))-AVERAGE(OFFSET($H$3,0,0,'Données projet'!$E$10+1,1))</f>
        <v>325.06345339097095</v>
      </c>
      <c r="AO119" s="60">
        <f t="shared" si="90"/>
        <v>318.90379036810754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0" t="e">
        <f t="shared" si="62"/>
        <v>#N/A</v>
      </c>
      <c r="BI119" s="60" t="e">
        <f ca="1">AVERAGE(OFFSET($BH$3,0,0,'Données projet'!$E$11+1,1))-AVERAGE(OFFSET($H$3,0,0,'Données projet'!$E$11+1,1))</f>
        <v>#N/A</v>
      </c>
      <c r="BJ119" s="60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0" t="e">
        <f t="shared" si="65"/>
        <v>#N/A</v>
      </c>
      <c r="CD119" s="60" t="e">
        <f ca="1">AVERAGE(OFFSET($CC$3,0,0,'Données projet'!$E$12+1,1))-AVERAGE(OFFSET($H$3,0,0,'Données projet'!$E$12+1,1))</f>
        <v>#N/A</v>
      </c>
      <c r="CE119" s="60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251.77151999999964</v>
      </c>
      <c r="CV119" s="14">
        <f t="shared" si="95"/>
        <v>60.965129163468909</v>
      </c>
      <c r="CW119" s="22">
        <f t="shared" si="67"/>
        <v>544.68299729304101</v>
      </c>
      <c r="CX119" s="60">
        <f t="shared" si="68"/>
        <v>838.01633062637438</v>
      </c>
      <c r="CY119" s="60">
        <f ca="1">AVERAGE(OFFSET($CX$3,0,0,'Données projet'!$E$13+1,1))-AVERAGE(OFFSET($H$3,0,0,'Données projet'!$E$13+1,1))</f>
        <v>415.50509041799154</v>
      </c>
      <c r="CZ119" s="60">
        <f t="shared" si="96"/>
        <v>239.93573789765657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3.7</v>
      </c>
      <c r="DO119" s="13">
        <f>IF('Données projet'!$A$166&gt;35,DO118+DN119-DW118,IF(A119&lt;'Données projet'!$A$166,$DL$205^A119,IF(A119='Données projet'!$A$166,'Données projet'!$B$166,DO118+DN119-DW118)))</f>
        <v>288.19999999999953</v>
      </c>
      <c r="DP119" s="18">
        <f>DO119*VLOOKUP('Données projet'!$B$14,Paramètres!$A$1:$I$89,3,0)*VLOOKUP('Données projet'!$B$14,Paramètres!$A$1:$I$89,5,0)</f>
        <v>292.23479999999955</v>
      </c>
      <c r="DQ119" s="14">
        <f t="shared" si="97"/>
        <v>69.546103016553644</v>
      </c>
      <c r="DR119" s="22">
        <f t="shared" si="70"/>
        <v>630.10173942049676</v>
      </c>
      <c r="DS119" s="60">
        <f t="shared" si="71"/>
        <v>923.43507275383013</v>
      </c>
      <c r="DT119" s="60">
        <f ca="1">AVERAGE(OFFSET($DS$3,0,0,'Données projet'!$E$14+1,1))-AVERAGE(OFFSET($H$3,0,0,'Données projet'!$E$14+1,1))</f>
        <v>475.47920969424894</v>
      </c>
      <c r="DU119" s="60">
        <f t="shared" si="98"/>
        <v>271.73544012419364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3.7</v>
      </c>
      <c r="EJ119" s="13">
        <f>IF('Données projet'!$A$192&gt;35,EJ118+EI119-ER118,IF(A119&lt;'Données projet'!$A$192,$EG$205^A119,IF(A119='Données projet'!$A$192,'Données projet'!$B$192,EJ118+EI119-ER118)))</f>
        <v>288.19999999999953</v>
      </c>
      <c r="EK119" s="18">
        <f>EJ119*VLOOKUP('Données projet'!$B$15,Paramètres!$A$1:$I$89,3,0)*VLOOKUP('Données projet'!$B$15,Paramètres!$A$1:$I$89,5,0)</f>
        <v>260.76335999999958</v>
      </c>
      <c r="EL119" s="14">
        <f t="shared" si="99"/>
        <v>62.885067686031896</v>
      </c>
      <c r="EM119" s="22">
        <f t="shared" si="73"/>
        <v>563.68767821983818</v>
      </c>
      <c r="EN119" s="60">
        <f t="shared" si="74"/>
        <v>857.02101155317155</v>
      </c>
      <c r="EO119" s="60">
        <f ca="1">AVERAGE(OFFSET($EN$3,0,0,'Données projet'!$E$15+1,1))-AVERAGE(OFFSET($H$3,0,0,'Données projet'!$E$15+1,1))</f>
        <v>428.8489304403459</v>
      </c>
      <c r="EP119" s="60">
        <f t="shared" si="100"/>
        <v>247.01165577562966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3.7</v>
      </c>
      <c r="FE119" s="13">
        <f>IF('Données projet'!$A$218&gt;35,FE118+FD119-FM118,IF(A119&lt;'Données projet'!$A$218,$FB$205^A119,IF(A119='Données projet'!$A$218,'Données projet'!$B$218,FE118+FD119-FM118)))</f>
        <v>288.19999999999953</v>
      </c>
      <c r="FF119" s="18">
        <f>FE119*VLOOKUP('Données projet'!$B$16,Paramètres!$A$1:$I$89,3,0)*VLOOKUP('Données projet'!$B$16,Paramètres!$A$1:$I$89,5,0)</f>
        <v>278.74703999999957</v>
      </c>
      <c r="FG119" s="14">
        <f t="shared" si="101"/>
        <v>66.702153339553135</v>
      </c>
      <c r="FH119" s="22">
        <f t="shared" si="76"/>
        <v>601.65734506638762</v>
      </c>
      <c r="FI119" s="60">
        <f t="shared" si="77"/>
        <v>894.99067839972099</v>
      </c>
      <c r="FJ119" s="60">
        <f ca="1">AVERAGE(OFFSET($FI$3,0,0,'Données projet'!$E$16+1,1))-AVERAGE(OFFSET($H$3,0,0,'Données projet'!$E$16+1,1))</f>
        <v>455.50822833641354</v>
      </c>
      <c r="FK119" s="60">
        <f t="shared" si="102"/>
        <v>261.14722581688039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 t="e">
        <f>N120*VLOOKUP('Données projet'!$B$9,Paramètres!$A$1:$I$89,3,0)*VLOOKUP('Données projet'!$B$9,Paramètres!$A$1:$I$89,5,0)</f>
        <v>#N/A</v>
      </c>
      <c r="P120" s="14" t="e">
        <f t="shared" si="87"/>
        <v>#N/A</v>
      </c>
      <c r="Q120" s="22" t="e">
        <f t="shared" si="107"/>
        <v>#N/A</v>
      </c>
      <c r="R120" s="60" t="e">
        <f t="shared" si="55"/>
        <v>#N/A</v>
      </c>
      <c r="S120" s="60" t="e">
        <f ca="1">AVERAGE(OFFSET($R$3,0,0,'Données projet'!$E$9+1,1))-AVERAGE(OFFSET($H$3,0,0,'Données projet'!$E$9+1,1))</f>
        <v>#N/A</v>
      </c>
      <c r="T120" s="60" t="e">
        <f t="shared" si="88"/>
        <v>#N/A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 t="e">
        <f>EXP(-LN(2)/35)*Z119+(1-EXP(-LN(2)/35))/(LN(2)/35)*V120*W120*VLOOKUP('Données projet'!$B$9,Paramètres!$A$1:$I$89,3,0)*0.475*44/12</f>
        <v>#N/A</v>
      </c>
      <c r="AA120" s="23" t="e">
        <f>EXP(-LN(2)/25)*AA119+(1-EXP(-LN(2)/25))/(LN(2)/25)*Calculateur!V120*Calculateur!X120*VLOOKUP('Données projet'!$B$9,Paramètres!$A$1:$I$89,3,0)*0.475*44/12</f>
        <v>#N/A</v>
      </c>
      <c r="AB120" s="23" t="e">
        <f>EXP(-LN(2)/2)*AB119+(1-EXP(-LN(2)/2))/(LN(2)/2)*V120*Y120*VLOOKUP('Données projet'!$B$9,Paramètres!$A$1:$I$89,3,0)*0.475*44/12</f>
        <v>#N/A</v>
      </c>
      <c r="AC120" s="24" t="e">
        <f t="shared" si="57"/>
        <v>#N/A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projet'!$B$10,Paramètres!$A$1:$I$89,3,0)*VLOOKUP('Données projet'!$B$10,Paramètres!$A$1:$I$89,5,0)</f>
        <v>1.9863364286720756E-13</v>
      </c>
      <c r="AK120" s="14">
        <f t="shared" si="89"/>
        <v>2.7549360720371426E-12</v>
      </c>
      <c r="AL120" s="22">
        <f t="shared" si="58"/>
        <v>5.144133920125077E-12</v>
      </c>
      <c r="AM120" s="60">
        <f t="shared" si="59"/>
        <v>293.33333333333843</v>
      </c>
      <c r="AN120" s="60">
        <f ca="1">AVERAGE(OFFSET($AM$3,0,0,'Données projet'!$E$10+1,1))-AVERAGE(OFFSET($H$3,0,0,'Données projet'!$E$10+1,1))</f>
        <v>325.06345339097095</v>
      </c>
      <c r="AO120" s="60">
        <f t="shared" si="90"/>
        <v>318.90379036810754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0" t="e">
        <f t="shared" si="62"/>
        <v>#N/A</v>
      </c>
      <c r="BI120" s="60" t="e">
        <f ca="1">AVERAGE(OFFSET($BH$3,0,0,'Données projet'!$E$11+1,1))-AVERAGE(OFFSET($H$3,0,0,'Données projet'!$E$11+1,1))</f>
        <v>#N/A</v>
      </c>
      <c r="BJ120" s="60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0" t="e">
        <f t="shared" si="65"/>
        <v>#N/A</v>
      </c>
      <c r="CD120" s="60" t="e">
        <f ca="1">AVERAGE(OFFSET($CC$3,0,0,'Données projet'!$E$12+1,1))-AVERAGE(OFFSET($H$3,0,0,'Données projet'!$E$12+1,1))</f>
        <v>#N/A</v>
      </c>
      <c r="CE120" s="60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255.0038399999996</v>
      </c>
      <c r="CV120" s="14">
        <f t="shared" si="95"/>
        <v>61.656198896570132</v>
      </c>
      <c r="CW120" s="22">
        <f t="shared" si="67"/>
        <v>551.51623441152572</v>
      </c>
      <c r="CX120" s="60">
        <f t="shared" si="68"/>
        <v>844.84956774485909</v>
      </c>
      <c r="CY120" s="60">
        <f ca="1">AVERAGE(OFFSET($CX$3,0,0,'Données projet'!$E$13+1,1))-AVERAGE(OFFSET($H$3,0,0,'Données projet'!$E$13+1,1))</f>
        <v>415.50509041799154</v>
      </c>
      <c r="CZ120" s="60">
        <f t="shared" si="96"/>
        <v>239.93573789765657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3.7</v>
      </c>
      <c r="DO120" s="13">
        <f>IF('Données projet'!$A$166&gt;35,DO119+DN120-DW119,IF(A120&lt;'Données projet'!$A$166,$DL$205^A120,IF(A120='Données projet'!$A$166,'Données projet'!$B$166,DO119+DN120-DW119)))</f>
        <v>291.89999999999952</v>
      </c>
      <c r="DP120" s="18">
        <f>DO120*VLOOKUP('Données projet'!$B$14,Paramètres!$A$1:$I$89,3,0)*VLOOKUP('Données projet'!$B$14,Paramètres!$A$1:$I$89,5,0)</f>
        <v>295.98659999999956</v>
      </c>
      <c r="DQ120" s="14">
        <f t="shared" si="97"/>
        <v>70.334442310004661</v>
      </c>
      <c r="DR120" s="22">
        <f t="shared" si="70"/>
        <v>638.00914868992402</v>
      </c>
      <c r="DS120" s="60">
        <f t="shared" si="71"/>
        <v>931.34248202325739</v>
      </c>
      <c r="DT120" s="60">
        <f ca="1">AVERAGE(OFFSET($DS$3,0,0,'Données projet'!$E$14+1,1))-AVERAGE(OFFSET($H$3,0,0,'Données projet'!$E$14+1,1))</f>
        <v>475.47920969424894</v>
      </c>
      <c r="DU120" s="60">
        <f t="shared" si="98"/>
        <v>271.73544012419364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3.7</v>
      </c>
      <c r="EJ120" s="13">
        <f>IF('Données projet'!$A$192&gt;35,EJ119+EI120-ER119,IF(A120&lt;'Données projet'!$A$192,$EG$205^A120,IF(A120='Données projet'!$A$192,'Données projet'!$B$192,EJ119+EI120-ER119)))</f>
        <v>291.89999999999952</v>
      </c>
      <c r="EK120" s="18">
        <f>EJ120*VLOOKUP('Données projet'!$B$15,Paramètres!$A$1:$I$89,3,0)*VLOOKUP('Données projet'!$B$15,Paramètres!$A$1:$I$89,5,0)</f>
        <v>264.11111999999957</v>
      </c>
      <c r="EL120" s="14">
        <f t="shared" si="99"/>
        <v>63.597900866870546</v>
      </c>
      <c r="EM120" s="22">
        <f t="shared" si="73"/>
        <v>570.75987800979885</v>
      </c>
      <c r="EN120" s="60">
        <f t="shared" si="74"/>
        <v>864.09321134313223</v>
      </c>
      <c r="EO120" s="60">
        <f ca="1">AVERAGE(OFFSET($EN$3,0,0,'Données projet'!$E$15+1,1))-AVERAGE(OFFSET($H$3,0,0,'Données projet'!$E$15+1,1))</f>
        <v>428.8489304403459</v>
      </c>
      <c r="EP120" s="60">
        <f t="shared" si="100"/>
        <v>247.01165577562966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3.7</v>
      </c>
      <c r="FE120" s="13">
        <f>IF('Données projet'!$A$218&gt;35,FE119+FD120-FM119,IF(A120&lt;'Données projet'!$A$218,$FB$205^A120,IF(A120='Données projet'!$A$218,'Données projet'!$B$218,FE119+FD120-FM119)))</f>
        <v>291.89999999999952</v>
      </c>
      <c r="FF120" s="18">
        <f>FE120*VLOOKUP('Données projet'!$B$16,Paramètres!$A$1:$I$89,3,0)*VLOOKUP('Données projet'!$B$16,Paramètres!$A$1:$I$89,5,0)</f>
        <v>282.32567999999952</v>
      </c>
      <c r="FG120" s="14">
        <f t="shared" si="101"/>
        <v>67.458255064229917</v>
      </c>
      <c r="FH120" s="22">
        <f t="shared" si="76"/>
        <v>609.20702023686624</v>
      </c>
      <c r="FI120" s="60">
        <f t="shared" si="77"/>
        <v>902.54035357019961</v>
      </c>
      <c r="FJ120" s="60">
        <f ca="1">AVERAGE(OFFSET($FI$3,0,0,'Données projet'!$E$16+1,1))-AVERAGE(OFFSET($H$3,0,0,'Données projet'!$E$16+1,1))</f>
        <v>455.50822833641354</v>
      </c>
      <c r="FK120" s="60">
        <f t="shared" si="102"/>
        <v>261.14722581688039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 t="e">
        <f>N121*VLOOKUP('Données projet'!$B$9,Paramètres!$A$1:$I$89,3,0)*VLOOKUP('Données projet'!$B$9,Paramètres!$A$1:$I$89,5,0)</f>
        <v>#N/A</v>
      </c>
      <c r="P121" s="14" t="e">
        <f t="shared" si="87"/>
        <v>#N/A</v>
      </c>
      <c r="Q121" s="22" t="e">
        <f t="shared" si="107"/>
        <v>#N/A</v>
      </c>
      <c r="R121" s="60" t="e">
        <f t="shared" si="55"/>
        <v>#N/A</v>
      </c>
      <c r="S121" s="60" t="e">
        <f ca="1">AVERAGE(OFFSET($R$3,0,0,'Données projet'!$E$9+1,1))-AVERAGE(OFFSET($H$3,0,0,'Données projet'!$E$9+1,1))</f>
        <v>#N/A</v>
      </c>
      <c r="T121" s="60" t="e">
        <f t="shared" si="88"/>
        <v>#N/A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 t="e">
        <f>EXP(-LN(2)/35)*Z120+(1-EXP(-LN(2)/35))/(LN(2)/35)*V121*W121*VLOOKUP('Données projet'!$B$9,Paramètres!$A$1:$I$89,3,0)*0.475*44/12</f>
        <v>#N/A</v>
      </c>
      <c r="AA121" s="23" t="e">
        <f>EXP(-LN(2)/25)*AA120+(1-EXP(-LN(2)/25))/(LN(2)/25)*Calculateur!V121*Calculateur!X121*VLOOKUP('Données projet'!$B$9,Paramètres!$A$1:$I$89,3,0)*0.475*44/12</f>
        <v>#N/A</v>
      </c>
      <c r="AB121" s="23" t="e">
        <f>EXP(-LN(2)/2)*AB120+(1-EXP(-LN(2)/2))/(LN(2)/2)*V121*Y121*VLOOKUP('Données projet'!$B$9,Paramètres!$A$1:$I$89,3,0)*0.475*44/12</f>
        <v>#N/A</v>
      </c>
      <c r="AC121" s="24" t="e">
        <f t="shared" si="57"/>
        <v>#N/A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projet'!$B$10,Paramètres!$A$1:$I$89,3,0)*VLOOKUP('Données projet'!$B$10,Paramètres!$A$1:$I$89,5,0)</f>
        <v>1.9863364286720756E-13</v>
      </c>
      <c r="AK121" s="14">
        <f t="shared" si="89"/>
        <v>2.7549360720371426E-12</v>
      </c>
      <c r="AL121" s="22">
        <f t="shared" si="58"/>
        <v>5.144133920125077E-12</v>
      </c>
      <c r="AM121" s="60">
        <f t="shared" si="59"/>
        <v>293.33333333333843</v>
      </c>
      <c r="AN121" s="60">
        <f ca="1">AVERAGE(OFFSET($AM$3,0,0,'Données projet'!$E$10+1,1))-AVERAGE(OFFSET($H$3,0,0,'Données projet'!$E$10+1,1))</f>
        <v>325.06345339097095</v>
      </c>
      <c r="AO121" s="60">
        <f t="shared" si="90"/>
        <v>318.90379036810754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0" t="e">
        <f t="shared" si="62"/>
        <v>#N/A</v>
      </c>
      <c r="BI121" s="60" t="e">
        <f ca="1">AVERAGE(OFFSET($BH$3,0,0,'Données projet'!$E$11+1,1))-AVERAGE(OFFSET($H$3,0,0,'Données projet'!$E$11+1,1))</f>
        <v>#N/A</v>
      </c>
      <c r="BJ121" s="60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0" t="e">
        <f t="shared" si="65"/>
        <v>#N/A</v>
      </c>
      <c r="CD121" s="60" t="e">
        <f ca="1">AVERAGE(OFFSET($CC$3,0,0,'Données projet'!$E$12+1,1))-AVERAGE(OFFSET($H$3,0,0,'Données projet'!$E$12+1,1))</f>
        <v>#N/A</v>
      </c>
      <c r="CE121" s="60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258.23615999999959</v>
      </c>
      <c r="CV121" s="14">
        <f t="shared" si="95"/>
        <v>62.346249722937614</v>
      </c>
      <c r="CW121" s="22">
        <f t="shared" si="67"/>
        <v>558.34769693411556</v>
      </c>
      <c r="CX121" s="60">
        <f t="shared" si="68"/>
        <v>851.68103026744893</v>
      </c>
      <c r="CY121" s="60">
        <f ca="1">AVERAGE(OFFSET($CX$3,0,0,'Données projet'!$E$13+1,1))-AVERAGE(OFFSET($H$3,0,0,'Données projet'!$E$13+1,1))</f>
        <v>415.50509041799154</v>
      </c>
      <c r="CZ121" s="60">
        <f t="shared" si="96"/>
        <v>239.93573789765657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3.7</v>
      </c>
      <c r="DO121" s="13">
        <f>IF('Données projet'!$A$166&gt;35,DO120+DN121-DW120,IF(A121&lt;'Données projet'!$A$166,$DL$205^A121,IF(A121='Données projet'!$A$166,'Données projet'!$B$166,DO120+DN121-DW120)))</f>
        <v>295.59999999999951</v>
      </c>
      <c r="DP121" s="18">
        <f>DO121*VLOOKUP('Données projet'!$B$14,Paramètres!$A$1:$I$89,3,0)*VLOOKUP('Données projet'!$B$14,Paramètres!$A$1:$I$89,5,0)</f>
        <v>299.73839999999956</v>
      </c>
      <c r="DQ121" s="14">
        <f t="shared" si="97"/>
        <v>71.121619283394352</v>
      </c>
      <c r="DR121" s="22">
        <f t="shared" si="70"/>
        <v>645.91453358524438</v>
      </c>
      <c r="DS121" s="60">
        <f t="shared" si="71"/>
        <v>939.24786691857776</v>
      </c>
      <c r="DT121" s="60">
        <f ca="1">AVERAGE(OFFSET($DS$3,0,0,'Données projet'!$E$14+1,1))-AVERAGE(OFFSET($H$3,0,0,'Données projet'!$E$14+1,1))</f>
        <v>475.47920969424894</v>
      </c>
      <c r="DU121" s="60">
        <f t="shared" si="98"/>
        <v>271.73544012419364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3.7</v>
      </c>
      <c r="EJ121" s="13">
        <f>IF('Données projet'!$A$192&gt;35,EJ120+EI121-ER120,IF(A121&lt;'Données projet'!$A$192,$EG$205^A121,IF(A121='Données projet'!$A$192,'Données projet'!$B$192,EJ120+EI121-ER120)))</f>
        <v>295.59999999999951</v>
      </c>
      <c r="EK121" s="18">
        <f>EJ121*VLOOKUP('Données projet'!$B$15,Paramètres!$A$1:$I$89,3,0)*VLOOKUP('Données projet'!$B$15,Paramètres!$A$1:$I$89,5,0)</f>
        <v>267.45887999999951</v>
      </c>
      <c r="EL121" s="14">
        <f t="shared" si="99"/>
        <v>64.309683053152327</v>
      </c>
      <c r="EM121" s="22">
        <f t="shared" si="73"/>
        <v>577.8302473175728</v>
      </c>
      <c r="EN121" s="60">
        <f t="shared" si="74"/>
        <v>871.16358065090617</v>
      </c>
      <c r="EO121" s="60">
        <f ca="1">AVERAGE(OFFSET($EN$3,0,0,'Données projet'!$E$15+1,1))-AVERAGE(OFFSET($H$3,0,0,'Données projet'!$E$15+1,1))</f>
        <v>428.8489304403459</v>
      </c>
      <c r="EP121" s="60">
        <f t="shared" si="100"/>
        <v>247.01165577562966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3.7</v>
      </c>
      <c r="FE121" s="13">
        <f>IF('Données projet'!$A$218&gt;35,FE120+FD121-FM120,IF(A121&lt;'Données projet'!$A$218,$FB$205^A121,IF(A121='Données projet'!$A$218,'Données projet'!$B$218,FE120+FD121-FM120)))</f>
        <v>295.59999999999951</v>
      </c>
      <c r="FF121" s="18">
        <f>FE121*VLOOKUP('Données projet'!$B$16,Paramètres!$A$1:$I$89,3,0)*VLOOKUP('Données projet'!$B$16,Paramètres!$A$1:$I$89,5,0)</f>
        <v>285.90431999999953</v>
      </c>
      <c r="FG121" s="14">
        <f t="shared" si="101"/>
        <v>68.213241999614453</v>
      </c>
      <c r="FH121" s="22">
        <f t="shared" si="76"/>
        <v>616.75475381599438</v>
      </c>
      <c r="FI121" s="60">
        <f t="shared" si="77"/>
        <v>910.08808714932775</v>
      </c>
      <c r="FJ121" s="60">
        <f ca="1">AVERAGE(OFFSET($FI$3,0,0,'Données projet'!$E$16+1,1))-AVERAGE(OFFSET($H$3,0,0,'Données projet'!$E$16+1,1))</f>
        <v>455.50822833641354</v>
      </c>
      <c r="FK121" s="60">
        <f t="shared" si="102"/>
        <v>261.14722581688039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 t="e">
        <f>N122*VLOOKUP('Données projet'!$B$9,Paramètres!$A$1:$I$89,3,0)*VLOOKUP('Données projet'!$B$9,Paramètres!$A$1:$I$89,5,0)</f>
        <v>#N/A</v>
      </c>
      <c r="P122" s="14" t="e">
        <f t="shared" si="87"/>
        <v>#N/A</v>
      </c>
      <c r="Q122" s="22" t="e">
        <f t="shared" si="107"/>
        <v>#N/A</v>
      </c>
      <c r="R122" s="60" t="e">
        <f t="shared" si="55"/>
        <v>#N/A</v>
      </c>
      <c r="S122" s="60" t="e">
        <f ca="1">AVERAGE(OFFSET($R$3,0,0,'Données projet'!$E$9+1,1))-AVERAGE(OFFSET($H$3,0,0,'Données projet'!$E$9+1,1))</f>
        <v>#N/A</v>
      </c>
      <c r="T122" s="60" t="e">
        <f t="shared" si="88"/>
        <v>#N/A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 t="e">
        <f>EXP(-LN(2)/35)*Z121+(1-EXP(-LN(2)/35))/(LN(2)/35)*V122*W122*VLOOKUP('Données projet'!$B$9,Paramètres!$A$1:$I$89,3,0)*0.475*44/12</f>
        <v>#N/A</v>
      </c>
      <c r="AA122" s="23" t="e">
        <f>EXP(-LN(2)/25)*AA121+(1-EXP(-LN(2)/25))/(LN(2)/25)*Calculateur!V122*Calculateur!X122*VLOOKUP('Données projet'!$B$9,Paramètres!$A$1:$I$89,3,0)*0.475*44/12</f>
        <v>#N/A</v>
      </c>
      <c r="AB122" s="23" t="e">
        <f>EXP(-LN(2)/2)*AB121+(1-EXP(-LN(2)/2))/(LN(2)/2)*V122*Y122*VLOOKUP('Données projet'!$B$9,Paramètres!$A$1:$I$89,3,0)*0.475*44/12</f>
        <v>#N/A</v>
      </c>
      <c r="AC122" s="24" t="e">
        <f t="shared" si="57"/>
        <v>#N/A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projet'!$B$10,Paramètres!$A$1:$I$89,3,0)*VLOOKUP('Données projet'!$B$10,Paramètres!$A$1:$I$89,5,0)</f>
        <v>1.9863364286720756E-13</v>
      </c>
      <c r="AK122" s="14">
        <f t="shared" si="89"/>
        <v>2.7549360720371426E-12</v>
      </c>
      <c r="AL122" s="22">
        <f t="shared" si="58"/>
        <v>5.144133920125077E-12</v>
      </c>
      <c r="AM122" s="60">
        <f t="shared" si="59"/>
        <v>293.33333333333843</v>
      </c>
      <c r="AN122" s="60">
        <f ca="1">AVERAGE(OFFSET($AM$3,0,0,'Données projet'!$E$10+1,1))-AVERAGE(OFFSET($H$3,0,0,'Données projet'!$E$10+1,1))</f>
        <v>325.06345339097095</v>
      </c>
      <c r="AO122" s="60">
        <f t="shared" si="90"/>
        <v>318.90379036810754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0" t="e">
        <f t="shared" si="62"/>
        <v>#N/A</v>
      </c>
      <c r="BI122" s="60" t="e">
        <f ca="1">AVERAGE(OFFSET($BH$3,0,0,'Données projet'!$E$11+1,1))-AVERAGE(OFFSET($H$3,0,0,'Données projet'!$E$11+1,1))</f>
        <v>#N/A</v>
      </c>
      <c r="BJ122" s="60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0" t="e">
        <f t="shared" si="65"/>
        <v>#N/A</v>
      </c>
      <c r="CD122" s="60" t="e">
        <f ca="1">AVERAGE(OFFSET($CC$3,0,0,'Données projet'!$E$12+1,1))-AVERAGE(OFFSET($H$3,0,0,'Données projet'!$E$12+1,1))</f>
        <v>#N/A</v>
      </c>
      <c r="CE122" s="60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261.4684799999996</v>
      </c>
      <c r="CV122" s="14">
        <f t="shared" si="95"/>
        <v>63.035295871035594</v>
      </c>
      <c r="CW122" s="22">
        <f t="shared" si="67"/>
        <v>565.17740964205302</v>
      </c>
      <c r="CX122" s="60">
        <f t="shared" si="68"/>
        <v>858.51074297538639</v>
      </c>
      <c r="CY122" s="60">
        <f ca="1">AVERAGE(OFFSET($CX$3,0,0,'Données projet'!$E$13+1,1))-AVERAGE(OFFSET($H$3,0,0,'Données projet'!$E$13+1,1))</f>
        <v>415.50509041799154</v>
      </c>
      <c r="CZ122" s="60">
        <f t="shared" si="96"/>
        <v>239.93573789765657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3.7</v>
      </c>
      <c r="DO122" s="13">
        <f>IF('Données projet'!$A$166&gt;35,DO121+DN122-DW121,IF(A122&lt;'Données projet'!$A$166,$DL$205^A122,IF(A122='Données projet'!$A$166,'Données projet'!$B$166,DO121+DN122-DW121)))</f>
        <v>299.2999999999995</v>
      </c>
      <c r="DP122" s="18">
        <f>DO122*VLOOKUP('Données projet'!$B$14,Paramètres!$A$1:$I$89,3,0)*VLOOKUP('Données projet'!$B$14,Paramètres!$A$1:$I$89,5,0)</f>
        <v>303.4901999999995</v>
      </c>
      <c r="DQ122" s="14">
        <f t="shared" si="97"/>
        <v>71.907650167874138</v>
      </c>
      <c r="DR122" s="22">
        <f t="shared" si="70"/>
        <v>653.81792237571324</v>
      </c>
      <c r="DS122" s="60">
        <f t="shared" si="71"/>
        <v>947.15125570904661</v>
      </c>
      <c r="DT122" s="60">
        <f ca="1">AVERAGE(OFFSET($DS$3,0,0,'Données projet'!$E$14+1,1))-AVERAGE(OFFSET($H$3,0,0,'Données projet'!$E$14+1,1))</f>
        <v>475.47920969424894</v>
      </c>
      <c r="DU122" s="60">
        <f t="shared" si="98"/>
        <v>271.73544012419364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3.7</v>
      </c>
      <c r="EJ122" s="13">
        <f>IF('Données projet'!$A$192&gt;35,EJ121+EI122-ER121,IF(A122&lt;'Données projet'!$A$192,$EG$205^A122,IF(A122='Données projet'!$A$192,'Données projet'!$B$192,EJ121+EI122-ER121)))</f>
        <v>299.2999999999995</v>
      </c>
      <c r="EK122" s="18">
        <f>EJ122*VLOOKUP('Données projet'!$B$15,Paramètres!$A$1:$I$89,3,0)*VLOOKUP('Données projet'!$B$15,Paramètres!$A$1:$I$89,5,0)</f>
        <v>270.80663999999956</v>
      </c>
      <c r="EL122" s="14">
        <f t="shared" si="99"/>
        <v>65.020428921429911</v>
      </c>
      <c r="EM122" s="22">
        <f t="shared" si="73"/>
        <v>584.89881170482306</v>
      </c>
      <c r="EN122" s="60">
        <f t="shared" si="74"/>
        <v>878.23214503815643</v>
      </c>
      <c r="EO122" s="60">
        <f ca="1">AVERAGE(OFFSET($EN$3,0,0,'Données projet'!$E$15+1,1))-AVERAGE(OFFSET($H$3,0,0,'Données projet'!$E$15+1,1))</f>
        <v>428.8489304403459</v>
      </c>
      <c r="EP122" s="60">
        <f t="shared" si="100"/>
        <v>247.01165577562966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3.7</v>
      </c>
      <c r="FE122" s="13">
        <f>IF('Données projet'!$A$218&gt;35,FE121+FD122-FM121,IF(A122&lt;'Données projet'!$A$218,$FB$205^A122,IF(A122='Données projet'!$A$218,'Données projet'!$B$218,FE121+FD122-FM121)))</f>
        <v>299.2999999999995</v>
      </c>
      <c r="FF122" s="18">
        <f>FE122*VLOOKUP('Données projet'!$B$16,Paramètres!$A$1:$I$89,3,0)*VLOOKUP('Données projet'!$B$16,Paramètres!$A$1:$I$89,5,0)</f>
        <v>289.48295999999954</v>
      </c>
      <c r="FG122" s="14">
        <f t="shared" si="101"/>
        <v>68.967129713117401</v>
      </c>
      <c r="FH122" s="22">
        <f t="shared" si="76"/>
        <v>624.300572917012</v>
      </c>
      <c r="FI122" s="60">
        <f t="shared" si="77"/>
        <v>917.63390625034526</v>
      </c>
      <c r="FJ122" s="60">
        <f ca="1">AVERAGE(OFFSET($FI$3,0,0,'Données projet'!$E$16+1,1))-AVERAGE(OFFSET($H$3,0,0,'Données projet'!$E$16+1,1))</f>
        <v>455.50822833641354</v>
      </c>
      <c r="FK122" s="60">
        <f t="shared" si="102"/>
        <v>261.14722581688039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 t="e">
        <f>N123*VLOOKUP('Données projet'!$B$9,Paramètres!$A$1:$I$89,3,0)*VLOOKUP('Données projet'!$B$9,Paramètres!$A$1:$I$89,5,0)</f>
        <v>#N/A</v>
      </c>
      <c r="P123" s="14" t="e">
        <f t="shared" si="87"/>
        <v>#N/A</v>
      </c>
      <c r="Q123" s="22" t="e">
        <f t="shared" si="107"/>
        <v>#N/A</v>
      </c>
      <c r="R123" s="60" t="e">
        <f t="shared" si="55"/>
        <v>#N/A</v>
      </c>
      <c r="S123" s="60" t="e">
        <f ca="1">AVERAGE(OFFSET($R$3,0,0,'Données projet'!$E$9+1,1))-AVERAGE(OFFSET($H$3,0,0,'Données projet'!$E$9+1,1))</f>
        <v>#N/A</v>
      </c>
      <c r="T123" s="60" t="e">
        <f t="shared" si="88"/>
        <v>#N/A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 t="e">
        <f>EXP(-LN(2)/35)*Z122+(1-EXP(-LN(2)/35))/(LN(2)/35)*V123*W123*VLOOKUP('Données projet'!$B$9,Paramètres!$A$1:$I$89,3,0)*0.475*44/12</f>
        <v>#N/A</v>
      </c>
      <c r="AA123" s="23" t="e">
        <f>EXP(-LN(2)/25)*AA122+(1-EXP(-LN(2)/25))/(LN(2)/25)*Calculateur!V123*Calculateur!X123*VLOOKUP('Données projet'!$B$9,Paramètres!$A$1:$I$89,3,0)*0.475*44/12</f>
        <v>#N/A</v>
      </c>
      <c r="AB123" s="23" t="e">
        <f>EXP(-LN(2)/2)*AB122+(1-EXP(-LN(2)/2))/(LN(2)/2)*V123*Y123*VLOOKUP('Données projet'!$B$9,Paramètres!$A$1:$I$89,3,0)*0.475*44/12</f>
        <v>#N/A</v>
      </c>
      <c r="AC123" s="24" t="e">
        <f t="shared" si="57"/>
        <v>#N/A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projet'!$B$10,Paramètres!$A$1:$I$89,3,0)*VLOOKUP('Données projet'!$B$10,Paramètres!$A$1:$I$89,5,0)</f>
        <v>1.9863364286720756E-13</v>
      </c>
      <c r="AK123" s="14">
        <f t="shared" si="89"/>
        <v>2.7549360720371426E-12</v>
      </c>
      <c r="AL123" s="22">
        <f t="shared" si="58"/>
        <v>5.144133920125077E-12</v>
      </c>
      <c r="AM123" s="60">
        <f t="shared" si="59"/>
        <v>293.33333333333843</v>
      </c>
      <c r="AN123" s="60">
        <f ca="1">AVERAGE(OFFSET($AM$3,0,0,'Données projet'!$E$10+1,1))-AVERAGE(OFFSET($H$3,0,0,'Données projet'!$E$10+1,1))</f>
        <v>325.06345339097095</v>
      </c>
      <c r="AO123" s="60">
        <f t="shared" si="90"/>
        <v>318.90379036810754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0" t="e">
        <f t="shared" si="62"/>
        <v>#N/A</v>
      </c>
      <c r="BI123" s="60" t="e">
        <f ca="1">AVERAGE(OFFSET($BH$3,0,0,'Données projet'!$E$11+1,1))-AVERAGE(OFFSET($H$3,0,0,'Données projet'!$E$11+1,1))</f>
        <v>#N/A</v>
      </c>
      <c r="BJ123" s="60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0" t="e">
        <f t="shared" si="65"/>
        <v>#N/A</v>
      </c>
      <c r="CD123" s="60" t="e">
        <f ca="1">AVERAGE(OFFSET($CC$3,0,0,'Données projet'!$E$12+1,1))-AVERAGE(OFFSET($H$3,0,0,'Données projet'!$E$12+1,1))</f>
        <v>#N/A</v>
      </c>
      <c r="CE123" s="60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264.70079999999956</v>
      </c>
      <c r="CV123" s="14">
        <f t="shared" si="95"/>
        <v>63.723351197304005</v>
      </c>
      <c r="CW123" s="22">
        <f t="shared" si="67"/>
        <v>572.00539666863699</v>
      </c>
      <c r="CX123" s="60">
        <f t="shared" si="68"/>
        <v>865.33873000197036</v>
      </c>
      <c r="CY123" s="60">
        <f ca="1">AVERAGE(OFFSET($CX$3,0,0,'Données projet'!$E$13+1,1))-AVERAGE(OFFSET($H$3,0,0,'Données projet'!$E$13+1,1))</f>
        <v>415.50509041799154</v>
      </c>
      <c r="CZ123" s="60">
        <f t="shared" si="96"/>
        <v>239.93573789765657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303</v>
      </c>
      <c r="DM123" s="13">
        <f>VLOOKUP(A123,'Données projet'!$A$165:$I$185,9,0)</f>
        <v>3.7</v>
      </c>
      <c r="DN123" s="13">
        <f t="array" ref="DN123">INDEX(DM:DM,MIN(IF(ISNUMBER(DM123:DM319),ROW(DM123:DM319),"")))</f>
        <v>3.7</v>
      </c>
      <c r="DO123" s="13">
        <f>IF('Données projet'!$A$166&gt;35,DO122+DN123-DW122,IF(A123&lt;'Données projet'!$A$166,$DL$205^A123,IF(A123='Données projet'!$A$166,'Données projet'!$B$166,DO122+DN123-DW122)))</f>
        <v>302.99999999999949</v>
      </c>
      <c r="DP123" s="18">
        <f>DO123*VLOOKUP('Données projet'!$B$14,Paramètres!$A$1:$I$89,3,0)*VLOOKUP('Données projet'!$B$14,Paramètres!$A$1:$I$89,5,0)</f>
        <v>307.24199999999951</v>
      </c>
      <c r="DQ123" s="14">
        <f t="shared" si="97"/>
        <v>72.692550770207717</v>
      </c>
      <c r="DR123" s="22">
        <f t="shared" si="70"/>
        <v>661.71934259144427</v>
      </c>
      <c r="DS123" s="60">
        <f t="shared" si="71"/>
        <v>955.05267592477753</v>
      </c>
      <c r="DT123" s="60">
        <f ca="1">AVERAGE(OFFSET($DS$3,0,0,'Données projet'!$E$14+1,1))-AVERAGE(OFFSET($H$3,0,0,'Données projet'!$E$14+1,1))</f>
        <v>475.47920969424894</v>
      </c>
      <c r="DU123" s="60">
        <f t="shared" si="98"/>
        <v>271.73544012419364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35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303</v>
      </c>
      <c r="EH123" s="13">
        <f>VLOOKUP(A123,'Données projet'!$A$191:$I$211,9,0)</f>
        <v>3.7</v>
      </c>
      <c r="EI123" s="13">
        <f t="array" ref="EI123">INDEX(EH:EH,MIN(IF(ISNUMBER(EH123:EH319),ROW(EH123:EH319),"")))</f>
        <v>3.7</v>
      </c>
      <c r="EJ123" s="13">
        <f>IF('Données projet'!$A$192&gt;35,EJ122+EI123-ER122,IF(A123&lt;'Données projet'!$A$192,$EG$205^A123,IF(A123='Données projet'!$A$192,'Données projet'!$B$192,EJ122+EI123-ER122)))</f>
        <v>302.99999999999949</v>
      </c>
      <c r="EK123" s="18">
        <f>EJ123*VLOOKUP('Données projet'!$B$15,Paramètres!$A$1:$I$89,3,0)*VLOOKUP('Données projet'!$B$15,Paramètres!$A$1:$I$89,5,0)</f>
        <v>274.15439999999955</v>
      </c>
      <c r="EL123" s="14">
        <f t="shared" si="99"/>
        <v>65.730152764515779</v>
      </c>
      <c r="EM123" s="22">
        <f t="shared" si="73"/>
        <v>591.96559606486414</v>
      </c>
      <c r="EN123" s="60">
        <f t="shared" si="74"/>
        <v>885.29892939819752</v>
      </c>
      <c r="EO123" s="60">
        <f ca="1">AVERAGE(OFFSET($EN$3,0,0,'Données projet'!$E$15+1,1))-AVERAGE(OFFSET($H$3,0,0,'Données projet'!$E$15+1,1))</f>
        <v>428.8489304403459</v>
      </c>
      <c r="EP123" s="60">
        <f t="shared" si="100"/>
        <v>247.01165577562966</v>
      </c>
      <c r="EQ123" s="16">
        <f>IF(ISNA(VLOOKUP(A123,'Données projet'!$A$191:$I$211,3,0)),0,VLOOKUP(A123,'Données projet'!$A$191:$I$211,3,0))</f>
        <v>10</v>
      </c>
      <c r="ER123" s="16">
        <f>IF(ISNA(VLOOKUP(A123,'Données projet'!$A$191:$I$211,4,0)),0,VLOOKUP(A123,'Données projet'!$A$191:$I$211,4,0))</f>
        <v>35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>
        <f>VLOOKUP(A123,'Données projet'!$A$217:$I$237,2,0)</f>
        <v>303</v>
      </c>
      <c r="FC123" s="13">
        <f>VLOOKUP(A123,'Données projet'!$A$217:$I$237,9,0)</f>
        <v>3.7</v>
      </c>
      <c r="FD123" s="13">
        <f t="array" ref="FD123">INDEX(FC:FC,MIN(IF(ISNUMBER(FC123:FC319),ROW(FC123:FC319),"")))</f>
        <v>3.7</v>
      </c>
      <c r="FE123" s="13">
        <f>IF('Données projet'!$A$218&gt;35,FE122+FD123-FM122,IF(A123&lt;'Données projet'!$A$218,$FB$205^A123,IF(A123='Données projet'!$A$218,'Données projet'!$B$218,FE122+FD123-FM122)))</f>
        <v>302.99999999999949</v>
      </c>
      <c r="FF123" s="18">
        <f>FE123*VLOOKUP('Données projet'!$B$16,Paramètres!$A$1:$I$89,3,0)*VLOOKUP('Données projet'!$B$16,Paramètres!$A$1:$I$89,5,0)</f>
        <v>293.06159999999949</v>
      </c>
      <c r="FG123" s="14">
        <f t="shared" si="101"/>
        <v>69.719933365116432</v>
      </c>
      <c r="FH123" s="22">
        <f t="shared" si="76"/>
        <v>631.84450394424357</v>
      </c>
      <c r="FI123" s="60">
        <f t="shared" si="77"/>
        <v>925.17783727757683</v>
      </c>
      <c r="FJ123" s="60">
        <f ca="1">AVERAGE(OFFSET($FI$3,0,0,'Données projet'!$E$16+1,1))-AVERAGE(OFFSET($H$3,0,0,'Données projet'!$E$16+1,1))</f>
        <v>455.50822833641354</v>
      </c>
      <c r="FK123" s="60">
        <f t="shared" si="102"/>
        <v>261.14722581688039</v>
      </c>
      <c r="FL123" s="16">
        <f>IF(ISNA(VLOOKUP(A123,'Données projet'!$A$217:$I$237,3,0)),0,VLOOKUP(A123,'Données projet'!$A$217:$I$237,3,0))</f>
        <v>10</v>
      </c>
      <c r="FM123" s="16">
        <f>IF(ISNA(VLOOKUP(A123,'Données projet'!$A$217:$I$237,4,0)),0,VLOOKUP(A123,'Données projet'!$A$217:$I$237,4,0))</f>
        <v>35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 t="e">
        <f>N124*VLOOKUP('Données projet'!$B$9,Paramètres!$A$1:$I$89,3,0)*VLOOKUP('Données projet'!$B$9,Paramètres!$A$1:$I$89,5,0)</f>
        <v>#N/A</v>
      </c>
      <c r="P124" s="14" t="e">
        <f t="shared" si="87"/>
        <v>#N/A</v>
      </c>
      <c r="Q124" s="22" t="e">
        <f t="shared" si="107"/>
        <v>#N/A</v>
      </c>
      <c r="R124" s="60" t="e">
        <f t="shared" si="55"/>
        <v>#N/A</v>
      </c>
      <c r="S124" s="60" t="e">
        <f ca="1">AVERAGE(OFFSET($R$3,0,0,'Données projet'!$E$9+1,1))-AVERAGE(OFFSET($H$3,0,0,'Données projet'!$E$9+1,1))</f>
        <v>#N/A</v>
      </c>
      <c r="T124" s="60" t="e">
        <f t="shared" si="88"/>
        <v>#N/A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 t="e">
        <f>EXP(-LN(2)/35)*Z123+(1-EXP(-LN(2)/35))/(LN(2)/35)*V124*W124*VLOOKUP('Données projet'!$B$9,Paramètres!$A$1:$I$89,3,0)*0.475*44/12</f>
        <v>#N/A</v>
      </c>
      <c r="AA124" s="23" t="e">
        <f>EXP(-LN(2)/25)*AA123+(1-EXP(-LN(2)/25))/(LN(2)/25)*Calculateur!V124*Calculateur!X124*VLOOKUP('Données projet'!$B$9,Paramètres!$A$1:$I$89,3,0)*0.475*44/12</f>
        <v>#N/A</v>
      </c>
      <c r="AB124" s="23" t="e">
        <f>EXP(-LN(2)/2)*AB123+(1-EXP(-LN(2)/2))/(LN(2)/2)*V124*Y124*VLOOKUP('Données projet'!$B$9,Paramètres!$A$1:$I$89,3,0)*0.475*44/12</f>
        <v>#N/A</v>
      </c>
      <c r="AC124" s="24" t="e">
        <f t="shared" si="57"/>
        <v>#N/A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projet'!$B$10,Paramètres!$A$1:$I$89,3,0)*VLOOKUP('Données projet'!$B$10,Paramètres!$A$1:$I$89,5,0)</f>
        <v>1.9863364286720756E-13</v>
      </c>
      <c r="AK124" s="14">
        <f t="shared" si="89"/>
        <v>2.7549360720371426E-12</v>
      </c>
      <c r="AL124" s="22">
        <f t="shared" si="58"/>
        <v>5.144133920125077E-12</v>
      </c>
      <c r="AM124" s="60">
        <f t="shared" si="59"/>
        <v>293.33333333333843</v>
      </c>
      <c r="AN124" s="60">
        <f ca="1">AVERAGE(OFFSET($AM$3,0,0,'Données projet'!$E$10+1,1))-AVERAGE(OFFSET($H$3,0,0,'Données projet'!$E$10+1,1))</f>
        <v>325.06345339097095</v>
      </c>
      <c r="AO124" s="60">
        <f t="shared" si="90"/>
        <v>318.90379036810754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0" t="e">
        <f t="shared" si="62"/>
        <v>#N/A</v>
      </c>
      <c r="BI124" s="60" t="e">
        <f ca="1">AVERAGE(OFFSET($BH$3,0,0,'Données projet'!$E$11+1,1))-AVERAGE(OFFSET($H$3,0,0,'Données projet'!$E$11+1,1))</f>
        <v>#N/A</v>
      </c>
      <c r="BJ124" s="60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0" t="e">
        <f t="shared" si="65"/>
        <v>#N/A</v>
      </c>
      <c r="CD124" s="60" t="e">
        <f ca="1">AVERAGE(OFFSET($CC$3,0,0,'Données projet'!$E$12+1,1))-AVERAGE(OFFSET($H$3,0,0,'Données projet'!$E$12+1,1))</f>
        <v>#N/A</v>
      </c>
      <c r="CE124" s="60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236.92031999999958</v>
      </c>
      <c r="CV124" s="14">
        <f t="shared" si="95"/>
        <v>57.776425098082797</v>
      </c>
      <c r="CW124" s="22">
        <f t="shared" si="67"/>
        <v>513.26349771249352</v>
      </c>
      <c r="CX124" s="60">
        <f t="shared" si="68"/>
        <v>806.59683104582678</v>
      </c>
      <c r="CY124" s="60">
        <f ca="1">AVERAGE(OFFSET($CX$3,0,0,'Données projet'!$E$13+1,1))-AVERAGE(OFFSET($H$3,0,0,'Données projet'!$E$13+1,1))</f>
        <v>415.50509041799154</v>
      </c>
      <c r="CZ124" s="60">
        <f t="shared" si="96"/>
        <v>239.93573789765657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3.2</v>
      </c>
      <c r="DO124" s="13">
        <f>IF('Données projet'!$A$166&gt;35,DO123+DN124-DW123,IF(A124&lt;'Données projet'!$A$166,$DL$205^A124,IF(A124='Données projet'!$A$166,'Données projet'!$B$166,DO123+DN124-DW123)))</f>
        <v>271.19999999999948</v>
      </c>
      <c r="DP124" s="18">
        <f>DO124*VLOOKUP('Données projet'!$B$14,Paramètres!$A$1:$I$89,3,0)*VLOOKUP('Données projet'!$B$14,Paramètres!$A$1:$I$89,5,0)</f>
        <v>274.9967999999995</v>
      </c>
      <c r="DQ124" s="14">
        <f t="shared" si="97"/>
        <v>65.908581953881495</v>
      </c>
      <c r="DR124" s="22">
        <f t="shared" si="70"/>
        <v>593.74354023634271</v>
      </c>
      <c r="DS124" s="60">
        <f t="shared" si="71"/>
        <v>887.07687356967608</v>
      </c>
      <c r="DT124" s="60">
        <f ca="1">AVERAGE(OFFSET($DS$3,0,0,'Données projet'!$E$14+1,1))-AVERAGE(OFFSET($H$3,0,0,'Données projet'!$E$14+1,1))</f>
        <v>475.47920969424894</v>
      </c>
      <c r="DU124" s="60">
        <f t="shared" si="98"/>
        <v>271.73544012419364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3.2</v>
      </c>
      <c r="EJ124" s="13">
        <f>IF('Données projet'!$A$192&gt;35,EJ123+EI124-ER123,IF(A124&lt;'Données projet'!$A$192,$EG$205^A124,IF(A124='Données projet'!$A$192,'Données projet'!$B$192,EJ123+EI124-ER123)))</f>
        <v>271.19999999999948</v>
      </c>
      <c r="EK124" s="18">
        <f>EJ124*VLOOKUP('Données projet'!$B$15,Paramètres!$A$1:$I$89,3,0)*VLOOKUP('Données projet'!$B$15,Paramètres!$A$1:$I$89,5,0)</f>
        <v>245.3817599999995</v>
      </c>
      <c r="EL124" s="14">
        <f t="shared" si="99"/>
        <v>59.595943661626663</v>
      </c>
      <c r="EM124" s="22">
        <f t="shared" si="73"/>
        <v>531.16950054399888</v>
      </c>
      <c r="EN124" s="60">
        <f t="shared" si="74"/>
        <v>824.50283387733225</v>
      </c>
      <c r="EO124" s="60">
        <f ca="1">AVERAGE(OFFSET($EN$3,0,0,'Données projet'!$E$15+1,1))-AVERAGE(OFFSET($H$3,0,0,'Données projet'!$E$15+1,1))</f>
        <v>428.8489304403459</v>
      </c>
      <c r="EP124" s="60">
        <f t="shared" si="100"/>
        <v>247.01165577562966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3.2</v>
      </c>
      <c r="FE124" s="13">
        <f>IF('Données projet'!$A$218&gt;35,FE123+FD124-FM123,IF(A124&lt;'Données projet'!$A$218,$FB$205^A124,IF(A124='Données projet'!$A$218,'Données projet'!$B$218,FE123+FD124-FM123)))</f>
        <v>271.19999999999948</v>
      </c>
      <c r="FF124" s="18">
        <f>FE124*VLOOKUP('Données projet'!$B$16,Paramètres!$A$1:$I$89,3,0)*VLOOKUP('Données projet'!$B$16,Paramètres!$A$1:$I$89,5,0)</f>
        <v>262.30463999999949</v>
      </c>
      <c r="FG124" s="14">
        <f t="shared" si="101"/>
        <v>63.213381472055985</v>
      </c>
      <c r="FH124" s="22">
        <f t="shared" si="76"/>
        <v>566.94388739716328</v>
      </c>
      <c r="FI124" s="60">
        <f t="shared" si="77"/>
        <v>860.27722073049654</v>
      </c>
      <c r="FJ124" s="60">
        <f ca="1">AVERAGE(OFFSET($FI$3,0,0,'Données projet'!$E$16+1,1))-AVERAGE(OFFSET($H$3,0,0,'Données projet'!$E$16+1,1))</f>
        <v>455.50822833641354</v>
      </c>
      <c r="FK124" s="60">
        <f t="shared" si="102"/>
        <v>261.14722581688039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 t="e">
        <f>N125*VLOOKUP('Données projet'!$B$9,Paramètres!$A$1:$I$89,3,0)*VLOOKUP('Données projet'!$B$9,Paramètres!$A$1:$I$89,5,0)</f>
        <v>#N/A</v>
      </c>
      <c r="P125" s="14" t="e">
        <f t="shared" si="87"/>
        <v>#N/A</v>
      </c>
      <c r="Q125" s="22" t="e">
        <f t="shared" si="107"/>
        <v>#N/A</v>
      </c>
      <c r="R125" s="60" t="e">
        <f t="shared" si="55"/>
        <v>#N/A</v>
      </c>
      <c r="S125" s="60" t="e">
        <f ca="1">AVERAGE(OFFSET($R$3,0,0,'Données projet'!$E$9+1,1))-AVERAGE(OFFSET($H$3,0,0,'Données projet'!$E$9+1,1))</f>
        <v>#N/A</v>
      </c>
      <c r="T125" s="60" t="e">
        <f t="shared" si="88"/>
        <v>#N/A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 t="e">
        <f>EXP(-LN(2)/35)*Z124+(1-EXP(-LN(2)/35))/(LN(2)/35)*V125*W125*VLOOKUP('Données projet'!$B$9,Paramètres!$A$1:$I$89,3,0)*0.475*44/12</f>
        <v>#N/A</v>
      </c>
      <c r="AA125" s="23" t="e">
        <f>EXP(-LN(2)/25)*AA124+(1-EXP(-LN(2)/25))/(LN(2)/25)*Calculateur!V125*Calculateur!X125*VLOOKUP('Données projet'!$B$9,Paramètres!$A$1:$I$89,3,0)*0.475*44/12</f>
        <v>#N/A</v>
      </c>
      <c r="AB125" s="23" t="e">
        <f>EXP(-LN(2)/2)*AB124+(1-EXP(-LN(2)/2))/(LN(2)/2)*V125*Y125*VLOOKUP('Données projet'!$B$9,Paramètres!$A$1:$I$89,3,0)*0.475*44/12</f>
        <v>#N/A</v>
      </c>
      <c r="AC125" s="24" t="e">
        <f t="shared" si="57"/>
        <v>#N/A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projet'!$B$10,Paramètres!$A$1:$I$89,3,0)*VLOOKUP('Données projet'!$B$10,Paramètres!$A$1:$I$89,5,0)</f>
        <v>1.9863364286720756E-13</v>
      </c>
      <c r="AK125" s="14">
        <f t="shared" si="89"/>
        <v>2.7549360720371426E-12</v>
      </c>
      <c r="AL125" s="22">
        <f t="shared" si="58"/>
        <v>5.144133920125077E-12</v>
      </c>
      <c r="AM125" s="60">
        <f t="shared" si="59"/>
        <v>293.33333333333843</v>
      </c>
      <c r="AN125" s="60">
        <f ca="1">AVERAGE(OFFSET($AM$3,0,0,'Données projet'!$E$10+1,1))-AVERAGE(OFFSET($H$3,0,0,'Données projet'!$E$10+1,1))</f>
        <v>325.06345339097095</v>
      </c>
      <c r="AO125" s="60">
        <f t="shared" si="90"/>
        <v>318.90379036810754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0" t="e">
        <f t="shared" si="62"/>
        <v>#N/A</v>
      </c>
      <c r="BI125" s="60" t="e">
        <f ca="1">AVERAGE(OFFSET($BH$3,0,0,'Données projet'!$E$11+1,1))-AVERAGE(OFFSET($H$3,0,0,'Données projet'!$E$11+1,1))</f>
        <v>#N/A</v>
      </c>
      <c r="BJ125" s="60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0" t="e">
        <f t="shared" si="65"/>
        <v>#N/A</v>
      </c>
      <c r="CD125" s="60" t="e">
        <f ca="1">AVERAGE(OFFSET($CC$3,0,0,'Données projet'!$E$12+1,1))-AVERAGE(OFFSET($H$3,0,0,'Données projet'!$E$12+1,1))</f>
        <v>#N/A</v>
      </c>
      <c r="CE125" s="60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239.71583999999953</v>
      </c>
      <c r="CV125" s="14">
        <f t="shared" si="95"/>
        <v>58.378387859127884</v>
      </c>
      <c r="CW125" s="22">
        <f t="shared" si="67"/>
        <v>519.18078018798019</v>
      </c>
      <c r="CX125" s="60">
        <f t="shared" si="68"/>
        <v>812.51411352131345</v>
      </c>
      <c r="CY125" s="60">
        <f ca="1">AVERAGE(OFFSET($CX$3,0,0,'Données projet'!$E$13+1,1))-AVERAGE(OFFSET($H$3,0,0,'Données projet'!$E$13+1,1))</f>
        <v>415.50509041799154</v>
      </c>
      <c r="CZ125" s="60">
        <f t="shared" si="96"/>
        <v>239.93573789765657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3.2</v>
      </c>
      <c r="DO125" s="13">
        <f>IF('Données projet'!$A$166&gt;35,DO124+DN125-DW124,IF(A125&lt;'Données projet'!$A$166,$DL$205^A125,IF(A125='Données projet'!$A$166,'Données projet'!$B$166,DO124+DN125-DW124)))</f>
        <v>274.39999999999947</v>
      </c>
      <c r="DP125" s="18">
        <f>DO125*VLOOKUP('Données projet'!$B$14,Paramètres!$A$1:$I$89,3,0)*VLOOKUP('Données projet'!$B$14,Paramètres!$A$1:$I$89,5,0)</f>
        <v>278.24159999999949</v>
      </c>
      <c r="DQ125" s="14">
        <f t="shared" si="97"/>
        <v>66.595272276139681</v>
      </c>
      <c r="DR125" s="22">
        <f t="shared" si="70"/>
        <v>600.59088588094244</v>
      </c>
      <c r="DS125" s="60">
        <f t="shared" si="71"/>
        <v>893.92421921427581</v>
      </c>
      <c r="DT125" s="60">
        <f ca="1">AVERAGE(OFFSET($DS$3,0,0,'Données projet'!$E$14+1,1))-AVERAGE(OFFSET($H$3,0,0,'Données projet'!$E$14+1,1))</f>
        <v>475.47920969424894</v>
      </c>
      <c r="DU125" s="60">
        <f t="shared" si="98"/>
        <v>271.73544012419364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3.2</v>
      </c>
      <c r="EJ125" s="13">
        <f>IF('Données projet'!$A$192&gt;35,EJ124+EI125-ER124,IF(A125&lt;'Données projet'!$A$192,$EG$205^A125,IF(A125='Données projet'!$A$192,'Données projet'!$B$192,EJ124+EI125-ER124)))</f>
        <v>274.39999999999947</v>
      </c>
      <c r="EK125" s="18">
        <f>EJ125*VLOOKUP('Données projet'!$B$15,Paramètres!$A$1:$I$89,3,0)*VLOOKUP('Données projet'!$B$15,Paramètres!$A$1:$I$89,5,0)</f>
        <v>248.27711999999951</v>
      </c>
      <c r="EL125" s="14">
        <f t="shared" si="99"/>
        <v>60.216863677580257</v>
      </c>
      <c r="EM125" s="22">
        <f t="shared" si="73"/>
        <v>537.29368823845141</v>
      </c>
      <c r="EN125" s="60">
        <f t="shared" si="74"/>
        <v>830.62702157178478</v>
      </c>
      <c r="EO125" s="60">
        <f ca="1">AVERAGE(OFFSET($EN$3,0,0,'Données projet'!$E$15+1,1))-AVERAGE(OFFSET($H$3,0,0,'Données projet'!$E$15+1,1))</f>
        <v>428.8489304403459</v>
      </c>
      <c r="EP125" s="60">
        <f t="shared" si="100"/>
        <v>247.01165577562966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3.2</v>
      </c>
      <c r="FE125" s="13">
        <f>IF('Données projet'!$A$218&gt;35,FE124+FD125-FM124,IF(A125&lt;'Données projet'!$A$218,$FB$205^A125,IF(A125='Données projet'!$A$218,'Données projet'!$B$218,FE124+FD125-FM124)))</f>
        <v>274.39999999999947</v>
      </c>
      <c r="FF125" s="18">
        <f>FE125*VLOOKUP('Données projet'!$B$16,Paramètres!$A$1:$I$89,3,0)*VLOOKUP('Données projet'!$B$16,Paramètres!$A$1:$I$89,5,0)</f>
        <v>265.39967999999948</v>
      </c>
      <c r="FG125" s="14">
        <f t="shared" si="101"/>
        <v>63.87199095821434</v>
      </c>
      <c r="FH125" s="22">
        <f t="shared" si="76"/>
        <v>573.48149358555565</v>
      </c>
      <c r="FI125" s="60">
        <f t="shared" si="77"/>
        <v>866.81482691888891</v>
      </c>
      <c r="FJ125" s="60">
        <f ca="1">AVERAGE(OFFSET($FI$3,0,0,'Données projet'!$E$16+1,1))-AVERAGE(OFFSET($H$3,0,0,'Données projet'!$E$16+1,1))</f>
        <v>455.50822833641354</v>
      </c>
      <c r="FK125" s="60">
        <f t="shared" si="102"/>
        <v>261.14722581688039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 t="e">
        <f>N126*VLOOKUP('Données projet'!$B$9,Paramètres!$A$1:$I$89,3,0)*VLOOKUP('Données projet'!$B$9,Paramètres!$A$1:$I$89,5,0)</f>
        <v>#N/A</v>
      </c>
      <c r="P126" s="14" t="e">
        <f t="shared" si="87"/>
        <v>#N/A</v>
      </c>
      <c r="Q126" s="22" t="e">
        <f t="shared" si="107"/>
        <v>#N/A</v>
      </c>
      <c r="R126" s="60" t="e">
        <f t="shared" si="55"/>
        <v>#N/A</v>
      </c>
      <c r="S126" s="60" t="e">
        <f ca="1">AVERAGE(OFFSET($R$3,0,0,'Données projet'!$E$9+1,1))-AVERAGE(OFFSET($H$3,0,0,'Données projet'!$E$9+1,1))</f>
        <v>#N/A</v>
      </c>
      <c r="T126" s="60" t="e">
        <f t="shared" si="88"/>
        <v>#N/A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 t="e">
        <f>EXP(-LN(2)/35)*Z125+(1-EXP(-LN(2)/35))/(LN(2)/35)*V126*W126*VLOOKUP('Données projet'!$B$9,Paramètres!$A$1:$I$89,3,0)*0.475*44/12</f>
        <v>#N/A</v>
      </c>
      <c r="AA126" s="23" t="e">
        <f>EXP(-LN(2)/25)*AA125+(1-EXP(-LN(2)/25))/(LN(2)/25)*Calculateur!V126*Calculateur!X126*VLOOKUP('Données projet'!$B$9,Paramètres!$A$1:$I$89,3,0)*0.475*44/12</f>
        <v>#N/A</v>
      </c>
      <c r="AB126" s="23" t="e">
        <f>EXP(-LN(2)/2)*AB125+(1-EXP(-LN(2)/2))/(LN(2)/2)*V126*Y126*VLOOKUP('Données projet'!$B$9,Paramètres!$A$1:$I$89,3,0)*0.475*44/12</f>
        <v>#N/A</v>
      </c>
      <c r="AC126" s="24" t="e">
        <f t="shared" si="57"/>
        <v>#N/A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projet'!$B$10,Paramètres!$A$1:$I$89,3,0)*VLOOKUP('Données projet'!$B$10,Paramètres!$A$1:$I$89,5,0)</f>
        <v>1.9863364286720756E-13</v>
      </c>
      <c r="AK126" s="14">
        <f t="shared" si="89"/>
        <v>2.7549360720371426E-12</v>
      </c>
      <c r="AL126" s="22">
        <f t="shared" si="58"/>
        <v>5.144133920125077E-12</v>
      </c>
      <c r="AM126" s="60">
        <f t="shared" si="59"/>
        <v>293.33333333333843</v>
      </c>
      <c r="AN126" s="60">
        <f ca="1">AVERAGE(OFFSET($AM$3,0,0,'Données projet'!$E$10+1,1))-AVERAGE(OFFSET($H$3,0,0,'Données projet'!$E$10+1,1))</f>
        <v>325.06345339097095</v>
      </c>
      <c r="AO126" s="60">
        <f t="shared" si="90"/>
        <v>318.90379036810754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0" t="e">
        <f t="shared" si="62"/>
        <v>#N/A</v>
      </c>
      <c r="BI126" s="60" t="e">
        <f ca="1">AVERAGE(OFFSET($BH$3,0,0,'Données projet'!$E$11+1,1))-AVERAGE(OFFSET($H$3,0,0,'Données projet'!$E$11+1,1))</f>
        <v>#N/A</v>
      </c>
      <c r="BJ126" s="60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0" t="e">
        <f t="shared" si="65"/>
        <v>#N/A</v>
      </c>
      <c r="CD126" s="60" t="e">
        <f ca="1">AVERAGE(OFFSET($CC$3,0,0,'Données projet'!$E$12+1,1))-AVERAGE(OFFSET($H$3,0,0,'Données projet'!$E$12+1,1))</f>
        <v>#N/A</v>
      </c>
      <c r="CE126" s="60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242.51135999999954</v>
      </c>
      <c r="CV126" s="14">
        <f t="shared" si="95"/>
        <v>58.979534029984471</v>
      </c>
      <c r="CW126" s="22">
        <f t="shared" si="67"/>
        <v>525.0966404355554</v>
      </c>
      <c r="CX126" s="60">
        <f t="shared" si="68"/>
        <v>818.42997376888866</v>
      </c>
      <c r="CY126" s="60">
        <f ca="1">AVERAGE(OFFSET($CX$3,0,0,'Données projet'!$E$13+1,1))-AVERAGE(OFFSET($H$3,0,0,'Données projet'!$E$13+1,1))</f>
        <v>415.50509041799154</v>
      </c>
      <c r="CZ126" s="60">
        <f t="shared" si="96"/>
        <v>239.93573789765657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3.2</v>
      </c>
      <c r="DO126" s="13">
        <f>IF('Données projet'!$A$166&gt;35,DO125+DN126-DW125,IF(A126&lt;'Données projet'!$A$166,$DL$205^A126,IF(A126='Données projet'!$A$166,'Données projet'!$B$166,DO125+DN126-DW125)))</f>
        <v>277.59999999999945</v>
      </c>
      <c r="DP126" s="18">
        <f>DO126*VLOOKUP('Données projet'!$B$14,Paramètres!$A$1:$I$89,3,0)*VLOOKUP('Données projet'!$B$14,Paramètres!$A$1:$I$89,5,0)</f>
        <v>281.48639999999949</v>
      </c>
      <c r="DQ126" s="14">
        <f t="shared" si="97"/>
        <v>67.281031071373235</v>
      </c>
      <c r="DR126" s="22">
        <f t="shared" si="70"/>
        <v>607.43660911597419</v>
      </c>
      <c r="DS126" s="60">
        <f t="shared" si="71"/>
        <v>900.76994244930756</v>
      </c>
      <c r="DT126" s="60">
        <f ca="1">AVERAGE(OFFSET($DS$3,0,0,'Données projet'!$E$14+1,1))-AVERAGE(OFFSET($H$3,0,0,'Données projet'!$E$14+1,1))</f>
        <v>475.47920969424894</v>
      </c>
      <c r="DU126" s="60">
        <f t="shared" si="98"/>
        <v>271.73544012419364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3.2</v>
      </c>
      <c r="EJ126" s="13">
        <f>IF('Données projet'!$A$192&gt;35,EJ125+EI126-ER125,IF(A126&lt;'Données projet'!$A$192,$EG$205^A126,IF(A126='Données projet'!$A$192,'Données projet'!$B$192,EJ125+EI126-ER125)))</f>
        <v>277.59999999999945</v>
      </c>
      <c r="EK126" s="18">
        <f>EJ126*VLOOKUP('Données projet'!$B$15,Paramètres!$A$1:$I$89,3,0)*VLOOKUP('Données projet'!$B$15,Paramètres!$A$1:$I$89,5,0)</f>
        <v>251.1724799999995</v>
      </c>
      <c r="EL126" s="14">
        <f t="shared" si="99"/>
        <v>60.836941386956575</v>
      </c>
      <c r="EM126" s="22">
        <f t="shared" si="73"/>
        <v>543.41640891561519</v>
      </c>
      <c r="EN126" s="60">
        <f t="shared" si="74"/>
        <v>836.74974224894845</v>
      </c>
      <c r="EO126" s="60">
        <f ca="1">AVERAGE(OFFSET($EN$3,0,0,'Données projet'!$E$15+1,1))-AVERAGE(OFFSET($H$3,0,0,'Données projet'!$E$15+1,1))</f>
        <v>428.8489304403459</v>
      </c>
      <c r="EP126" s="60">
        <f t="shared" si="100"/>
        <v>247.01165577562966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3.2</v>
      </c>
      <c r="FE126" s="13">
        <f>IF('Données projet'!$A$218&gt;35,FE125+FD126-FM125,IF(A126&lt;'Données projet'!$A$218,$FB$205^A126,IF(A126='Données projet'!$A$218,'Données projet'!$B$218,FE125+FD126-FM125)))</f>
        <v>277.59999999999945</v>
      </c>
      <c r="FF126" s="18">
        <f>FE126*VLOOKUP('Données projet'!$B$16,Paramètres!$A$1:$I$89,3,0)*VLOOKUP('Données projet'!$B$16,Paramètres!$A$1:$I$89,5,0)</f>
        <v>268.49471999999946</v>
      </c>
      <c r="FG126" s="14">
        <f t="shared" si="101"/>
        <v>64.529707010294615</v>
      </c>
      <c r="FH126" s="22">
        <f t="shared" si="76"/>
        <v>580.01754370959543</v>
      </c>
      <c r="FI126" s="60">
        <f t="shared" si="77"/>
        <v>873.35087704292869</v>
      </c>
      <c r="FJ126" s="60">
        <f ca="1">AVERAGE(OFFSET($FI$3,0,0,'Données projet'!$E$16+1,1))-AVERAGE(OFFSET($H$3,0,0,'Données projet'!$E$16+1,1))</f>
        <v>455.50822833641354</v>
      </c>
      <c r="FK126" s="60">
        <f t="shared" si="102"/>
        <v>261.14722581688039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 t="e">
        <f>N127*VLOOKUP('Données projet'!$B$9,Paramètres!$A$1:$I$89,3,0)*VLOOKUP('Données projet'!$B$9,Paramètres!$A$1:$I$89,5,0)</f>
        <v>#N/A</v>
      </c>
      <c r="P127" s="14" t="e">
        <f t="shared" si="87"/>
        <v>#N/A</v>
      </c>
      <c r="Q127" s="22" t="e">
        <f t="shared" si="107"/>
        <v>#N/A</v>
      </c>
      <c r="R127" s="60" t="e">
        <f t="shared" si="55"/>
        <v>#N/A</v>
      </c>
      <c r="S127" s="60" t="e">
        <f ca="1">AVERAGE(OFFSET($R$3,0,0,'Données projet'!$E$9+1,1))-AVERAGE(OFFSET($H$3,0,0,'Données projet'!$E$9+1,1))</f>
        <v>#N/A</v>
      </c>
      <c r="T127" s="60" t="e">
        <f t="shared" si="88"/>
        <v>#N/A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 t="e">
        <f>EXP(-LN(2)/35)*Z126+(1-EXP(-LN(2)/35))/(LN(2)/35)*V127*W127*VLOOKUP('Données projet'!$B$9,Paramètres!$A$1:$I$89,3,0)*0.475*44/12</f>
        <v>#N/A</v>
      </c>
      <c r="AA127" s="23" t="e">
        <f>EXP(-LN(2)/25)*AA126+(1-EXP(-LN(2)/25))/(LN(2)/25)*Calculateur!V127*Calculateur!X127*VLOOKUP('Données projet'!$B$9,Paramètres!$A$1:$I$89,3,0)*0.475*44/12</f>
        <v>#N/A</v>
      </c>
      <c r="AB127" s="23" t="e">
        <f>EXP(-LN(2)/2)*AB126+(1-EXP(-LN(2)/2))/(LN(2)/2)*V127*Y127*VLOOKUP('Données projet'!$B$9,Paramètres!$A$1:$I$89,3,0)*0.475*44/12</f>
        <v>#N/A</v>
      </c>
      <c r="AC127" s="24" t="e">
        <f t="shared" si="57"/>
        <v>#N/A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projet'!$B$10,Paramètres!$A$1:$I$89,3,0)*VLOOKUP('Données projet'!$B$10,Paramètres!$A$1:$I$89,5,0)</f>
        <v>1.9863364286720756E-13</v>
      </c>
      <c r="AK127" s="14">
        <f t="shared" si="89"/>
        <v>2.7549360720371426E-12</v>
      </c>
      <c r="AL127" s="22">
        <f t="shared" si="58"/>
        <v>5.144133920125077E-12</v>
      </c>
      <c r="AM127" s="60">
        <f t="shared" si="59"/>
        <v>293.33333333333843</v>
      </c>
      <c r="AN127" s="60">
        <f ca="1">AVERAGE(OFFSET($AM$3,0,0,'Données projet'!$E$10+1,1))-AVERAGE(OFFSET($H$3,0,0,'Données projet'!$E$10+1,1))</f>
        <v>325.06345339097095</v>
      </c>
      <c r="AO127" s="60">
        <f t="shared" si="90"/>
        <v>318.90379036810754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0" t="e">
        <f t="shared" si="62"/>
        <v>#N/A</v>
      </c>
      <c r="BI127" s="60" t="e">
        <f ca="1">AVERAGE(OFFSET($BH$3,0,0,'Données projet'!$E$11+1,1))-AVERAGE(OFFSET($H$3,0,0,'Données projet'!$E$11+1,1))</f>
        <v>#N/A</v>
      </c>
      <c r="BJ127" s="60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0" t="e">
        <f t="shared" si="65"/>
        <v>#N/A</v>
      </c>
      <c r="CD127" s="60" t="e">
        <f ca="1">AVERAGE(OFFSET($CC$3,0,0,'Données projet'!$E$12+1,1))-AVERAGE(OFFSET($H$3,0,0,'Données projet'!$E$12+1,1))</f>
        <v>#N/A</v>
      </c>
      <c r="CE127" s="60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245.30687999999955</v>
      </c>
      <c r="CV127" s="14">
        <f t="shared" si="95"/>
        <v>59.579874112906325</v>
      </c>
      <c r="CW127" s="22">
        <f t="shared" si="67"/>
        <v>531.01109674664428</v>
      </c>
      <c r="CX127" s="60">
        <f t="shared" si="68"/>
        <v>824.34443007997766</v>
      </c>
      <c r="CY127" s="60">
        <f ca="1">AVERAGE(OFFSET($CX$3,0,0,'Données projet'!$E$13+1,1))-AVERAGE(OFFSET($H$3,0,0,'Données projet'!$E$13+1,1))</f>
        <v>415.50509041799154</v>
      </c>
      <c r="CZ127" s="60">
        <f t="shared" si="96"/>
        <v>239.93573789765657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3.2</v>
      </c>
      <c r="DO127" s="13">
        <f>IF('Données projet'!$A$166&gt;35,DO126+DN127-DW126,IF(A127&lt;'Données projet'!$A$166,$DL$205^A127,IF(A127='Données projet'!$A$166,'Données projet'!$B$166,DO126+DN127-DW126)))</f>
        <v>280.79999999999944</v>
      </c>
      <c r="DP127" s="18">
        <f>DO127*VLOOKUP('Données projet'!$B$14,Paramètres!$A$1:$I$89,3,0)*VLOOKUP('Données projet'!$B$14,Paramètres!$A$1:$I$89,5,0)</f>
        <v>284.73119999999943</v>
      </c>
      <c r="DQ127" s="14">
        <f t="shared" si="97"/>
        <v>67.965870320050826</v>
      </c>
      <c r="DR127" s="22">
        <f t="shared" si="70"/>
        <v>614.28073080742081</v>
      </c>
      <c r="DS127" s="60">
        <f t="shared" si="71"/>
        <v>907.61406414075418</v>
      </c>
      <c r="DT127" s="60">
        <f ca="1">AVERAGE(OFFSET($DS$3,0,0,'Données projet'!$E$14+1,1))-AVERAGE(OFFSET($H$3,0,0,'Données projet'!$E$14+1,1))</f>
        <v>475.47920969424894</v>
      </c>
      <c r="DU127" s="60">
        <f t="shared" si="98"/>
        <v>271.73544012419364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3.2</v>
      </c>
      <c r="EJ127" s="13">
        <f>IF('Données projet'!$A$192&gt;35,EJ126+EI127-ER126,IF(A127&lt;'Données projet'!$A$192,$EG$205^A127,IF(A127='Données projet'!$A$192,'Données projet'!$B$192,EJ126+EI127-ER126)))</f>
        <v>280.79999999999944</v>
      </c>
      <c r="EK127" s="18">
        <f>EJ127*VLOOKUP('Données projet'!$B$15,Paramètres!$A$1:$I$89,3,0)*VLOOKUP('Données projet'!$B$15,Paramètres!$A$1:$I$89,5,0)</f>
        <v>254.06783999999948</v>
      </c>
      <c r="EL127" s="14">
        <f t="shared" si="99"/>
        <v>61.456187622750612</v>
      </c>
      <c r="EM127" s="22">
        <f t="shared" si="73"/>
        <v>549.53768144295634</v>
      </c>
      <c r="EN127" s="60">
        <f t="shared" si="74"/>
        <v>842.87101477628971</v>
      </c>
      <c r="EO127" s="60">
        <f ca="1">AVERAGE(OFFSET($EN$3,0,0,'Données projet'!$E$15+1,1))-AVERAGE(OFFSET($H$3,0,0,'Données projet'!$E$15+1,1))</f>
        <v>428.8489304403459</v>
      </c>
      <c r="EP127" s="60">
        <f t="shared" si="100"/>
        <v>247.01165577562966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3.2</v>
      </c>
      <c r="FE127" s="13">
        <f>IF('Données projet'!$A$218&gt;35,FE126+FD127-FM126,IF(A127&lt;'Données projet'!$A$218,$FB$205^A127,IF(A127='Données projet'!$A$218,'Données projet'!$B$218,FE126+FD127-FM126)))</f>
        <v>280.79999999999944</v>
      </c>
      <c r="FF127" s="18">
        <f>FE127*VLOOKUP('Données projet'!$B$16,Paramètres!$A$1:$I$89,3,0)*VLOOKUP('Données projet'!$B$16,Paramètres!$A$1:$I$89,5,0)</f>
        <v>271.5897599999995</v>
      </c>
      <c r="FG127" s="14">
        <f t="shared" si="101"/>
        <v>65.186541118848012</v>
      </c>
      <c r="FH127" s="22">
        <f t="shared" si="76"/>
        <v>586.55205778199274</v>
      </c>
      <c r="FI127" s="60">
        <f t="shared" si="77"/>
        <v>879.885391115326</v>
      </c>
      <c r="FJ127" s="60">
        <f ca="1">AVERAGE(OFFSET($FI$3,0,0,'Données projet'!$E$16+1,1))-AVERAGE(OFFSET($H$3,0,0,'Données projet'!$E$16+1,1))</f>
        <v>455.50822833641354</v>
      </c>
      <c r="FK127" s="60">
        <f t="shared" si="102"/>
        <v>261.14722581688039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 t="e">
        <f>N128*VLOOKUP('Données projet'!$B$9,Paramètres!$A$1:$I$89,3,0)*VLOOKUP('Données projet'!$B$9,Paramètres!$A$1:$I$89,5,0)</f>
        <v>#N/A</v>
      </c>
      <c r="P128" s="14" t="e">
        <f t="shared" si="87"/>
        <v>#N/A</v>
      </c>
      <c r="Q128" s="22" t="e">
        <f t="shared" si="107"/>
        <v>#N/A</v>
      </c>
      <c r="R128" s="60" t="e">
        <f t="shared" si="55"/>
        <v>#N/A</v>
      </c>
      <c r="S128" s="60" t="e">
        <f ca="1">AVERAGE(OFFSET($R$3,0,0,'Données projet'!$E$9+1,1))-AVERAGE(OFFSET($H$3,0,0,'Données projet'!$E$9+1,1))</f>
        <v>#N/A</v>
      </c>
      <c r="T128" s="60" t="e">
        <f t="shared" si="88"/>
        <v>#N/A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 t="e">
        <f>EXP(-LN(2)/35)*Z127+(1-EXP(-LN(2)/35))/(LN(2)/35)*V128*W128*VLOOKUP('Données projet'!$B$9,Paramètres!$A$1:$I$89,3,0)*0.475*44/12</f>
        <v>#N/A</v>
      </c>
      <c r="AA128" s="23" t="e">
        <f>EXP(-LN(2)/25)*AA127+(1-EXP(-LN(2)/25))/(LN(2)/25)*Calculateur!V128*Calculateur!X128*VLOOKUP('Données projet'!$B$9,Paramètres!$A$1:$I$89,3,0)*0.475*44/12</f>
        <v>#N/A</v>
      </c>
      <c r="AB128" s="23" t="e">
        <f>EXP(-LN(2)/2)*AB127+(1-EXP(-LN(2)/2))/(LN(2)/2)*V128*Y128*VLOOKUP('Données projet'!$B$9,Paramètres!$A$1:$I$89,3,0)*0.475*44/12</f>
        <v>#N/A</v>
      </c>
      <c r="AC128" s="24" t="e">
        <f t="shared" si="57"/>
        <v>#N/A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projet'!$B$10,Paramètres!$A$1:$I$89,3,0)*VLOOKUP('Données projet'!$B$10,Paramètres!$A$1:$I$89,5,0)</f>
        <v>1.9863364286720756E-13</v>
      </c>
      <c r="AK128" s="14">
        <f t="shared" si="89"/>
        <v>2.7549360720371426E-12</v>
      </c>
      <c r="AL128" s="22">
        <f t="shared" si="58"/>
        <v>5.144133920125077E-12</v>
      </c>
      <c r="AM128" s="60">
        <f t="shared" si="59"/>
        <v>293.33333333333843</v>
      </c>
      <c r="AN128" s="60">
        <f ca="1">AVERAGE(OFFSET($AM$3,0,0,'Données projet'!$E$10+1,1))-AVERAGE(OFFSET($H$3,0,0,'Données projet'!$E$10+1,1))</f>
        <v>325.06345339097095</v>
      </c>
      <c r="AO128" s="60">
        <f t="shared" si="90"/>
        <v>318.90379036810754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0" t="e">
        <f t="shared" si="62"/>
        <v>#N/A</v>
      </c>
      <c r="BI128" s="60" t="e">
        <f ca="1">AVERAGE(OFFSET($BH$3,0,0,'Données projet'!$E$11+1,1))-AVERAGE(OFFSET($H$3,0,0,'Données projet'!$E$11+1,1))</f>
        <v>#N/A</v>
      </c>
      <c r="BJ128" s="60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0" t="e">
        <f t="shared" si="65"/>
        <v>#N/A</v>
      </c>
      <c r="CD128" s="60" t="e">
        <f ca="1">AVERAGE(OFFSET($CC$3,0,0,'Données projet'!$E$12+1,1))-AVERAGE(OFFSET($H$3,0,0,'Données projet'!$E$12+1,1))</f>
        <v>#N/A</v>
      </c>
      <c r="CE128" s="60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248.10239999999956</v>
      </c>
      <c r="CV128" s="14">
        <f t="shared" si="95"/>
        <v>60.179418356999818</v>
      </c>
      <c r="CW128" s="22">
        <f t="shared" si="67"/>
        <v>536.92416697177384</v>
      </c>
      <c r="CX128" s="60">
        <f t="shared" si="68"/>
        <v>830.25750030510721</v>
      </c>
      <c r="CY128" s="60">
        <f ca="1">AVERAGE(OFFSET($CX$3,0,0,'Données projet'!$E$13+1,1))-AVERAGE(OFFSET($H$3,0,0,'Données projet'!$E$13+1,1))</f>
        <v>415.50509041799154</v>
      </c>
      <c r="CZ128" s="60">
        <f t="shared" si="96"/>
        <v>239.93573789765657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3.2</v>
      </c>
      <c r="DO128" s="13">
        <f>IF('Données projet'!$A$166&gt;35,DO127+DN128-DW127,IF(A128&lt;'Données projet'!$A$166,$DL$205^A128,IF(A128='Données projet'!$A$166,'Données projet'!$B$166,DO127+DN128-DW127)))</f>
        <v>283.99999999999943</v>
      </c>
      <c r="DP128" s="18">
        <f>DO128*VLOOKUP('Données projet'!$B$14,Paramètres!$A$1:$I$89,3,0)*VLOOKUP('Données projet'!$B$14,Paramètres!$A$1:$I$89,5,0)</f>
        <v>287.97599999999943</v>
      </c>
      <c r="DQ128" s="14">
        <f t="shared" si="97"/>
        <v>68.649801713863027</v>
      </c>
      <c r="DR128" s="22">
        <f t="shared" si="70"/>
        <v>621.12327131831046</v>
      </c>
      <c r="DS128" s="60">
        <f t="shared" si="71"/>
        <v>914.45660465164383</v>
      </c>
      <c r="DT128" s="60">
        <f ca="1">AVERAGE(OFFSET($DS$3,0,0,'Données projet'!$E$14+1,1))-AVERAGE(OFFSET($H$3,0,0,'Données projet'!$E$14+1,1))</f>
        <v>475.47920969424894</v>
      </c>
      <c r="DU128" s="60">
        <f t="shared" si="98"/>
        <v>271.73544012419364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3.2</v>
      </c>
      <c r="EJ128" s="13">
        <f>IF('Données projet'!$A$192&gt;35,EJ127+EI128-ER127,IF(A128&lt;'Données projet'!$A$192,$EG$205^A128,IF(A128='Données projet'!$A$192,'Données projet'!$B$192,EJ127+EI128-ER127)))</f>
        <v>283.99999999999943</v>
      </c>
      <c r="EK128" s="18">
        <f>EJ128*VLOOKUP('Données projet'!$B$15,Paramètres!$A$1:$I$89,3,0)*VLOOKUP('Données projet'!$B$15,Paramètres!$A$1:$I$89,5,0)</f>
        <v>256.96319999999946</v>
      </c>
      <c r="EL128" s="14">
        <f t="shared" si="99"/>
        <v>62.07461295683791</v>
      </c>
      <c r="EM128" s="22">
        <f t="shared" si="73"/>
        <v>555.65752423315837</v>
      </c>
      <c r="EN128" s="60">
        <f t="shared" si="74"/>
        <v>848.99085756649174</v>
      </c>
      <c r="EO128" s="60">
        <f ca="1">AVERAGE(OFFSET($EN$3,0,0,'Données projet'!$E$15+1,1))-AVERAGE(OFFSET($H$3,0,0,'Données projet'!$E$15+1,1))</f>
        <v>428.8489304403459</v>
      </c>
      <c r="EP128" s="60">
        <f t="shared" si="100"/>
        <v>247.01165577562966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3.2</v>
      </c>
      <c r="FE128" s="13">
        <f>IF('Données projet'!$A$218&gt;35,FE127+FD128-FM127,IF(A128&lt;'Données projet'!$A$218,$FB$205^A128,IF(A128='Données projet'!$A$218,'Données projet'!$B$218,FE127+FD128-FM127)))</f>
        <v>283.99999999999943</v>
      </c>
      <c r="FF128" s="18">
        <f>FE128*VLOOKUP('Données projet'!$B$16,Paramètres!$A$1:$I$89,3,0)*VLOOKUP('Données projet'!$B$16,Paramètres!$A$1:$I$89,5,0)</f>
        <v>274.68479999999943</v>
      </c>
      <c r="FG128" s="14">
        <f t="shared" si="101"/>
        <v>65.842504497456545</v>
      </c>
      <c r="FH128" s="22">
        <f t="shared" si="76"/>
        <v>593.08505533306914</v>
      </c>
      <c r="FI128" s="60">
        <f t="shared" si="77"/>
        <v>886.41838866640251</v>
      </c>
      <c r="FJ128" s="60">
        <f ca="1">AVERAGE(OFFSET($FI$3,0,0,'Données projet'!$E$16+1,1))-AVERAGE(OFFSET($H$3,0,0,'Données projet'!$E$16+1,1))</f>
        <v>455.50822833641354</v>
      </c>
      <c r="FK128" s="60">
        <f t="shared" si="102"/>
        <v>261.14722581688039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 t="e">
        <f>N129*VLOOKUP('Données projet'!$B$9,Paramètres!$A$1:$I$89,3,0)*VLOOKUP('Données projet'!$B$9,Paramètres!$A$1:$I$89,5,0)</f>
        <v>#N/A</v>
      </c>
      <c r="P129" s="14" t="e">
        <f t="shared" si="87"/>
        <v>#N/A</v>
      </c>
      <c r="Q129" s="22" t="e">
        <f t="shared" si="107"/>
        <v>#N/A</v>
      </c>
      <c r="R129" s="60" t="e">
        <f t="shared" si="55"/>
        <v>#N/A</v>
      </c>
      <c r="S129" s="60" t="e">
        <f ca="1">AVERAGE(OFFSET($R$3,0,0,'Données projet'!$E$9+1,1))-AVERAGE(OFFSET($H$3,0,0,'Données projet'!$E$9+1,1))</f>
        <v>#N/A</v>
      </c>
      <c r="T129" s="60" t="e">
        <f t="shared" si="88"/>
        <v>#N/A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 t="e">
        <f>EXP(-LN(2)/35)*Z128+(1-EXP(-LN(2)/35))/(LN(2)/35)*V129*W129*VLOOKUP('Données projet'!$B$9,Paramètres!$A$1:$I$89,3,0)*0.475*44/12</f>
        <v>#N/A</v>
      </c>
      <c r="AA129" s="23" t="e">
        <f>EXP(-LN(2)/25)*AA128+(1-EXP(-LN(2)/25))/(LN(2)/25)*Calculateur!V129*Calculateur!X129*VLOOKUP('Données projet'!$B$9,Paramètres!$A$1:$I$89,3,0)*0.475*44/12</f>
        <v>#N/A</v>
      </c>
      <c r="AB129" s="23" t="e">
        <f>EXP(-LN(2)/2)*AB128+(1-EXP(-LN(2)/2))/(LN(2)/2)*V129*Y129*VLOOKUP('Données projet'!$B$9,Paramètres!$A$1:$I$89,3,0)*0.475*44/12</f>
        <v>#N/A</v>
      </c>
      <c r="AC129" s="24" t="e">
        <f t="shared" si="57"/>
        <v>#N/A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projet'!$B$10,Paramètres!$A$1:$I$89,3,0)*VLOOKUP('Données projet'!$B$10,Paramètres!$A$1:$I$89,5,0)</f>
        <v>1.9863364286720756E-13</v>
      </c>
      <c r="AK129" s="14">
        <f t="shared" si="89"/>
        <v>2.7549360720371426E-12</v>
      </c>
      <c r="AL129" s="22">
        <f t="shared" si="58"/>
        <v>5.144133920125077E-12</v>
      </c>
      <c r="AM129" s="60">
        <f t="shared" si="59"/>
        <v>293.33333333333843</v>
      </c>
      <c r="AN129" s="60">
        <f ca="1">AVERAGE(OFFSET($AM$3,0,0,'Données projet'!$E$10+1,1))-AVERAGE(OFFSET($H$3,0,0,'Données projet'!$E$10+1,1))</f>
        <v>325.06345339097095</v>
      </c>
      <c r="AO129" s="60">
        <f t="shared" si="90"/>
        <v>318.90379036810754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0" t="e">
        <f t="shared" si="62"/>
        <v>#N/A</v>
      </c>
      <c r="BI129" s="60" t="e">
        <f ca="1">AVERAGE(OFFSET($BH$3,0,0,'Données projet'!$E$11+1,1))-AVERAGE(OFFSET($H$3,0,0,'Données projet'!$E$11+1,1))</f>
        <v>#N/A</v>
      </c>
      <c r="BJ129" s="60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0" t="e">
        <f t="shared" si="65"/>
        <v>#N/A</v>
      </c>
      <c r="CD129" s="60" t="e">
        <f ca="1">AVERAGE(OFFSET($CC$3,0,0,'Données projet'!$E$12+1,1))-AVERAGE(OFFSET($H$3,0,0,'Données projet'!$E$12+1,1))</f>
        <v>#N/A</v>
      </c>
      <c r="CE129" s="60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250.89791999999952</v>
      </c>
      <c r="CV129" s="14">
        <f t="shared" si="95"/>
        <v>60.778176767108484</v>
      </c>
      <c r="CW129" s="22">
        <f t="shared" si="67"/>
        <v>542.83586853604641</v>
      </c>
      <c r="CX129" s="60">
        <f t="shared" si="68"/>
        <v>836.16920186937978</v>
      </c>
      <c r="CY129" s="60">
        <f ca="1">AVERAGE(OFFSET($CX$3,0,0,'Données projet'!$E$13+1,1))-AVERAGE(OFFSET($H$3,0,0,'Données projet'!$E$13+1,1))</f>
        <v>415.50509041799154</v>
      </c>
      <c r="CZ129" s="60">
        <f t="shared" si="96"/>
        <v>239.93573789765657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3.2</v>
      </c>
      <c r="DO129" s="13">
        <f>IF('Données projet'!$A$166&gt;35,DO128+DN129-DW128,IF(A129&lt;'Données projet'!$A$166,$DL$205^A129,IF(A129='Données projet'!$A$166,'Données projet'!$B$166,DO128+DN129-DW128)))</f>
        <v>287.19999999999942</v>
      </c>
      <c r="DP129" s="18">
        <f>DO129*VLOOKUP('Données projet'!$B$14,Paramètres!$A$1:$I$89,3,0)*VLOOKUP('Données projet'!$B$14,Paramètres!$A$1:$I$89,5,0)</f>
        <v>291.22079999999943</v>
      </c>
      <c r="DQ129" s="14">
        <f t="shared" si="97"/>
        <v>69.33283666585649</v>
      </c>
      <c r="DR129" s="22">
        <f t="shared" si="70"/>
        <v>627.96425052636573</v>
      </c>
      <c r="DS129" s="60">
        <f t="shared" si="71"/>
        <v>921.29758385969899</v>
      </c>
      <c r="DT129" s="60">
        <f ca="1">AVERAGE(OFFSET($DS$3,0,0,'Données projet'!$E$14+1,1))-AVERAGE(OFFSET($H$3,0,0,'Données projet'!$E$14+1,1))</f>
        <v>475.47920969424894</v>
      </c>
      <c r="DU129" s="60">
        <f t="shared" si="98"/>
        <v>271.73544012419364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3.2</v>
      </c>
      <c r="EJ129" s="13">
        <f>IF('Données projet'!$A$192&gt;35,EJ128+EI129-ER128,IF(A129&lt;'Données projet'!$A$192,$EG$205^A129,IF(A129='Données projet'!$A$192,'Données projet'!$B$192,EJ128+EI129-ER128)))</f>
        <v>287.19999999999942</v>
      </c>
      <c r="EK129" s="18">
        <f>EJ129*VLOOKUP('Données projet'!$B$15,Paramètres!$A$1:$I$89,3,0)*VLOOKUP('Données projet'!$B$15,Paramètres!$A$1:$I$89,5,0)</f>
        <v>259.85855999999944</v>
      </c>
      <c r="EL129" s="14">
        <f t="shared" si="99"/>
        <v>62.692227709138365</v>
      </c>
      <c r="EM129" s="22">
        <f t="shared" si="73"/>
        <v>561.77595526008167</v>
      </c>
      <c r="EN129" s="60">
        <f t="shared" si="74"/>
        <v>855.10928859341493</v>
      </c>
      <c r="EO129" s="60">
        <f ca="1">AVERAGE(OFFSET($EN$3,0,0,'Données projet'!$E$15+1,1))-AVERAGE(OFFSET($H$3,0,0,'Données projet'!$E$15+1,1))</f>
        <v>428.8489304403459</v>
      </c>
      <c r="EP129" s="60">
        <f t="shared" si="100"/>
        <v>247.01165577562966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3.2</v>
      </c>
      <c r="FE129" s="13">
        <f>IF('Données projet'!$A$218&gt;35,FE128+FD129-FM128,IF(A129&lt;'Données projet'!$A$218,$FB$205^A129,IF(A129='Données projet'!$A$218,'Données projet'!$B$218,FE128+FD129-FM128)))</f>
        <v>287.19999999999942</v>
      </c>
      <c r="FF129" s="18">
        <f>FE129*VLOOKUP('Données projet'!$B$16,Paramètres!$A$1:$I$89,3,0)*VLOOKUP('Données projet'!$B$16,Paramètres!$A$1:$I$89,5,0)</f>
        <v>277.77983999999947</v>
      </c>
      <c r="FG129" s="14">
        <f t="shared" si="101"/>
        <v>66.497608092453063</v>
      </c>
      <c r="FH129" s="22">
        <f t="shared" si="76"/>
        <v>599.61655542768813</v>
      </c>
      <c r="FI129" s="60">
        <f t="shared" si="77"/>
        <v>892.94988876102138</v>
      </c>
      <c r="FJ129" s="60">
        <f ca="1">AVERAGE(OFFSET($FI$3,0,0,'Données projet'!$E$16+1,1))-AVERAGE(OFFSET($H$3,0,0,'Données projet'!$E$16+1,1))</f>
        <v>455.50822833641354</v>
      </c>
      <c r="FK129" s="60">
        <f t="shared" si="102"/>
        <v>261.14722581688039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 t="e">
        <f>N130*VLOOKUP('Données projet'!$B$9,Paramètres!$A$1:$I$89,3,0)*VLOOKUP('Données projet'!$B$9,Paramètres!$A$1:$I$89,5,0)</f>
        <v>#N/A</v>
      </c>
      <c r="P130" s="14" t="e">
        <f t="shared" si="87"/>
        <v>#N/A</v>
      </c>
      <c r="Q130" s="22" t="e">
        <f t="shared" si="107"/>
        <v>#N/A</v>
      </c>
      <c r="R130" s="60" t="e">
        <f t="shared" si="55"/>
        <v>#N/A</v>
      </c>
      <c r="S130" s="60" t="e">
        <f ca="1">AVERAGE(OFFSET($R$3,0,0,'Données projet'!$E$9+1,1))-AVERAGE(OFFSET($H$3,0,0,'Données projet'!$E$9+1,1))</f>
        <v>#N/A</v>
      </c>
      <c r="T130" s="60" t="e">
        <f t="shared" si="88"/>
        <v>#N/A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 t="e">
        <f>EXP(-LN(2)/35)*Z129+(1-EXP(-LN(2)/35))/(LN(2)/35)*V130*W130*VLOOKUP('Données projet'!$B$9,Paramètres!$A$1:$I$89,3,0)*0.475*44/12</f>
        <v>#N/A</v>
      </c>
      <c r="AA130" s="23" t="e">
        <f>EXP(-LN(2)/25)*AA129+(1-EXP(-LN(2)/25))/(LN(2)/25)*Calculateur!V130*Calculateur!X130*VLOOKUP('Données projet'!$B$9,Paramètres!$A$1:$I$89,3,0)*0.475*44/12</f>
        <v>#N/A</v>
      </c>
      <c r="AB130" s="23" t="e">
        <f>EXP(-LN(2)/2)*AB129+(1-EXP(-LN(2)/2))/(LN(2)/2)*V130*Y130*VLOOKUP('Données projet'!$B$9,Paramètres!$A$1:$I$89,3,0)*0.475*44/12</f>
        <v>#N/A</v>
      </c>
      <c r="AC130" s="24" t="e">
        <f t="shared" si="57"/>
        <v>#N/A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projet'!$B$10,Paramètres!$A$1:$I$89,3,0)*VLOOKUP('Données projet'!$B$10,Paramètres!$A$1:$I$89,5,0)</f>
        <v>1.9863364286720756E-13</v>
      </c>
      <c r="AK130" s="14">
        <f t="shared" si="89"/>
        <v>2.7549360720371426E-12</v>
      </c>
      <c r="AL130" s="22">
        <f t="shared" si="58"/>
        <v>5.144133920125077E-12</v>
      </c>
      <c r="AM130" s="60">
        <f t="shared" si="59"/>
        <v>293.33333333333843</v>
      </c>
      <c r="AN130" s="60">
        <f ca="1">AVERAGE(OFFSET($AM$3,0,0,'Données projet'!$E$10+1,1))-AVERAGE(OFFSET($H$3,0,0,'Données projet'!$E$10+1,1))</f>
        <v>325.06345339097095</v>
      </c>
      <c r="AO130" s="60">
        <f t="shared" si="90"/>
        <v>318.90379036810754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0" t="e">
        <f t="shared" si="62"/>
        <v>#N/A</v>
      </c>
      <c r="BI130" s="60" t="e">
        <f ca="1">AVERAGE(OFFSET($BH$3,0,0,'Données projet'!$E$11+1,1))-AVERAGE(OFFSET($H$3,0,0,'Données projet'!$E$11+1,1))</f>
        <v>#N/A</v>
      </c>
      <c r="BJ130" s="60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0" t="e">
        <f t="shared" si="65"/>
        <v>#N/A</v>
      </c>
      <c r="CD130" s="60" t="e">
        <f ca="1">AVERAGE(OFFSET($CC$3,0,0,'Données projet'!$E$12+1,1))-AVERAGE(OFFSET($H$3,0,0,'Données projet'!$E$12+1,1))</f>
        <v>#N/A</v>
      </c>
      <c r="CE130" s="60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253.69343999999953</v>
      </c>
      <c r="CV130" s="14">
        <f t="shared" si="95"/>
        <v>61.376159112289301</v>
      </c>
      <c r="CW130" s="22">
        <f t="shared" si="67"/>
        <v>548.746218453903</v>
      </c>
      <c r="CX130" s="60">
        <f t="shared" si="68"/>
        <v>842.07955178723637</v>
      </c>
      <c r="CY130" s="60">
        <f ca="1">AVERAGE(OFFSET($CX$3,0,0,'Données projet'!$E$13+1,1))-AVERAGE(OFFSET($H$3,0,0,'Données projet'!$E$13+1,1))</f>
        <v>415.50509041799154</v>
      </c>
      <c r="CZ130" s="60">
        <f t="shared" si="96"/>
        <v>239.93573789765657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3.2</v>
      </c>
      <c r="DO130" s="13">
        <f>IF('Données projet'!$A$166&gt;35,DO129+DN130-DW129,IF(A130&lt;'Données projet'!$A$166,$DL$205^A130,IF(A130='Données projet'!$A$166,'Données projet'!$B$166,DO129+DN130-DW129)))</f>
        <v>290.39999999999941</v>
      </c>
      <c r="DP130" s="18">
        <f>DO130*VLOOKUP('Données projet'!$B$14,Paramètres!$A$1:$I$89,3,0)*VLOOKUP('Données projet'!$B$14,Paramètres!$A$1:$I$89,5,0)</f>
        <v>294.46559999999943</v>
      </c>
      <c r="DQ130" s="14">
        <f t="shared" si="97"/>
        <v>70.0149863201041</v>
      </c>
      <c r="DR130" s="22">
        <f t="shared" si="70"/>
        <v>634.80368784084692</v>
      </c>
      <c r="DS130" s="60">
        <f t="shared" si="71"/>
        <v>928.13702117418029</v>
      </c>
      <c r="DT130" s="60">
        <f ca="1">AVERAGE(OFFSET($DS$3,0,0,'Données projet'!$E$14+1,1))-AVERAGE(OFFSET($H$3,0,0,'Données projet'!$E$14+1,1))</f>
        <v>475.47920969424894</v>
      </c>
      <c r="DU130" s="60">
        <f t="shared" si="98"/>
        <v>271.73544012419364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3.2</v>
      </c>
      <c r="EJ130" s="13">
        <f>IF('Données projet'!$A$192&gt;35,EJ129+EI130-ER129,IF(A130&lt;'Données projet'!$A$192,$EG$205^A130,IF(A130='Données projet'!$A$192,'Données projet'!$B$192,EJ129+EI130-ER129)))</f>
        <v>290.39999999999941</v>
      </c>
      <c r="EK130" s="18">
        <f>EJ130*VLOOKUP('Données projet'!$B$15,Paramètres!$A$1:$I$89,3,0)*VLOOKUP('Données projet'!$B$15,Paramètres!$A$1:$I$89,5,0)</f>
        <v>262.75391999999948</v>
      </c>
      <c r="EL130" s="14">
        <f t="shared" si="99"/>
        <v>63.309041956360211</v>
      </c>
      <c r="EM130" s="22">
        <f t="shared" si="73"/>
        <v>567.89299207399313</v>
      </c>
      <c r="EN130" s="60">
        <f t="shared" si="74"/>
        <v>861.22632540732639</v>
      </c>
      <c r="EO130" s="60">
        <f ca="1">AVERAGE(OFFSET($EN$3,0,0,'Données projet'!$E$15+1,1))-AVERAGE(OFFSET($H$3,0,0,'Données projet'!$E$15+1,1))</f>
        <v>428.8489304403459</v>
      </c>
      <c r="EP130" s="60">
        <f t="shared" si="100"/>
        <v>247.01165577562966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3.2</v>
      </c>
      <c r="FE130" s="13">
        <f>IF('Données projet'!$A$218&gt;35,FE129+FD130-FM129,IF(A130&lt;'Données projet'!$A$218,$FB$205^A130,IF(A130='Données projet'!$A$218,'Données projet'!$B$218,FE129+FD130-FM129)))</f>
        <v>290.39999999999941</v>
      </c>
      <c r="FF130" s="18">
        <f>FE130*VLOOKUP('Données projet'!$B$16,Paramètres!$A$1:$I$89,3,0)*VLOOKUP('Données projet'!$B$16,Paramètres!$A$1:$I$89,5,0)</f>
        <v>280.87487999999945</v>
      </c>
      <c r="FG130" s="14">
        <f t="shared" si="101"/>
        <v>67.151862592195727</v>
      </c>
      <c r="FH130" s="22">
        <f t="shared" si="76"/>
        <v>606.1465766814066</v>
      </c>
      <c r="FI130" s="60">
        <f t="shared" si="77"/>
        <v>899.47991001473997</v>
      </c>
      <c r="FJ130" s="60">
        <f ca="1">AVERAGE(OFFSET($FI$3,0,0,'Données projet'!$E$16+1,1))-AVERAGE(OFFSET($H$3,0,0,'Données projet'!$E$16+1,1))</f>
        <v>455.50822833641354</v>
      </c>
      <c r="FK130" s="60">
        <f t="shared" si="102"/>
        <v>261.14722581688039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 t="e">
        <f>N131*VLOOKUP('Données projet'!$B$9,Paramètres!$A$1:$I$89,3,0)*VLOOKUP('Données projet'!$B$9,Paramètres!$A$1:$I$89,5,0)</f>
        <v>#N/A</v>
      </c>
      <c r="P131" s="14" t="e">
        <f t="shared" si="87"/>
        <v>#N/A</v>
      </c>
      <c r="Q131" s="22" t="e">
        <f t="shared" ref="Q131:Q153" si="108">(O131+P131)*0.475*44/12</f>
        <v>#N/A</v>
      </c>
      <c r="R131" s="60" t="e">
        <f t="shared" ref="R131:R194" si="109">Q131+(I131+J131)*44/12</f>
        <v>#N/A</v>
      </c>
      <c r="S131" s="60" t="e">
        <f ca="1">AVERAGE(OFFSET($R$3,0,0,'Données projet'!$E$9+1,1))-AVERAGE(OFFSET($H$3,0,0,'Données projet'!$E$9+1,1))</f>
        <v>#N/A</v>
      </c>
      <c r="T131" s="60" t="e">
        <f t="shared" si="88"/>
        <v>#N/A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 t="e">
        <f>EXP(-LN(2)/35)*Z130+(1-EXP(-LN(2)/35))/(LN(2)/35)*V131*W131*VLOOKUP('Données projet'!$B$9,Paramètres!$A$1:$I$89,3,0)*0.475*44/12</f>
        <v>#N/A</v>
      </c>
      <c r="AA131" s="23" t="e">
        <f>EXP(-LN(2)/25)*AA130+(1-EXP(-LN(2)/25))/(LN(2)/25)*Calculateur!V131*Calculateur!X131*VLOOKUP('Données projet'!$B$9,Paramètres!$A$1:$I$89,3,0)*0.475*44/12</f>
        <v>#N/A</v>
      </c>
      <c r="AB131" s="23" t="e">
        <f>EXP(-LN(2)/2)*AB130+(1-EXP(-LN(2)/2))/(LN(2)/2)*V131*Y131*VLOOKUP('Données projet'!$B$9,Paramètres!$A$1:$I$89,3,0)*0.475*44/12</f>
        <v>#N/A</v>
      </c>
      <c r="AC131" s="24" t="e">
        <f t="shared" si="57"/>
        <v>#N/A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projet'!$B$10,Paramètres!$A$1:$I$89,3,0)*VLOOKUP('Données projet'!$B$10,Paramètres!$A$1:$I$89,5,0)</f>
        <v>1.9863364286720756E-13</v>
      </c>
      <c r="AK131" s="14">
        <f t="shared" si="89"/>
        <v>2.7549360720371426E-12</v>
      </c>
      <c r="AL131" s="22">
        <f t="shared" si="58"/>
        <v>5.144133920125077E-12</v>
      </c>
      <c r="AM131" s="60">
        <f t="shared" si="59"/>
        <v>293.33333333333843</v>
      </c>
      <c r="AN131" s="60">
        <f ca="1">AVERAGE(OFFSET($AM$3,0,0,'Données projet'!$E$10+1,1))-AVERAGE(OFFSET($H$3,0,0,'Données projet'!$E$10+1,1))</f>
        <v>325.06345339097095</v>
      </c>
      <c r="AO131" s="60">
        <f t="shared" si="90"/>
        <v>318.90379036810754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0" t="e">
        <f t="shared" si="62"/>
        <v>#N/A</v>
      </c>
      <c r="BI131" s="60" t="e">
        <f ca="1">AVERAGE(OFFSET($BH$3,0,0,'Données projet'!$E$11+1,1))-AVERAGE(OFFSET($H$3,0,0,'Données projet'!$E$11+1,1))</f>
        <v>#N/A</v>
      </c>
      <c r="BJ131" s="60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0" t="e">
        <f t="shared" si="65"/>
        <v>#N/A</v>
      </c>
      <c r="CD131" s="60" t="e">
        <f ca="1">AVERAGE(OFFSET($CC$3,0,0,'Données projet'!$E$12+1,1))-AVERAGE(OFFSET($H$3,0,0,'Données projet'!$E$12+1,1))</f>
        <v>#N/A</v>
      </c>
      <c r="CE131" s="60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256.48895999999951</v>
      </c>
      <c r="CV131" s="14">
        <f t="shared" si="95"/>
        <v>61.973374933905312</v>
      </c>
      <c r="CW131" s="22">
        <f t="shared" si="67"/>
        <v>554.65523334321745</v>
      </c>
      <c r="CX131" s="60">
        <f t="shared" si="68"/>
        <v>847.98856667655082</v>
      </c>
      <c r="CY131" s="60">
        <f ca="1">AVERAGE(OFFSET($CX$3,0,0,'Données projet'!$E$13+1,1))-AVERAGE(OFFSET($H$3,0,0,'Données projet'!$E$13+1,1))</f>
        <v>415.50509041799154</v>
      </c>
      <c r="CZ131" s="60">
        <f t="shared" si="96"/>
        <v>239.93573789765657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3.2</v>
      </c>
      <c r="DO131" s="13">
        <f>IF('Données projet'!$A$166&gt;35,DO130+DN131-DW130,IF(A131&lt;'Données projet'!$A$166,$DL$205^A131,IF(A131='Données projet'!$A$166,'Données projet'!$B$166,DO130+DN131-DW130)))</f>
        <v>293.5999999999994</v>
      </c>
      <c r="DP131" s="18">
        <f>DO131*VLOOKUP('Données projet'!$B$14,Paramètres!$A$1:$I$89,3,0)*VLOOKUP('Données projet'!$B$14,Paramètres!$A$1:$I$89,5,0)</f>
        <v>297.71039999999937</v>
      </c>
      <c r="DQ131" s="14">
        <f t="shared" si="97"/>
        <v>70.696261560936534</v>
      </c>
      <c r="DR131" s="22">
        <f t="shared" si="70"/>
        <v>641.64160221862994</v>
      </c>
      <c r="DS131" s="60">
        <f t="shared" si="71"/>
        <v>934.9749355519632</v>
      </c>
      <c r="DT131" s="60">
        <f ca="1">AVERAGE(OFFSET($DS$3,0,0,'Données projet'!$E$14+1,1))-AVERAGE(OFFSET($H$3,0,0,'Données projet'!$E$14+1,1))</f>
        <v>475.47920969424894</v>
      </c>
      <c r="DU131" s="60">
        <f t="shared" si="98"/>
        <v>271.73544012419364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3.2</v>
      </c>
      <c r="EJ131" s="13">
        <f>IF('Données projet'!$A$192&gt;35,EJ130+EI131-ER130,IF(A131&lt;'Données projet'!$A$192,$EG$205^A131,IF(A131='Données projet'!$A$192,'Données projet'!$B$192,EJ130+EI131-ER130)))</f>
        <v>293.5999999999994</v>
      </c>
      <c r="EK131" s="18">
        <f>EJ131*VLOOKUP('Données projet'!$B$15,Paramètres!$A$1:$I$89,3,0)*VLOOKUP('Données projet'!$B$15,Paramètres!$A$1:$I$89,5,0)</f>
        <v>265.64927999999946</v>
      </c>
      <c r="EL131" s="14">
        <f t="shared" si="99"/>
        <v>63.925065540346907</v>
      </c>
      <c r="EM131" s="22">
        <f t="shared" si="73"/>
        <v>574.00865181610322</v>
      </c>
      <c r="EN131" s="60">
        <f t="shared" si="74"/>
        <v>867.3419851494366</v>
      </c>
      <c r="EO131" s="60">
        <f ca="1">AVERAGE(OFFSET($EN$3,0,0,'Données projet'!$E$15+1,1))-AVERAGE(OFFSET($H$3,0,0,'Données projet'!$E$15+1,1))</f>
        <v>428.8489304403459</v>
      </c>
      <c r="EP131" s="60">
        <f t="shared" si="100"/>
        <v>247.01165577562966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3.2</v>
      </c>
      <c r="FE131" s="13">
        <f>IF('Données projet'!$A$218&gt;35,FE130+FD131-FM130,IF(A131&lt;'Données projet'!$A$218,$FB$205^A131,IF(A131='Données projet'!$A$218,'Données projet'!$B$218,FE130+FD131-FM130)))</f>
        <v>293.5999999999994</v>
      </c>
      <c r="FF131" s="18">
        <f>FE131*VLOOKUP('Données projet'!$B$16,Paramètres!$A$1:$I$89,3,0)*VLOOKUP('Données projet'!$B$16,Paramètres!$A$1:$I$89,5,0)</f>
        <v>283.96991999999943</v>
      </c>
      <c r="FG131" s="14">
        <f t="shared" si="101"/>
        <v>67.805278435922148</v>
      </c>
      <c r="FH131" s="22">
        <f t="shared" si="76"/>
        <v>612.67513727589676</v>
      </c>
      <c r="FI131" s="60">
        <f t="shared" si="77"/>
        <v>906.00847060923002</v>
      </c>
      <c r="FJ131" s="60">
        <f ca="1">AVERAGE(OFFSET($FI$3,0,0,'Données projet'!$E$16+1,1))-AVERAGE(OFFSET($H$3,0,0,'Données projet'!$E$16+1,1))</f>
        <v>455.50822833641354</v>
      </c>
      <c r="FK131" s="60">
        <f t="shared" si="102"/>
        <v>261.14722581688039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 t="e">
        <f>N132*VLOOKUP('Données projet'!$B$9,Paramètres!$A$1:$I$89,3,0)*VLOOKUP('Données projet'!$B$9,Paramètres!$A$1:$I$89,5,0)</f>
        <v>#N/A</v>
      </c>
      <c r="P132" s="14" t="e">
        <f t="shared" si="87"/>
        <v>#N/A</v>
      </c>
      <c r="Q132" s="22" t="e">
        <f t="shared" si="108"/>
        <v>#N/A</v>
      </c>
      <c r="R132" s="60" t="e">
        <f t="shared" si="109"/>
        <v>#N/A</v>
      </c>
      <c r="S132" s="60" t="e">
        <f ca="1">AVERAGE(OFFSET($R$3,0,0,'Données projet'!$E$9+1,1))-AVERAGE(OFFSET($H$3,0,0,'Données projet'!$E$9+1,1))</f>
        <v>#N/A</v>
      </c>
      <c r="T132" s="60" t="e">
        <f t="shared" si="88"/>
        <v>#N/A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 t="e">
        <f>EXP(-LN(2)/35)*Z131+(1-EXP(-LN(2)/35))/(LN(2)/35)*V132*W132*VLOOKUP('Données projet'!$B$9,Paramètres!$A$1:$I$89,3,0)*0.475*44/12</f>
        <v>#N/A</v>
      </c>
      <c r="AA132" s="23" t="e">
        <f>EXP(-LN(2)/25)*AA131+(1-EXP(-LN(2)/25))/(LN(2)/25)*Calculateur!V132*Calculateur!X132*VLOOKUP('Données projet'!$B$9,Paramètres!$A$1:$I$89,3,0)*0.475*44/12</f>
        <v>#N/A</v>
      </c>
      <c r="AB132" s="23" t="e">
        <f>EXP(-LN(2)/2)*AB131+(1-EXP(-LN(2)/2))/(LN(2)/2)*V132*Y132*VLOOKUP('Données projet'!$B$9,Paramètres!$A$1:$I$89,3,0)*0.475*44/12</f>
        <v>#N/A</v>
      </c>
      <c r="AC132" s="24" t="e">
        <f t="shared" ref="AC132:AC153" si="111">SUM(Z132:AB132)</f>
        <v>#N/A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projet'!$B$10,Paramètres!$A$1:$I$89,3,0)*VLOOKUP('Données projet'!$B$10,Paramètres!$A$1:$I$89,5,0)</f>
        <v>1.9863364286720756E-13</v>
      </c>
      <c r="AK132" s="14">
        <f t="shared" si="89"/>
        <v>2.7549360720371426E-12</v>
      </c>
      <c r="AL132" s="22">
        <f t="shared" ref="AL132:AL153" si="112">(AJ132+AK132)*0.475*44/12</f>
        <v>5.144133920125077E-12</v>
      </c>
      <c r="AM132" s="60">
        <f t="shared" ref="AM132:AM195" si="113">AL132+(AD132+AE132)*44/12</f>
        <v>293.33333333333843</v>
      </c>
      <c r="AN132" s="60">
        <f ca="1">AVERAGE(OFFSET($AM$3,0,0,'Données projet'!$E$10+1,1))-AVERAGE(OFFSET($H$3,0,0,'Données projet'!$E$10+1,1))</f>
        <v>325.06345339097095</v>
      </c>
      <c r="AO132" s="60">
        <f t="shared" si="90"/>
        <v>318.90379036810754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0" t="e">
        <f t="shared" ref="BH132:BH195" si="116">BG132+(AY132+AZ132)*44/12</f>
        <v>#N/A</v>
      </c>
      <c r="BI132" s="60" t="e">
        <f ca="1">AVERAGE(OFFSET($BH$3,0,0,'Données projet'!$E$11+1,1))-AVERAGE(OFFSET($H$3,0,0,'Données projet'!$E$11+1,1))</f>
        <v>#N/A</v>
      </c>
      <c r="BJ132" s="60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0" t="e">
        <f t="shared" ref="CC132:CC195" si="119">CB132+(BT132+BU132)*44/12</f>
        <v>#N/A</v>
      </c>
      <c r="CD132" s="60" t="e">
        <f ca="1">AVERAGE(OFFSET($CC$3,0,0,'Données projet'!$E$12+1,1))-AVERAGE(OFFSET($H$3,0,0,'Données projet'!$E$12+1,1))</f>
        <v>#N/A</v>
      </c>
      <c r="CE132" s="60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259.28447999999952</v>
      </c>
      <c r="CV132" s="14">
        <f t="shared" si="95"/>
        <v>62.569833553355338</v>
      </c>
      <c r="CW132" s="22">
        <f t="shared" ref="CW132:CW153" si="121">(CU132+CV132)*0.475*44/12</f>
        <v>560.56292943875974</v>
      </c>
      <c r="CX132" s="60">
        <f t="shared" ref="CX132:CX195" si="122">CW132+(CO132+CP132)*44/12</f>
        <v>853.896262772093</v>
      </c>
      <c r="CY132" s="60">
        <f ca="1">AVERAGE(OFFSET($CX$3,0,0,'Données projet'!$E$13+1,1))-AVERAGE(OFFSET($H$3,0,0,'Données projet'!$E$13+1,1))</f>
        <v>415.50509041799154</v>
      </c>
      <c r="CZ132" s="60">
        <f t="shared" si="96"/>
        <v>239.93573789765657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3.2</v>
      </c>
      <c r="DO132" s="13">
        <f>IF('Données projet'!$A$166&gt;35,DO131+DN132-DW131,IF(A132&lt;'Données projet'!$A$166,$DL$205^A132,IF(A132='Données projet'!$A$166,'Données projet'!$B$166,DO131+DN132-DW131)))</f>
        <v>296.79999999999939</v>
      </c>
      <c r="DP132" s="18">
        <f>DO132*VLOOKUP('Données projet'!$B$14,Paramètres!$A$1:$I$89,3,0)*VLOOKUP('Données projet'!$B$14,Paramètres!$A$1:$I$89,5,0)</f>
        <v>300.95519999999942</v>
      </c>
      <c r="DQ132" s="14">
        <f t="shared" si="97"/>
        <v>71.376673021759657</v>
      </c>
      <c r="DR132" s="22">
        <f t="shared" ref="DR132:DR153" si="124">(DP132+DQ132)*0.475*44/12</f>
        <v>648.47801217956373</v>
      </c>
      <c r="DS132" s="60">
        <f t="shared" ref="DS132:DS195" si="125">DR132+(DJ132+DK132)*44/12</f>
        <v>941.81134551289711</v>
      </c>
      <c r="DT132" s="60">
        <f ca="1">AVERAGE(OFFSET($DS$3,0,0,'Données projet'!$E$14+1,1))-AVERAGE(OFFSET($H$3,0,0,'Données projet'!$E$14+1,1))</f>
        <v>475.47920969424894</v>
      </c>
      <c r="DU132" s="60">
        <f t="shared" si="98"/>
        <v>271.73544012419364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3.2</v>
      </c>
      <c r="EJ132" s="13">
        <f>IF('Données projet'!$A$192&gt;35,EJ131+EI132-ER131,IF(A132&lt;'Données projet'!$A$192,$EG$205^A132,IF(A132='Données projet'!$A$192,'Données projet'!$B$192,EJ131+EI132-ER131)))</f>
        <v>296.79999999999939</v>
      </c>
      <c r="EK132" s="18">
        <f>EJ132*VLOOKUP('Données projet'!$B$15,Paramètres!$A$1:$I$89,3,0)*VLOOKUP('Données projet'!$B$15,Paramètres!$A$1:$I$89,5,0)</f>
        <v>268.54463999999945</v>
      </c>
      <c r="EL132" s="14">
        <f t="shared" si="99"/>
        <v>64.540308076050593</v>
      </c>
      <c r="EM132" s="22">
        <f t="shared" ref="EM132:EM153" si="127">(EK132+EL132)*0.475*44/12</f>
        <v>580.12295123245383</v>
      </c>
      <c r="EN132" s="60">
        <f t="shared" ref="EN132:EN195" si="128">EM132+(EE132+EF132)*44/12</f>
        <v>873.4562845657872</v>
      </c>
      <c r="EO132" s="60">
        <f ca="1">AVERAGE(OFFSET($EN$3,0,0,'Données projet'!$E$15+1,1))-AVERAGE(OFFSET($H$3,0,0,'Données projet'!$E$15+1,1))</f>
        <v>428.8489304403459</v>
      </c>
      <c r="EP132" s="60">
        <f t="shared" si="100"/>
        <v>247.01165577562966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3.2</v>
      </c>
      <c r="FE132" s="13">
        <f>IF('Données projet'!$A$218&gt;35,FE131+FD132-FM131,IF(A132&lt;'Données projet'!$A$218,$FB$205^A132,IF(A132='Données projet'!$A$218,'Données projet'!$B$218,FE131+FD132-FM131)))</f>
        <v>296.79999999999939</v>
      </c>
      <c r="FF132" s="18">
        <f>FE132*VLOOKUP('Données projet'!$B$16,Paramètres!$A$1:$I$89,3,0)*VLOOKUP('Données projet'!$B$16,Paramètres!$A$1:$I$89,5,0)</f>
        <v>287.06495999999942</v>
      </c>
      <c r="FG132" s="14">
        <f t="shared" si="101"/>
        <v>68.457865822206202</v>
      </c>
      <c r="FH132" s="22">
        <f t="shared" ref="FH132:FH153" si="130">(FF132+FG132)*0.475*44/12</f>
        <v>619.20225497367471</v>
      </c>
      <c r="FI132" s="60">
        <f t="shared" ref="FI132:FI195" si="131">FH132+(EZ132+FA132)*44/12</f>
        <v>912.53558830700808</v>
      </c>
      <c r="FJ132" s="60">
        <f ca="1">AVERAGE(OFFSET($FI$3,0,0,'Données projet'!$E$16+1,1))-AVERAGE(OFFSET($H$3,0,0,'Données projet'!$E$16+1,1))</f>
        <v>455.50822833641354</v>
      </c>
      <c r="FK132" s="60">
        <f t="shared" si="102"/>
        <v>261.14722581688039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 t="e">
        <f>N133*VLOOKUP('Données projet'!$B$9,Paramètres!$A$1:$I$89,3,0)*VLOOKUP('Données projet'!$B$9,Paramètres!$A$1:$I$89,5,0)</f>
        <v>#N/A</v>
      </c>
      <c r="P133" s="14" t="e">
        <f t="shared" ref="P133:P196" si="141">EXP(-1.0587+0.8836*LN(O133)+0.284)</f>
        <v>#N/A</v>
      </c>
      <c r="Q133" s="22" t="e">
        <f t="shared" si="108"/>
        <v>#N/A</v>
      </c>
      <c r="R133" s="60" t="e">
        <f t="shared" si="109"/>
        <v>#N/A</v>
      </c>
      <c r="S133" s="60" t="e">
        <f ca="1">AVERAGE(OFFSET($R$3,0,0,'Données projet'!$E$9+1,1))-AVERAGE(OFFSET($H$3,0,0,'Données projet'!$E$9+1,1))</f>
        <v>#N/A</v>
      </c>
      <c r="T133" s="60" t="e">
        <f t="shared" ref="T133:T196" si="142">$T$3</f>
        <v>#N/A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 t="e">
        <f>EXP(-LN(2)/35)*Z132+(1-EXP(-LN(2)/35))/(LN(2)/35)*V133*W133*VLOOKUP('Données projet'!$B$9,Paramètres!$A$1:$I$89,3,0)*0.475*44/12</f>
        <v>#N/A</v>
      </c>
      <c r="AA133" s="23" t="e">
        <f>EXP(-LN(2)/25)*AA132+(1-EXP(-LN(2)/25))/(LN(2)/25)*Calculateur!V133*Calculateur!X133*VLOOKUP('Données projet'!$B$9,Paramètres!$A$1:$I$89,3,0)*0.475*44/12</f>
        <v>#N/A</v>
      </c>
      <c r="AB133" s="23" t="e">
        <f>EXP(-LN(2)/2)*AB132+(1-EXP(-LN(2)/2))/(LN(2)/2)*V133*Y133*VLOOKUP('Données projet'!$B$9,Paramètres!$A$1:$I$89,3,0)*0.475*44/12</f>
        <v>#N/A</v>
      </c>
      <c r="AC133" s="24" t="e">
        <f t="shared" si="111"/>
        <v>#N/A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projet'!$B$10,Paramètres!$A$1:$I$89,3,0)*VLOOKUP('Données projet'!$B$10,Paramètres!$A$1:$I$89,5,0)</f>
        <v>1.9863364286720756E-13</v>
      </c>
      <c r="AK133" s="14">
        <f t="shared" ref="AK133:AK153" si="143">EXP(-1.0587+0.8836*LN(AJ133)+0.284)</f>
        <v>2.7549360720371426E-12</v>
      </c>
      <c r="AL133" s="22">
        <f t="shared" si="112"/>
        <v>5.144133920125077E-12</v>
      </c>
      <c r="AM133" s="60">
        <f t="shared" si="113"/>
        <v>293.33333333333843</v>
      </c>
      <c r="AN133" s="60">
        <f ca="1">AVERAGE(OFFSET($AM$3,0,0,'Données projet'!$E$10+1,1))-AVERAGE(OFFSET($H$3,0,0,'Données projet'!$E$10+1,1))</f>
        <v>325.06345339097095</v>
      </c>
      <c r="AO133" s="60">
        <f t="shared" ref="AO133:AO196" si="144">$AO$3</f>
        <v>318.90379036810754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0" t="e">
        <f t="shared" si="116"/>
        <v>#N/A</v>
      </c>
      <c r="BI133" s="60" t="e">
        <f ca="1">AVERAGE(OFFSET($BH$3,0,0,'Données projet'!$E$11+1,1))-AVERAGE(OFFSET($H$3,0,0,'Données projet'!$E$11+1,1))</f>
        <v>#N/A</v>
      </c>
      <c r="BJ133" s="60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0" t="e">
        <f t="shared" si="119"/>
        <v>#N/A</v>
      </c>
      <c r="CD133" s="60" t="e">
        <f ca="1">AVERAGE(OFFSET($CC$3,0,0,'Données projet'!$E$12+1,1))-AVERAGE(OFFSET($H$3,0,0,'Données projet'!$E$12+1,1))</f>
        <v>#N/A</v>
      </c>
      <c r="CE133" s="60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262.07999999999947</v>
      </c>
      <c r="CV133" s="14">
        <f t="shared" ref="CV133:CV153" si="149">EXP(-1.0587+0.8836*LN(CU133)+0.284)</f>
        <v>63.165544079460595</v>
      </c>
      <c r="CW133" s="22">
        <f t="shared" si="121"/>
        <v>566.46932260505957</v>
      </c>
      <c r="CX133" s="60">
        <f t="shared" si="122"/>
        <v>859.80265593839295</v>
      </c>
      <c r="CY133" s="60">
        <f ca="1">AVERAGE(OFFSET($CX$3,0,0,'Données projet'!$E$13+1,1))-AVERAGE(OFFSET($H$3,0,0,'Données projet'!$E$13+1,1))</f>
        <v>415.50509041799154</v>
      </c>
      <c r="CZ133" s="60">
        <f t="shared" ref="CZ133:CZ196" si="150">$CZ$3</f>
        <v>239.93573789765657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300</v>
      </c>
      <c r="DM133" s="13">
        <f>VLOOKUP(A133,'Données projet'!$A$165:$I$185,9,0)</f>
        <v>3.2</v>
      </c>
      <c r="DN133" s="13">
        <f t="array" ref="DN133">INDEX(DM:DM,MIN(IF(ISNUMBER(DM133:DM329),ROW(DM133:DM329),"")))</f>
        <v>3.2</v>
      </c>
      <c r="DO133" s="13">
        <f>IF('Données projet'!$A$166&gt;35,DO132+DN133-DW132,IF(A133&lt;'Données projet'!$A$166,$DL$205^A133,IF(A133='Données projet'!$A$166,'Données projet'!$B$166,DO132+DN133-DW132)))</f>
        <v>299.99999999999937</v>
      </c>
      <c r="DP133" s="18">
        <f>DO133*VLOOKUP('Données projet'!$B$14,Paramètres!$A$1:$I$89,3,0)*VLOOKUP('Données projet'!$B$14,Paramètres!$A$1:$I$89,5,0)</f>
        <v>304.19999999999936</v>
      </c>
      <c r="DQ133" s="14">
        <f t="shared" ref="DQ133:DQ153" si="151">EXP(-1.0587+0.8836*LN(DP133)+0.284)</f>
        <v>72.056231093480946</v>
      </c>
      <c r="DR133" s="22">
        <f t="shared" si="124"/>
        <v>655.31293582114483</v>
      </c>
      <c r="DS133" s="60">
        <f t="shared" si="125"/>
        <v>948.6462691544782</v>
      </c>
      <c r="DT133" s="60">
        <f ca="1">AVERAGE(OFFSET($DS$3,0,0,'Données projet'!$E$14+1,1))-AVERAGE(OFFSET($H$3,0,0,'Données projet'!$E$14+1,1))</f>
        <v>475.47920969424894</v>
      </c>
      <c r="DU133" s="60">
        <f t="shared" ref="DU133:DU196" si="152">$DU$3</f>
        <v>271.73544012419364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300</v>
      </c>
      <c r="EH133" s="13">
        <f>VLOOKUP(A133,'Données projet'!$A$191:$I$211,9,0)</f>
        <v>3.2</v>
      </c>
      <c r="EI133" s="13">
        <f t="array" ref="EI133">INDEX(EH:EH,MIN(IF(ISNUMBER(EH133:EH329),ROW(EH133:EH329),"")))</f>
        <v>3.2</v>
      </c>
      <c r="EJ133" s="13">
        <f>IF('Données projet'!$A$192&gt;35,EJ132+EI133-ER132,IF(A133&lt;'Données projet'!$A$192,$EG$205^A133,IF(A133='Données projet'!$A$192,'Données projet'!$B$192,EJ132+EI133-ER132)))</f>
        <v>299.99999999999937</v>
      </c>
      <c r="EK133" s="18">
        <f>EJ133*VLOOKUP('Données projet'!$B$15,Paramètres!$A$1:$I$89,3,0)*VLOOKUP('Données projet'!$B$15,Paramètres!$A$1:$I$89,5,0)</f>
        <v>271.43999999999943</v>
      </c>
      <c r="EL133" s="14">
        <f t="shared" ref="EL133:EL153" si="153">EXP(-1.0587+0.8836*LN(EK133)+0.284)</f>
        <v>65.154778959151116</v>
      </c>
      <c r="EM133" s="22">
        <f t="shared" si="127"/>
        <v>586.23590668718714</v>
      </c>
      <c r="EN133" s="60">
        <f t="shared" si="128"/>
        <v>879.56924002052051</v>
      </c>
      <c r="EO133" s="60">
        <f ca="1">AVERAGE(OFFSET($EN$3,0,0,'Données projet'!$E$15+1,1))-AVERAGE(OFFSET($H$3,0,0,'Données projet'!$E$15+1,1))</f>
        <v>428.8489304403459</v>
      </c>
      <c r="EP133" s="60">
        <f t="shared" ref="EP133:EP196" si="154">$EP$3</f>
        <v>247.01165577562966</v>
      </c>
      <c r="EQ133" s="16">
        <f>IF(ISNA(VLOOKUP(A133,'Données projet'!$A$191:$I$211,3,0)),0,VLOOKUP(A133,'Données projet'!$A$191:$I$211,3,0))</f>
        <v>11</v>
      </c>
      <c r="ER133" s="16">
        <f>IF(ISNA(VLOOKUP(A133,'Données projet'!$A$191:$I$211,4,0)),0,VLOOKUP(A133,'Données projet'!$A$191:$I$211,4,0))</f>
        <v>31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>
        <f>VLOOKUP(A133,'Données projet'!$A$217:$I$237,2,0)</f>
        <v>300</v>
      </c>
      <c r="FC133" s="13">
        <f>VLOOKUP(A133,'Données projet'!$A$217:$I$237,9,0)</f>
        <v>3.2</v>
      </c>
      <c r="FD133" s="13">
        <f t="array" ref="FD133">INDEX(FC:FC,MIN(IF(ISNUMBER(FC133:FC329),ROW(FC133:FC329),"")))</f>
        <v>3.2</v>
      </c>
      <c r="FE133" s="13">
        <f>IF('Données projet'!$A$218&gt;35,FE132+FD133-FM132,IF(A133&lt;'Données projet'!$A$218,$FB$205^A133,IF(A133='Données projet'!$A$218,'Données projet'!$B$218,FE132+FD133-FM132)))</f>
        <v>299.99999999999937</v>
      </c>
      <c r="FF133" s="18">
        <f>FE133*VLOOKUP('Données projet'!$B$16,Paramètres!$A$1:$I$89,3,0)*VLOOKUP('Données projet'!$B$16,Paramètres!$A$1:$I$89,5,0)</f>
        <v>290.1599999999994</v>
      </c>
      <c r="FG133" s="14">
        <f t="shared" ref="FG133:FG153" si="155">EXP(-1.0587+0.8836*LN(FF133)+0.284)</f>
        <v>69.10963471703981</v>
      </c>
      <c r="FH133" s="22">
        <f t="shared" si="130"/>
        <v>625.72794713217661</v>
      </c>
      <c r="FI133" s="60">
        <f t="shared" si="131"/>
        <v>919.06128046550998</v>
      </c>
      <c r="FJ133" s="60">
        <f ca="1">AVERAGE(OFFSET($FI$3,0,0,'Données projet'!$E$16+1,1))-AVERAGE(OFFSET($H$3,0,0,'Données projet'!$E$16+1,1))</f>
        <v>455.50822833641354</v>
      </c>
      <c r="FK133" s="60">
        <f t="shared" ref="FK133:FK196" si="156">$FK$3</f>
        <v>261.14722581688039</v>
      </c>
      <c r="FL133" s="16">
        <f>IF(ISNA(VLOOKUP(A133,'Données projet'!$A$217:$I$237,3,0)),0,VLOOKUP(A133,'Données projet'!$A$217:$I$237,3,0))</f>
        <v>11</v>
      </c>
      <c r="FM133" s="16">
        <f>IF(ISNA(VLOOKUP(A133,'Données projet'!$A$217:$I$237,4,0)),0,VLOOKUP(A133,'Données projet'!$A$217:$I$237,4,0))</f>
        <v>31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 t="e">
        <f>N134*VLOOKUP('Données projet'!$B$9,Paramètres!$A$1:$I$89,3,0)*VLOOKUP('Données projet'!$B$9,Paramètres!$A$1:$I$89,5,0)</f>
        <v>#N/A</v>
      </c>
      <c r="P134" s="14" t="e">
        <f t="shared" si="141"/>
        <v>#N/A</v>
      </c>
      <c r="Q134" s="22" t="e">
        <f t="shared" si="108"/>
        <v>#N/A</v>
      </c>
      <c r="R134" s="60" t="e">
        <f t="shared" si="109"/>
        <v>#N/A</v>
      </c>
      <c r="S134" s="60" t="e">
        <f ca="1">AVERAGE(OFFSET($R$3,0,0,'Données projet'!$E$9+1,1))-AVERAGE(OFFSET($H$3,0,0,'Données projet'!$E$9+1,1))</f>
        <v>#N/A</v>
      </c>
      <c r="T134" s="60" t="e">
        <f t="shared" si="142"/>
        <v>#N/A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 t="e">
        <f>EXP(-LN(2)/35)*Z133+(1-EXP(-LN(2)/35))/(LN(2)/35)*V134*W134*VLOOKUP('Données projet'!$B$9,Paramètres!$A$1:$I$89,3,0)*0.475*44/12</f>
        <v>#N/A</v>
      </c>
      <c r="AA134" s="23" t="e">
        <f>EXP(-LN(2)/25)*AA133+(1-EXP(-LN(2)/25))/(LN(2)/25)*Calculateur!V134*Calculateur!X134*VLOOKUP('Données projet'!$B$9,Paramètres!$A$1:$I$89,3,0)*0.475*44/12</f>
        <v>#N/A</v>
      </c>
      <c r="AB134" s="23" t="e">
        <f>EXP(-LN(2)/2)*AB133+(1-EXP(-LN(2)/2))/(LN(2)/2)*V134*Y134*VLOOKUP('Données projet'!$B$9,Paramètres!$A$1:$I$89,3,0)*0.475*44/12</f>
        <v>#N/A</v>
      </c>
      <c r="AC134" s="24" t="e">
        <f t="shared" si="111"/>
        <v>#N/A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projet'!$B$10,Paramètres!$A$1:$I$89,3,0)*VLOOKUP('Données projet'!$B$10,Paramètres!$A$1:$I$89,5,0)</f>
        <v>1.9863364286720756E-13</v>
      </c>
      <c r="AK134" s="14">
        <f t="shared" si="143"/>
        <v>2.7549360720371426E-12</v>
      </c>
      <c r="AL134" s="22">
        <f t="shared" si="112"/>
        <v>5.144133920125077E-12</v>
      </c>
      <c r="AM134" s="60">
        <f t="shared" si="113"/>
        <v>293.33333333333843</v>
      </c>
      <c r="AN134" s="60">
        <f ca="1">AVERAGE(OFFSET($AM$3,0,0,'Données projet'!$E$10+1,1))-AVERAGE(OFFSET($H$3,0,0,'Données projet'!$E$10+1,1))</f>
        <v>325.06345339097095</v>
      </c>
      <c r="AO134" s="60">
        <f t="shared" si="144"/>
        <v>318.90379036810754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0" t="e">
        <f t="shared" si="116"/>
        <v>#N/A</v>
      </c>
      <c r="BI134" s="60" t="e">
        <f ca="1">AVERAGE(OFFSET($BH$3,0,0,'Données projet'!$E$11+1,1))-AVERAGE(OFFSET($H$3,0,0,'Données projet'!$E$11+1,1))</f>
        <v>#N/A</v>
      </c>
      <c r="BJ134" s="60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0" t="e">
        <f t="shared" si="119"/>
        <v>#N/A</v>
      </c>
      <c r="CD134" s="60" t="e">
        <f ca="1">AVERAGE(OFFSET($CC$3,0,0,'Données projet'!$E$12+1,1))-AVERAGE(OFFSET($H$3,0,0,'Données projet'!$E$12+1,1))</f>
        <v>#N/A</v>
      </c>
      <c r="CE134" s="60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237.35711999999947</v>
      </c>
      <c r="CV134" s="14">
        <f t="shared" si="149"/>
        <v>57.870536040426195</v>
      </c>
      <c r="CW134" s="22">
        <f t="shared" si="121"/>
        <v>514.18816760374136</v>
      </c>
      <c r="CX134" s="60">
        <f t="shared" si="122"/>
        <v>807.52150093707473</v>
      </c>
      <c r="CY134" s="60">
        <f ca="1">AVERAGE(OFFSET($CX$3,0,0,'Données projet'!$E$13+1,1))-AVERAGE(OFFSET($H$3,0,0,'Données projet'!$E$13+1,1))</f>
        <v>415.50509041799154</v>
      </c>
      <c r="CZ134" s="60">
        <f t="shared" si="150"/>
        <v>239.93573789765657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2.7</v>
      </c>
      <c r="DO134" s="13">
        <f>IF('Données projet'!$A$166&gt;35,DO133+DN134-DW133,IF(A134&lt;'Données projet'!$A$166,$DL$205^A134,IF(A134='Données projet'!$A$166,'Données projet'!$B$166,DO133+DN134-DW133)))</f>
        <v>271.69999999999936</v>
      </c>
      <c r="DP134" s="18">
        <f>DO134*VLOOKUP('Données projet'!$B$14,Paramètres!$A$1:$I$89,3,0)*VLOOKUP('Données projet'!$B$14,Paramètres!$A$1:$I$89,5,0)</f>
        <v>275.50379999999939</v>
      </c>
      <c r="DQ134" s="14">
        <f t="shared" si="151"/>
        <v>66.015939215007748</v>
      </c>
      <c r="DR134" s="22">
        <f t="shared" si="124"/>
        <v>594.81354579947072</v>
      </c>
      <c r="DS134" s="60">
        <f t="shared" si="125"/>
        <v>888.14687913280409</v>
      </c>
      <c r="DT134" s="60">
        <f ca="1">AVERAGE(OFFSET($DS$3,0,0,'Données projet'!$E$14+1,1))-AVERAGE(OFFSET($H$3,0,0,'Données projet'!$E$14+1,1))</f>
        <v>475.47920969424894</v>
      </c>
      <c r="DU134" s="60">
        <f t="shared" si="152"/>
        <v>271.73544012419364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2.7</v>
      </c>
      <c r="EJ134" s="13">
        <f>IF('Données projet'!$A$192&gt;35,EJ133+EI134-ER133,IF(A134&lt;'Données projet'!$A$192,$EG$205^A134,IF(A134='Données projet'!$A$192,'Données projet'!$B$192,EJ133+EI134-ER133)))</f>
        <v>271.69999999999936</v>
      </c>
      <c r="EK134" s="18">
        <f>EJ134*VLOOKUP('Données projet'!$B$15,Paramètres!$A$1:$I$89,3,0)*VLOOKUP('Données projet'!$B$15,Paramètres!$A$1:$I$89,5,0)</f>
        <v>245.8341599999994</v>
      </c>
      <c r="EL134" s="14">
        <f t="shared" si="153"/>
        <v>59.693018383856675</v>
      </c>
      <c r="EM134" s="22">
        <f t="shared" si="127"/>
        <v>532.12650235188266</v>
      </c>
      <c r="EN134" s="60">
        <f t="shared" si="128"/>
        <v>825.45983568521592</v>
      </c>
      <c r="EO134" s="60">
        <f ca="1">AVERAGE(OFFSET($EN$3,0,0,'Données projet'!$E$15+1,1))-AVERAGE(OFFSET($H$3,0,0,'Données projet'!$E$15+1,1))</f>
        <v>428.8489304403459</v>
      </c>
      <c r="EP134" s="60">
        <f t="shared" si="154"/>
        <v>247.01165577562966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2.7</v>
      </c>
      <c r="FE134" s="13">
        <f>IF('Données projet'!$A$218&gt;35,FE133+FD134-FM133,IF(A134&lt;'Données projet'!$A$218,$FB$205^A134,IF(A134='Données projet'!$A$218,'Données projet'!$B$218,FE133+FD134-FM133)))</f>
        <v>271.69999999999936</v>
      </c>
      <c r="FF134" s="18">
        <f>FE134*VLOOKUP('Données projet'!$B$16,Paramètres!$A$1:$I$89,3,0)*VLOOKUP('Données projet'!$B$16,Paramètres!$A$1:$I$89,5,0)</f>
        <v>262.7882399999994</v>
      </c>
      <c r="FG134" s="14">
        <f t="shared" si="155"/>
        <v>63.316348571334714</v>
      </c>
      <c r="FH134" s="22">
        <f t="shared" si="130"/>
        <v>567.96549176174028</v>
      </c>
      <c r="FI134" s="60">
        <f t="shared" si="131"/>
        <v>861.29882509507365</v>
      </c>
      <c r="FJ134" s="60">
        <f ca="1">AVERAGE(OFFSET($FI$3,0,0,'Données projet'!$E$16+1,1))-AVERAGE(OFFSET($H$3,0,0,'Données projet'!$E$16+1,1))</f>
        <v>455.50822833641354</v>
      </c>
      <c r="FK134" s="60">
        <f t="shared" si="156"/>
        <v>261.14722581688039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 t="e">
        <f>N135*VLOOKUP('Données projet'!$B$9,Paramètres!$A$1:$I$89,3,0)*VLOOKUP('Données projet'!$B$9,Paramètres!$A$1:$I$89,5,0)</f>
        <v>#N/A</v>
      </c>
      <c r="P135" s="14" t="e">
        <f t="shared" si="141"/>
        <v>#N/A</v>
      </c>
      <c r="Q135" s="22" t="e">
        <f t="shared" si="108"/>
        <v>#N/A</v>
      </c>
      <c r="R135" s="60" t="e">
        <f t="shared" si="109"/>
        <v>#N/A</v>
      </c>
      <c r="S135" s="60" t="e">
        <f ca="1">AVERAGE(OFFSET($R$3,0,0,'Données projet'!$E$9+1,1))-AVERAGE(OFFSET($H$3,0,0,'Données projet'!$E$9+1,1))</f>
        <v>#N/A</v>
      </c>
      <c r="T135" s="60" t="e">
        <f t="shared" si="142"/>
        <v>#N/A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 t="e">
        <f>EXP(-LN(2)/35)*Z134+(1-EXP(-LN(2)/35))/(LN(2)/35)*V135*W135*VLOOKUP('Données projet'!$B$9,Paramètres!$A$1:$I$89,3,0)*0.475*44/12</f>
        <v>#N/A</v>
      </c>
      <c r="AA135" s="23" t="e">
        <f>EXP(-LN(2)/25)*AA134+(1-EXP(-LN(2)/25))/(LN(2)/25)*Calculateur!V135*Calculateur!X135*VLOOKUP('Données projet'!$B$9,Paramètres!$A$1:$I$89,3,0)*0.475*44/12</f>
        <v>#N/A</v>
      </c>
      <c r="AB135" s="23" t="e">
        <f>EXP(-LN(2)/2)*AB134+(1-EXP(-LN(2)/2))/(LN(2)/2)*V135*Y135*VLOOKUP('Données projet'!$B$9,Paramètres!$A$1:$I$89,3,0)*0.475*44/12</f>
        <v>#N/A</v>
      </c>
      <c r="AC135" s="24" t="e">
        <f t="shared" si="111"/>
        <v>#N/A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1.9863364286720756E-13</v>
      </c>
      <c r="AK135" s="14">
        <f t="shared" si="143"/>
        <v>2.7549360720371426E-12</v>
      </c>
      <c r="AL135" s="22">
        <f t="shared" si="112"/>
        <v>5.144133920125077E-12</v>
      </c>
      <c r="AM135" s="60">
        <f t="shared" si="113"/>
        <v>293.33333333333843</v>
      </c>
      <c r="AN135" s="60">
        <f ca="1">AVERAGE(OFFSET($AM$3,0,0,'Données projet'!$E$10+1,1))-AVERAGE(OFFSET($H$3,0,0,'Données projet'!$E$10+1,1))</f>
        <v>325.06345339097095</v>
      </c>
      <c r="AO135" s="60">
        <f t="shared" si="144"/>
        <v>318.90379036810754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0" t="e">
        <f t="shared" si="116"/>
        <v>#N/A</v>
      </c>
      <c r="BI135" s="60" t="e">
        <f ca="1">AVERAGE(OFFSET($BH$3,0,0,'Données projet'!$E$11+1,1))-AVERAGE(OFFSET($H$3,0,0,'Données projet'!$E$11+1,1))</f>
        <v>#N/A</v>
      </c>
      <c r="BJ135" s="60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0" t="e">
        <f t="shared" si="119"/>
        <v>#N/A</v>
      </c>
      <c r="CD135" s="60" t="e">
        <f ca="1">AVERAGE(OFFSET($CC$3,0,0,'Données projet'!$E$12+1,1))-AVERAGE(OFFSET($H$3,0,0,'Données projet'!$E$12+1,1))</f>
        <v>#N/A</v>
      </c>
      <c r="CE135" s="60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239.71583999999945</v>
      </c>
      <c r="CV135" s="14">
        <f t="shared" si="149"/>
        <v>58.378387859127884</v>
      </c>
      <c r="CW135" s="22">
        <f t="shared" si="121"/>
        <v>519.18078018798008</v>
      </c>
      <c r="CX135" s="60">
        <f t="shared" si="122"/>
        <v>812.51411352131345</v>
      </c>
      <c r="CY135" s="60">
        <f ca="1">AVERAGE(OFFSET($CX$3,0,0,'Données projet'!$E$13+1,1))-AVERAGE(OFFSET($H$3,0,0,'Données projet'!$E$13+1,1))</f>
        <v>415.50509041799154</v>
      </c>
      <c r="CZ135" s="60">
        <f t="shared" si="150"/>
        <v>239.93573789765657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2.7</v>
      </c>
      <c r="DO135" s="13">
        <f>IF('Données projet'!$A$166&gt;35,DO134+DN135-DW134,IF(A135&lt;'Données projet'!$A$166,$DL$205^A135,IF(A135='Données projet'!$A$166,'Données projet'!$B$166,DO134+DN135-DW134)))</f>
        <v>274.39999999999935</v>
      </c>
      <c r="DP135" s="18">
        <f>DO135*VLOOKUP('Données projet'!$B$14,Paramètres!$A$1:$I$89,3,0)*VLOOKUP('Données projet'!$B$14,Paramètres!$A$1:$I$89,5,0)</f>
        <v>278.24159999999938</v>
      </c>
      <c r="DQ135" s="14">
        <f t="shared" si="151"/>
        <v>66.595272276139625</v>
      </c>
      <c r="DR135" s="22">
        <f t="shared" si="124"/>
        <v>600.59088588094198</v>
      </c>
      <c r="DS135" s="60">
        <f t="shared" si="125"/>
        <v>893.92421921427535</v>
      </c>
      <c r="DT135" s="60">
        <f ca="1">AVERAGE(OFFSET($DS$3,0,0,'Données projet'!$E$14+1,1))-AVERAGE(OFFSET($H$3,0,0,'Données projet'!$E$14+1,1))</f>
        <v>475.47920969424894</v>
      </c>
      <c r="DU135" s="60">
        <f t="shared" si="152"/>
        <v>271.73544012419364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2.7</v>
      </c>
      <c r="EJ135" s="13">
        <f>IF('Données projet'!$A$192&gt;35,EJ134+EI135-ER134,IF(A135&lt;'Données projet'!$A$192,$EG$205^A135,IF(A135='Données projet'!$A$192,'Données projet'!$B$192,EJ134+EI135-ER134)))</f>
        <v>274.39999999999935</v>
      </c>
      <c r="EK135" s="18">
        <f>EJ135*VLOOKUP('Données projet'!$B$15,Paramètres!$A$1:$I$89,3,0)*VLOOKUP('Données projet'!$B$15,Paramètres!$A$1:$I$89,5,0)</f>
        <v>248.2771199999994</v>
      </c>
      <c r="EL135" s="14">
        <f t="shared" si="153"/>
        <v>60.216863677580257</v>
      </c>
      <c r="EM135" s="22">
        <f t="shared" si="127"/>
        <v>537.29368823845118</v>
      </c>
      <c r="EN135" s="60">
        <f t="shared" si="128"/>
        <v>830.62702157178455</v>
      </c>
      <c r="EO135" s="60">
        <f ca="1">AVERAGE(OFFSET($EN$3,0,0,'Données projet'!$E$15+1,1))-AVERAGE(OFFSET($H$3,0,0,'Données projet'!$E$15+1,1))</f>
        <v>428.8489304403459</v>
      </c>
      <c r="EP135" s="60">
        <f t="shared" si="154"/>
        <v>247.01165577562966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2.7</v>
      </c>
      <c r="FE135" s="13">
        <f>IF('Données projet'!$A$218&gt;35,FE134+FD135-FM134,IF(A135&lt;'Données projet'!$A$218,$FB$205^A135,IF(A135='Données projet'!$A$218,'Données projet'!$B$218,FE134+FD135-FM134)))</f>
        <v>274.39999999999935</v>
      </c>
      <c r="FF135" s="18">
        <f>FE135*VLOOKUP('Données projet'!$B$16,Paramètres!$A$1:$I$89,3,0)*VLOOKUP('Données projet'!$B$16,Paramètres!$A$1:$I$89,5,0)</f>
        <v>265.39967999999936</v>
      </c>
      <c r="FG135" s="14">
        <f t="shared" si="155"/>
        <v>63.87199095821434</v>
      </c>
      <c r="FH135" s="22">
        <f t="shared" si="130"/>
        <v>573.48149358555554</v>
      </c>
      <c r="FI135" s="60">
        <f t="shared" si="131"/>
        <v>866.81482691888891</v>
      </c>
      <c r="FJ135" s="60">
        <f ca="1">AVERAGE(OFFSET($FI$3,0,0,'Données projet'!$E$16+1,1))-AVERAGE(OFFSET($H$3,0,0,'Données projet'!$E$16+1,1))</f>
        <v>455.50822833641354</v>
      </c>
      <c r="FK135" s="60">
        <f t="shared" si="156"/>
        <v>261.14722581688039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 t="e">
        <f>N136*VLOOKUP('Données projet'!$B$9,Paramètres!$A$1:$I$89,3,0)*VLOOKUP('Données projet'!$B$9,Paramètres!$A$1:$I$89,5,0)</f>
        <v>#N/A</v>
      </c>
      <c r="P136" s="14" t="e">
        <f t="shared" si="141"/>
        <v>#N/A</v>
      </c>
      <c r="Q136" s="22" t="e">
        <f t="shared" si="108"/>
        <v>#N/A</v>
      </c>
      <c r="R136" s="60" t="e">
        <f t="shared" si="109"/>
        <v>#N/A</v>
      </c>
      <c r="S136" s="60" t="e">
        <f ca="1">AVERAGE(OFFSET($R$3,0,0,'Données projet'!$E$9+1,1))-AVERAGE(OFFSET($H$3,0,0,'Données projet'!$E$9+1,1))</f>
        <v>#N/A</v>
      </c>
      <c r="T136" s="60" t="e">
        <f t="shared" si="142"/>
        <v>#N/A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 t="e">
        <f>EXP(-LN(2)/35)*Z135+(1-EXP(-LN(2)/35))/(LN(2)/35)*V136*W136*VLOOKUP('Données projet'!$B$9,Paramètres!$A$1:$I$89,3,0)*0.475*44/12</f>
        <v>#N/A</v>
      </c>
      <c r="AA136" s="23" t="e">
        <f>EXP(-LN(2)/25)*AA135+(1-EXP(-LN(2)/25))/(LN(2)/25)*Calculateur!V136*Calculateur!X136*VLOOKUP('Données projet'!$B$9,Paramètres!$A$1:$I$89,3,0)*0.475*44/12</f>
        <v>#N/A</v>
      </c>
      <c r="AB136" s="23" t="e">
        <f>EXP(-LN(2)/2)*AB135+(1-EXP(-LN(2)/2))/(LN(2)/2)*V136*Y136*VLOOKUP('Données projet'!$B$9,Paramètres!$A$1:$I$89,3,0)*0.475*44/12</f>
        <v>#N/A</v>
      </c>
      <c r="AC136" s="24" t="e">
        <f t="shared" si="111"/>
        <v>#N/A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1.9863364286720756E-13</v>
      </c>
      <c r="AK136" s="14">
        <f t="shared" si="143"/>
        <v>2.7549360720371426E-12</v>
      </c>
      <c r="AL136" s="22">
        <f t="shared" si="112"/>
        <v>5.144133920125077E-12</v>
      </c>
      <c r="AM136" s="60">
        <f t="shared" si="113"/>
        <v>293.33333333333843</v>
      </c>
      <c r="AN136" s="60">
        <f ca="1">AVERAGE(OFFSET($AM$3,0,0,'Données projet'!$E$10+1,1))-AVERAGE(OFFSET($H$3,0,0,'Données projet'!$E$10+1,1))</f>
        <v>325.06345339097095</v>
      </c>
      <c r="AO136" s="60">
        <f t="shared" si="144"/>
        <v>318.90379036810754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0" t="e">
        <f t="shared" si="116"/>
        <v>#N/A</v>
      </c>
      <c r="BI136" s="60" t="e">
        <f ca="1">AVERAGE(OFFSET($BH$3,0,0,'Données projet'!$E$11+1,1))-AVERAGE(OFFSET($H$3,0,0,'Données projet'!$E$11+1,1))</f>
        <v>#N/A</v>
      </c>
      <c r="BJ136" s="60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0" t="e">
        <f t="shared" si="119"/>
        <v>#N/A</v>
      </c>
      <c r="CD136" s="60" t="e">
        <f ca="1">AVERAGE(OFFSET($CC$3,0,0,'Données projet'!$E$12+1,1))-AVERAGE(OFFSET($H$3,0,0,'Données projet'!$E$12+1,1))</f>
        <v>#N/A</v>
      </c>
      <c r="CE136" s="60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242.07455999999945</v>
      </c>
      <c r="CV136" s="14">
        <f t="shared" si="149"/>
        <v>58.885658340275974</v>
      </c>
      <c r="CW136" s="22">
        <f t="shared" si="121"/>
        <v>524.17238027597966</v>
      </c>
      <c r="CX136" s="60">
        <f t="shared" si="122"/>
        <v>817.50571360931303</v>
      </c>
      <c r="CY136" s="60">
        <f ca="1">AVERAGE(OFFSET($CX$3,0,0,'Données projet'!$E$13+1,1))-AVERAGE(OFFSET($H$3,0,0,'Données projet'!$E$13+1,1))</f>
        <v>415.50509041799154</v>
      </c>
      <c r="CZ136" s="60">
        <f t="shared" si="150"/>
        <v>239.93573789765657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2.7</v>
      </c>
      <c r="DO136" s="13">
        <f>IF('Données projet'!$A$166&gt;35,DO135+DN136-DW135,IF(A136&lt;'Données projet'!$A$166,$DL$205^A136,IF(A136='Données projet'!$A$166,'Données projet'!$B$166,DO135+DN136-DW135)))</f>
        <v>277.09999999999934</v>
      </c>
      <c r="DP136" s="18">
        <f>DO136*VLOOKUP('Données projet'!$B$14,Paramètres!$A$1:$I$89,3,0)*VLOOKUP('Données projet'!$B$14,Paramètres!$A$1:$I$89,5,0)</f>
        <v>280.97939999999937</v>
      </c>
      <c r="DQ136" s="14">
        <f t="shared" si="151"/>
        <v>67.173942175199301</v>
      </c>
      <c r="DR136" s="22">
        <f t="shared" si="124"/>
        <v>606.36707095513759</v>
      </c>
      <c r="DS136" s="60">
        <f t="shared" si="125"/>
        <v>899.70040428847096</v>
      </c>
      <c r="DT136" s="60">
        <f ca="1">AVERAGE(OFFSET($DS$3,0,0,'Données projet'!$E$14+1,1))-AVERAGE(OFFSET($H$3,0,0,'Données projet'!$E$14+1,1))</f>
        <v>475.47920969424894</v>
      </c>
      <c r="DU136" s="60">
        <f t="shared" si="152"/>
        <v>271.73544012419364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2.7</v>
      </c>
      <c r="EJ136" s="13">
        <f>IF('Données projet'!$A$192&gt;35,EJ135+EI136-ER135,IF(A136&lt;'Données projet'!$A$192,$EG$205^A136,IF(A136='Données projet'!$A$192,'Données projet'!$B$192,EJ135+EI136-ER135)))</f>
        <v>277.09999999999934</v>
      </c>
      <c r="EK136" s="18">
        <f>EJ136*VLOOKUP('Données projet'!$B$15,Paramètres!$A$1:$I$89,3,0)*VLOOKUP('Données projet'!$B$15,Paramètres!$A$1:$I$89,5,0)</f>
        <v>250.72007999999943</v>
      </c>
      <c r="EL136" s="14">
        <f t="shared" si="153"/>
        <v>60.740109326032709</v>
      </c>
      <c r="EM136" s="22">
        <f t="shared" si="127"/>
        <v>542.45982974283925</v>
      </c>
      <c r="EN136" s="60">
        <f t="shared" si="128"/>
        <v>835.7931630761725</v>
      </c>
      <c r="EO136" s="60">
        <f ca="1">AVERAGE(OFFSET($EN$3,0,0,'Données projet'!$E$15+1,1))-AVERAGE(OFFSET($H$3,0,0,'Données projet'!$E$15+1,1))</f>
        <v>428.8489304403459</v>
      </c>
      <c r="EP136" s="60">
        <f t="shared" si="154"/>
        <v>247.01165577562966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2.7</v>
      </c>
      <c r="FE136" s="13">
        <f>IF('Données projet'!$A$218&gt;35,FE135+FD136-FM135,IF(A136&lt;'Données projet'!$A$218,$FB$205^A136,IF(A136='Données projet'!$A$218,'Données projet'!$B$218,FE135+FD136-FM135)))</f>
        <v>277.09999999999934</v>
      </c>
      <c r="FF136" s="18">
        <f>FE136*VLOOKUP('Données projet'!$B$16,Paramètres!$A$1:$I$89,3,0)*VLOOKUP('Données projet'!$B$16,Paramètres!$A$1:$I$89,5,0)</f>
        <v>268.01111999999938</v>
      </c>
      <c r="FG136" s="14">
        <f t="shared" si="155"/>
        <v>64.426997301716739</v>
      </c>
      <c r="FH136" s="22">
        <f t="shared" si="130"/>
        <v>578.99638763382234</v>
      </c>
      <c r="FI136" s="60">
        <f t="shared" si="131"/>
        <v>872.32972096715571</v>
      </c>
      <c r="FJ136" s="60">
        <f ca="1">AVERAGE(OFFSET($FI$3,0,0,'Données projet'!$E$16+1,1))-AVERAGE(OFFSET($H$3,0,0,'Données projet'!$E$16+1,1))</f>
        <v>455.50822833641354</v>
      </c>
      <c r="FK136" s="60">
        <f t="shared" si="156"/>
        <v>261.14722581688039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 t="e">
        <f>N137*VLOOKUP('Données projet'!$B$9,Paramètres!$A$1:$I$89,3,0)*VLOOKUP('Données projet'!$B$9,Paramètres!$A$1:$I$89,5,0)</f>
        <v>#N/A</v>
      </c>
      <c r="P137" s="14" t="e">
        <f t="shared" si="141"/>
        <v>#N/A</v>
      </c>
      <c r="Q137" s="22" t="e">
        <f t="shared" si="108"/>
        <v>#N/A</v>
      </c>
      <c r="R137" s="60" t="e">
        <f t="shared" si="109"/>
        <v>#N/A</v>
      </c>
      <c r="S137" s="60" t="e">
        <f ca="1">AVERAGE(OFFSET($R$3,0,0,'Données projet'!$E$9+1,1))-AVERAGE(OFFSET($H$3,0,0,'Données projet'!$E$9+1,1))</f>
        <v>#N/A</v>
      </c>
      <c r="T137" s="60" t="e">
        <f t="shared" si="142"/>
        <v>#N/A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 t="e">
        <f>EXP(-LN(2)/35)*Z136+(1-EXP(-LN(2)/35))/(LN(2)/35)*V137*W137*VLOOKUP('Données projet'!$B$9,Paramètres!$A$1:$I$89,3,0)*0.475*44/12</f>
        <v>#N/A</v>
      </c>
      <c r="AA137" s="23" t="e">
        <f>EXP(-LN(2)/25)*AA136+(1-EXP(-LN(2)/25))/(LN(2)/25)*Calculateur!V137*Calculateur!X137*VLOOKUP('Données projet'!$B$9,Paramètres!$A$1:$I$89,3,0)*0.475*44/12</f>
        <v>#N/A</v>
      </c>
      <c r="AB137" s="23" t="e">
        <f>EXP(-LN(2)/2)*AB136+(1-EXP(-LN(2)/2))/(LN(2)/2)*V137*Y137*VLOOKUP('Données projet'!$B$9,Paramètres!$A$1:$I$89,3,0)*0.475*44/12</f>
        <v>#N/A</v>
      </c>
      <c r="AC137" s="24" t="e">
        <f t="shared" si="111"/>
        <v>#N/A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1.9863364286720756E-13</v>
      </c>
      <c r="AK137" s="14">
        <f t="shared" si="143"/>
        <v>2.7549360720371426E-12</v>
      </c>
      <c r="AL137" s="22">
        <f t="shared" si="112"/>
        <v>5.144133920125077E-12</v>
      </c>
      <c r="AM137" s="60">
        <f t="shared" si="113"/>
        <v>293.33333333333843</v>
      </c>
      <c r="AN137" s="60">
        <f ca="1">AVERAGE(OFFSET($AM$3,0,0,'Données projet'!$E$10+1,1))-AVERAGE(OFFSET($H$3,0,0,'Données projet'!$E$10+1,1))</f>
        <v>325.06345339097095</v>
      </c>
      <c r="AO137" s="60">
        <f t="shared" si="144"/>
        <v>318.90379036810754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0" t="e">
        <f t="shared" si="116"/>
        <v>#N/A</v>
      </c>
      <c r="BI137" s="60" t="e">
        <f ca="1">AVERAGE(OFFSET($BH$3,0,0,'Données projet'!$E$11+1,1))-AVERAGE(OFFSET($H$3,0,0,'Données projet'!$E$11+1,1))</f>
        <v>#N/A</v>
      </c>
      <c r="BJ137" s="60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0" t="e">
        <f t="shared" si="119"/>
        <v>#N/A</v>
      </c>
      <c r="CD137" s="60" t="e">
        <f ca="1">AVERAGE(OFFSET($CC$3,0,0,'Données projet'!$E$12+1,1))-AVERAGE(OFFSET($H$3,0,0,'Données projet'!$E$12+1,1))</f>
        <v>#N/A</v>
      </c>
      <c r="CE137" s="60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244.43327999999946</v>
      </c>
      <c r="CV137" s="14">
        <f t="shared" si="149"/>
        <v>59.392353804247641</v>
      </c>
      <c r="CW137" s="22">
        <f t="shared" si="121"/>
        <v>529.16297887573035</v>
      </c>
      <c r="CX137" s="60">
        <f t="shared" si="122"/>
        <v>822.49631220906372</v>
      </c>
      <c r="CY137" s="60">
        <f ca="1">AVERAGE(OFFSET($CX$3,0,0,'Données projet'!$E$13+1,1))-AVERAGE(OFFSET($H$3,0,0,'Données projet'!$E$13+1,1))</f>
        <v>415.50509041799154</v>
      </c>
      <c r="CZ137" s="60">
        <f t="shared" si="150"/>
        <v>239.93573789765657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2.7</v>
      </c>
      <c r="DO137" s="13">
        <f>IF('Données projet'!$A$166&gt;35,DO136+DN137-DW136,IF(A137&lt;'Données projet'!$A$166,$DL$205^A137,IF(A137='Données projet'!$A$166,'Données projet'!$B$166,DO136+DN137-DW136)))</f>
        <v>279.79999999999933</v>
      </c>
      <c r="DP137" s="18">
        <f>DO137*VLOOKUP('Données projet'!$B$14,Paramètres!$A$1:$I$89,3,0)*VLOOKUP('Données projet'!$B$14,Paramètres!$A$1:$I$89,5,0)</f>
        <v>283.71719999999937</v>
      </c>
      <c r="DQ137" s="14">
        <f t="shared" si="151"/>
        <v>67.751956122170526</v>
      </c>
      <c r="DR137" s="22">
        <f t="shared" si="124"/>
        <v>612.14211357944589</v>
      </c>
      <c r="DS137" s="60">
        <f t="shared" si="125"/>
        <v>905.47544691277926</v>
      </c>
      <c r="DT137" s="60">
        <f ca="1">AVERAGE(OFFSET($DS$3,0,0,'Données projet'!$E$14+1,1))-AVERAGE(OFFSET($H$3,0,0,'Données projet'!$E$14+1,1))</f>
        <v>475.47920969424894</v>
      </c>
      <c r="DU137" s="60">
        <f t="shared" si="152"/>
        <v>271.73544012419364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2.7</v>
      </c>
      <c r="EJ137" s="13">
        <f>IF('Données projet'!$A$192&gt;35,EJ136+EI137-ER136,IF(A137&lt;'Données projet'!$A$192,$EG$205^A137,IF(A137='Données projet'!$A$192,'Données projet'!$B$192,EJ136+EI137-ER136)))</f>
        <v>279.79999999999933</v>
      </c>
      <c r="EK137" s="18">
        <f>EJ137*VLOOKUP('Données projet'!$B$15,Paramètres!$A$1:$I$89,3,0)*VLOOKUP('Données projet'!$B$15,Paramètres!$A$1:$I$89,5,0)</f>
        <v>253.16303999999937</v>
      </c>
      <c r="EL137" s="14">
        <f t="shared" si="153"/>
        <v>61.262761848634923</v>
      </c>
      <c r="EM137" s="22">
        <f t="shared" si="127"/>
        <v>547.62493821970475</v>
      </c>
      <c r="EN137" s="60">
        <f t="shared" si="128"/>
        <v>840.958271553038</v>
      </c>
      <c r="EO137" s="60">
        <f ca="1">AVERAGE(OFFSET($EN$3,0,0,'Données projet'!$E$15+1,1))-AVERAGE(OFFSET($H$3,0,0,'Données projet'!$E$15+1,1))</f>
        <v>428.8489304403459</v>
      </c>
      <c r="EP137" s="60">
        <f t="shared" si="154"/>
        <v>247.01165577562966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2.7</v>
      </c>
      <c r="FE137" s="13">
        <f>IF('Données projet'!$A$218&gt;35,FE136+FD137-FM136,IF(A137&lt;'Données projet'!$A$218,$FB$205^A137,IF(A137='Données projet'!$A$218,'Données projet'!$B$218,FE136+FD137-FM136)))</f>
        <v>279.79999999999933</v>
      </c>
      <c r="FF137" s="18">
        <f>FE137*VLOOKUP('Données projet'!$B$16,Paramètres!$A$1:$I$89,3,0)*VLOOKUP('Données projet'!$B$16,Paramètres!$A$1:$I$89,5,0)</f>
        <v>270.62255999999934</v>
      </c>
      <c r="FG137" s="14">
        <f t="shared" si="155"/>
        <v>64.981374516987898</v>
      </c>
      <c r="FH137" s="22">
        <f t="shared" si="130"/>
        <v>584.51018595041944</v>
      </c>
      <c r="FI137" s="60">
        <f t="shared" si="131"/>
        <v>877.84351928375281</v>
      </c>
      <c r="FJ137" s="60">
        <f ca="1">AVERAGE(OFFSET($FI$3,0,0,'Données projet'!$E$16+1,1))-AVERAGE(OFFSET($H$3,0,0,'Données projet'!$E$16+1,1))</f>
        <v>455.50822833641354</v>
      </c>
      <c r="FK137" s="60">
        <f t="shared" si="156"/>
        <v>261.14722581688039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 t="e">
        <f>N138*VLOOKUP('Données projet'!$B$9,Paramètres!$A$1:$I$89,3,0)*VLOOKUP('Données projet'!$B$9,Paramètres!$A$1:$I$89,5,0)</f>
        <v>#N/A</v>
      </c>
      <c r="P138" s="14" t="e">
        <f t="shared" si="141"/>
        <v>#N/A</v>
      </c>
      <c r="Q138" s="22" t="e">
        <f t="shared" si="108"/>
        <v>#N/A</v>
      </c>
      <c r="R138" s="60" t="e">
        <f t="shared" si="109"/>
        <v>#N/A</v>
      </c>
      <c r="S138" s="60" t="e">
        <f ca="1">AVERAGE(OFFSET($R$3,0,0,'Données projet'!$E$9+1,1))-AVERAGE(OFFSET($H$3,0,0,'Données projet'!$E$9+1,1))</f>
        <v>#N/A</v>
      </c>
      <c r="T138" s="60" t="e">
        <f t="shared" si="142"/>
        <v>#N/A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 t="e">
        <f>EXP(-LN(2)/35)*Z137+(1-EXP(-LN(2)/35))/(LN(2)/35)*V138*W138*VLOOKUP('Données projet'!$B$9,Paramètres!$A$1:$I$89,3,0)*0.475*44/12</f>
        <v>#N/A</v>
      </c>
      <c r="AA138" s="23" t="e">
        <f>EXP(-LN(2)/25)*AA137+(1-EXP(-LN(2)/25))/(LN(2)/25)*Calculateur!V138*Calculateur!X138*VLOOKUP('Données projet'!$B$9,Paramètres!$A$1:$I$89,3,0)*0.475*44/12</f>
        <v>#N/A</v>
      </c>
      <c r="AB138" s="23" t="e">
        <f>EXP(-LN(2)/2)*AB137+(1-EXP(-LN(2)/2))/(LN(2)/2)*V138*Y138*VLOOKUP('Données projet'!$B$9,Paramètres!$A$1:$I$89,3,0)*0.475*44/12</f>
        <v>#N/A</v>
      </c>
      <c r="AC138" s="24" t="e">
        <f t="shared" si="111"/>
        <v>#N/A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1.9863364286720756E-13</v>
      </c>
      <c r="AK138" s="14">
        <f t="shared" si="143"/>
        <v>2.7549360720371426E-12</v>
      </c>
      <c r="AL138" s="22">
        <f t="shared" si="112"/>
        <v>5.144133920125077E-12</v>
      </c>
      <c r="AM138" s="60">
        <f t="shared" si="113"/>
        <v>293.33333333333843</v>
      </c>
      <c r="AN138" s="60">
        <f ca="1">AVERAGE(OFFSET($AM$3,0,0,'Données projet'!$E$10+1,1))-AVERAGE(OFFSET($H$3,0,0,'Données projet'!$E$10+1,1))</f>
        <v>325.06345339097095</v>
      </c>
      <c r="AO138" s="60">
        <f t="shared" si="144"/>
        <v>318.90379036810754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0" t="e">
        <f t="shared" si="116"/>
        <v>#N/A</v>
      </c>
      <c r="BI138" s="60" t="e">
        <f ca="1">AVERAGE(OFFSET($BH$3,0,0,'Données projet'!$E$11+1,1))-AVERAGE(OFFSET($H$3,0,0,'Données projet'!$E$11+1,1))</f>
        <v>#N/A</v>
      </c>
      <c r="BJ138" s="60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0" t="e">
        <f t="shared" si="119"/>
        <v>#N/A</v>
      </c>
      <c r="CD138" s="60" t="e">
        <f ca="1">AVERAGE(OFFSET($CC$3,0,0,'Données projet'!$E$12+1,1))-AVERAGE(OFFSET($H$3,0,0,'Données projet'!$E$12+1,1))</f>
        <v>#N/A</v>
      </c>
      <c r="CE138" s="60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246.7919999999994</v>
      </c>
      <c r="CV138" s="14">
        <f t="shared" si="149"/>
        <v>59.8984804424069</v>
      </c>
      <c r="CW138" s="22">
        <f t="shared" si="121"/>
        <v>534.15258677052429</v>
      </c>
      <c r="CX138" s="60">
        <f t="shared" si="122"/>
        <v>827.48592010385755</v>
      </c>
      <c r="CY138" s="60">
        <f ca="1">AVERAGE(OFFSET($CX$3,0,0,'Données projet'!$E$13+1,1))-AVERAGE(OFFSET($H$3,0,0,'Données projet'!$E$13+1,1))</f>
        <v>415.50509041799154</v>
      </c>
      <c r="CZ138" s="60">
        <f t="shared" si="150"/>
        <v>239.93573789765657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2.7</v>
      </c>
      <c r="DO138" s="13">
        <f>IF('Données projet'!$A$166&gt;35,DO137+DN138-DW137,IF(A138&lt;'Données projet'!$A$166,$DL$205^A138,IF(A138='Données projet'!$A$166,'Données projet'!$B$166,DO137+DN138-DW137)))</f>
        <v>282.49999999999932</v>
      </c>
      <c r="DP138" s="18">
        <f>DO138*VLOOKUP('Données projet'!$B$14,Paramètres!$A$1:$I$89,3,0)*VLOOKUP('Données projet'!$B$14,Paramètres!$A$1:$I$89,5,0)</f>
        <v>286.45499999999936</v>
      </c>
      <c r="DQ138" s="14">
        <f t="shared" si="151"/>
        <v>68.329321179865531</v>
      </c>
      <c r="DR138" s="22">
        <f t="shared" si="124"/>
        <v>617.91602605493142</v>
      </c>
      <c r="DS138" s="60">
        <f t="shared" si="125"/>
        <v>911.24935938826479</v>
      </c>
      <c r="DT138" s="60">
        <f ca="1">AVERAGE(OFFSET($DS$3,0,0,'Données projet'!$E$14+1,1))-AVERAGE(OFFSET($H$3,0,0,'Données projet'!$E$14+1,1))</f>
        <v>475.47920969424894</v>
      </c>
      <c r="DU138" s="60">
        <f t="shared" si="152"/>
        <v>271.73544012419364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2.7</v>
      </c>
      <c r="EJ138" s="13">
        <f>IF('Données projet'!$A$192&gt;35,EJ137+EI138-ER137,IF(A138&lt;'Données projet'!$A$192,$EG$205^A138,IF(A138='Données projet'!$A$192,'Données projet'!$B$192,EJ137+EI138-ER137)))</f>
        <v>282.49999999999932</v>
      </c>
      <c r="EK138" s="18">
        <f>EJ138*VLOOKUP('Données projet'!$B$15,Paramètres!$A$1:$I$89,3,0)*VLOOKUP('Données projet'!$B$15,Paramètres!$A$1:$I$89,5,0)</f>
        <v>255.60599999999937</v>
      </c>
      <c r="EL138" s="14">
        <f t="shared" si="153"/>
        <v>61.784827631732192</v>
      </c>
      <c r="EM138" s="22">
        <f t="shared" si="127"/>
        <v>552.78902479193243</v>
      </c>
      <c r="EN138" s="60">
        <f t="shared" si="128"/>
        <v>846.12235812526569</v>
      </c>
      <c r="EO138" s="60">
        <f ca="1">AVERAGE(OFFSET($EN$3,0,0,'Données projet'!$E$15+1,1))-AVERAGE(OFFSET($H$3,0,0,'Données projet'!$E$15+1,1))</f>
        <v>428.8489304403459</v>
      </c>
      <c r="EP138" s="60">
        <f t="shared" si="154"/>
        <v>247.01165577562966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2.7</v>
      </c>
      <c r="FE138" s="13">
        <f>IF('Données projet'!$A$218&gt;35,FE137+FD138-FM137,IF(A138&lt;'Données projet'!$A$218,$FB$205^A138,IF(A138='Données projet'!$A$218,'Données projet'!$B$218,FE137+FD138-FM137)))</f>
        <v>282.49999999999932</v>
      </c>
      <c r="FF138" s="18">
        <f>FE138*VLOOKUP('Données projet'!$B$16,Paramètres!$A$1:$I$89,3,0)*VLOOKUP('Données projet'!$B$16,Paramètres!$A$1:$I$89,5,0)</f>
        <v>273.23399999999936</v>
      </c>
      <c r="FG138" s="14">
        <f t="shared" si="155"/>
        <v>65.535129378020301</v>
      </c>
      <c r="FH138" s="22">
        <f t="shared" si="130"/>
        <v>590.0229003333842</v>
      </c>
      <c r="FI138" s="60">
        <f t="shared" si="131"/>
        <v>883.35623366671757</v>
      </c>
      <c r="FJ138" s="60">
        <f ca="1">AVERAGE(OFFSET($FI$3,0,0,'Données projet'!$E$16+1,1))-AVERAGE(OFFSET($H$3,0,0,'Données projet'!$E$16+1,1))</f>
        <v>455.50822833641354</v>
      </c>
      <c r="FK138" s="60">
        <f t="shared" si="156"/>
        <v>261.14722581688039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 t="e">
        <f>N139*VLOOKUP('Données projet'!$B$9,Paramètres!$A$1:$I$89,3,0)*VLOOKUP('Données projet'!$B$9,Paramètres!$A$1:$I$89,5,0)</f>
        <v>#N/A</v>
      </c>
      <c r="P139" s="14" t="e">
        <f t="shared" si="141"/>
        <v>#N/A</v>
      </c>
      <c r="Q139" s="22" t="e">
        <f t="shared" si="108"/>
        <v>#N/A</v>
      </c>
      <c r="R139" s="60" t="e">
        <f t="shared" si="109"/>
        <v>#N/A</v>
      </c>
      <c r="S139" s="60" t="e">
        <f ca="1">AVERAGE(OFFSET($R$3,0,0,'Données projet'!$E$9+1,1))-AVERAGE(OFFSET($H$3,0,0,'Données projet'!$E$9+1,1))</f>
        <v>#N/A</v>
      </c>
      <c r="T139" s="60" t="e">
        <f t="shared" si="142"/>
        <v>#N/A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 t="e">
        <f>EXP(-LN(2)/35)*Z138+(1-EXP(-LN(2)/35))/(LN(2)/35)*V139*W139*VLOOKUP('Données projet'!$B$9,Paramètres!$A$1:$I$89,3,0)*0.475*44/12</f>
        <v>#N/A</v>
      </c>
      <c r="AA139" s="23" t="e">
        <f>EXP(-LN(2)/25)*AA138+(1-EXP(-LN(2)/25))/(LN(2)/25)*Calculateur!V139*Calculateur!X139*VLOOKUP('Données projet'!$B$9,Paramètres!$A$1:$I$89,3,0)*0.475*44/12</f>
        <v>#N/A</v>
      </c>
      <c r="AB139" s="23" t="e">
        <f>EXP(-LN(2)/2)*AB138+(1-EXP(-LN(2)/2))/(LN(2)/2)*V139*Y139*VLOOKUP('Données projet'!$B$9,Paramètres!$A$1:$I$89,3,0)*0.475*44/12</f>
        <v>#N/A</v>
      </c>
      <c r="AC139" s="24" t="e">
        <f t="shared" si="111"/>
        <v>#N/A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1.9863364286720756E-13</v>
      </c>
      <c r="AK139" s="14">
        <f t="shared" si="143"/>
        <v>2.7549360720371426E-12</v>
      </c>
      <c r="AL139" s="22">
        <f t="shared" si="112"/>
        <v>5.144133920125077E-12</v>
      </c>
      <c r="AM139" s="60">
        <f t="shared" si="113"/>
        <v>293.33333333333843</v>
      </c>
      <c r="AN139" s="60">
        <f ca="1">AVERAGE(OFFSET($AM$3,0,0,'Données projet'!$E$10+1,1))-AVERAGE(OFFSET($H$3,0,0,'Données projet'!$E$10+1,1))</f>
        <v>325.06345339097095</v>
      </c>
      <c r="AO139" s="60">
        <f t="shared" si="144"/>
        <v>318.90379036810754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0" t="e">
        <f t="shared" si="116"/>
        <v>#N/A</v>
      </c>
      <c r="BI139" s="60" t="e">
        <f ca="1">AVERAGE(OFFSET($BH$3,0,0,'Données projet'!$E$11+1,1))-AVERAGE(OFFSET($H$3,0,0,'Données projet'!$E$11+1,1))</f>
        <v>#N/A</v>
      </c>
      <c r="BJ139" s="60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0" t="e">
        <f t="shared" si="119"/>
        <v>#N/A</v>
      </c>
      <c r="CD139" s="60" t="e">
        <f ca="1">AVERAGE(OFFSET($CC$3,0,0,'Données projet'!$E$12+1,1))-AVERAGE(OFFSET($H$3,0,0,'Données projet'!$E$12+1,1))</f>
        <v>#N/A</v>
      </c>
      <c r="CE139" s="60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249.15071999999941</v>
      </c>
      <c r="CV139" s="14">
        <f t="shared" si="149"/>
        <v>60.404044320946142</v>
      </c>
      <c r="CW139" s="22">
        <f t="shared" si="121"/>
        <v>539.14121452564689</v>
      </c>
      <c r="CX139" s="60">
        <f t="shared" si="122"/>
        <v>832.47454785898026</v>
      </c>
      <c r="CY139" s="60">
        <f ca="1">AVERAGE(OFFSET($CX$3,0,0,'Données projet'!$E$13+1,1))-AVERAGE(OFFSET($H$3,0,0,'Données projet'!$E$13+1,1))</f>
        <v>415.50509041799154</v>
      </c>
      <c r="CZ139" s="60">
        <f t="shared" si="150"/>
        <v>239.93573789765657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2.7</v>
      </c>
      <c r="DO139" s="13">
        <f>IF('Données projet'!$A$166&gt;35,DO138+DN139-DW138,IF(A139&lt;'Données projet'!$A$166,$DL$205^A139,IF(A139='Données projet'!$A$166,'Données projet'!$B$166,DO138+DN139-DW138)))</f>
        <v>285.19999999999931</v>
      </c>
      <c r="DP139" s="18">
        <f>DO139*VLOOKUP('Données projet'!$B$14,Paramètres!$A$1:$I$89,3,0)*VLOOKUP('Données projet'!$B$14,Paramètres!$A$1:$I$89,5,0)</f>
        <v>289.19279999999935</v>
      </c>
      <c r="DQ139" s="14">
        <f t="shared" si="151"/>
        <v>68.906044268306161</v>
      </c>
      <c r="DR139" s="22">
        <f t="shared" si="124"/>
        <v>623.68882043396547</v>
      </c>
      <c r="DS139" s="60">
        <f t="shared" si="125"/>
        <v>917.02215376729873</v>
      </c>
      <c r="DT139" s="60">
        <f ca="1">AVERAGE(OFFSET($DS$3,0,0,'Données projet'!$E$14+1,1))-AVERAGE(OFFSET($H$3,0,0,'Données projet'!$E$14+1,1))</f>
        <v>475.47920969424894</v>
      </c>
      <c r="DU139" s="60">
        <f t="shared" si="152"/>
        <v>271.73544012419364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2.7</v>
      </c>
      <c r="EJ139" s="13">
        <f>IF('Données projet'!$A$192&gt;35,EJ138+EI139-ER138,IF(A139&lt;'Données projet'!$A$192,$EG$205^A139,IF(A139='Données projet'!$A$192,'Données projet'!$B$192,EJ138+EI139-ER138)))</f>
        <v>285.19999999999931</v>
      </c>
      <c r="EK139" s="18">
        <f>EJ139*VLOOKUP('Données projet'!$B$15,Paramètres!$A$1:$I$89,3,0)*VLOOKUP('Données projet'!$B$15,Paramètres!$A$1:$I$89,5,0)</f>
        <v>258.0489599999994</v>
      </c>
      <c r="EL139" s="14">
        <f t="shared" si="153"/>
        <v>62.306312932555649</v>
      </c>
      <c r="EM139" s="22">
        <f t="shared" si="127"/>
        <v>557.95210035753337</v>
      </c>
      <c r="EN139" s="60">
        <f t="shared" si="128"/>
        <v>851.28543369086674</v>
      </c>
      <c r="EO139" s="60">
        <f ca="1">AVERAGE(OFFSET($EN$3,0,0,'Données projet'!$E$15+1,1))-AVERAGE(OFFSET($H$3,0,0,'Données projet'!$E$15+1,1))</f>
        <v>428.8489304403459</v>
      </c>
      <c r="EP139" s="60">
        <f t="shared" si="154"/>
        <v>247.01165577562966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2.7</v>
      </c>
      <c r="FE139" s="13">
        <f>IF('Données projet'!$A$218&gt;35,FE138+FD139-FM138,IF(A139&lt;'Données projet'!$A$218,$FB$205^A139,IF(A139='Données projet'!$A$218,'Données projet'!$B$218,FE138+FD139-FM138)))</f>
        <v>285.19999999999931</v>
      </c>
      <c r="FF139" s="18">
        <f>FE139*VLOOKUP('Données projet'!$B$16,Paramètres!$A$1:$I$89,3,0)*VLOOKUP('Données projet'!$B$16,Paramètres!$A$1:$I$89,5,0)</f>
        <v>275.84543999999931</v>
      </c>
      <c r="FG139" s="14">
        <f t="shared" si="155"/>
        <v>66.088268521855113</v>
      </c>
      <c r="FH139" s="22">
        <f t="shared" si="130"/>
        <v>595.53454234222977</v>
      </c>
      <c r="FI139" s="60">
        <f t="shared" si="131"/>
        <v>888.86787567556303</v>
      </c>
      <c r="FJ139" s="60">
        <f ca="1">AVERAGE(OFFSET($FI$3,0,0,'Données projet'!$E$16+1,1))-AVERAGE(OFFSET($H$3,0,0,'Données projet'!$E$16+1,1))</f>
        <v>455.50822833641354</v>
      </c>
      <c r="FK139" s="60">
        <f t="shared" si="156"/>
        <v>261.14722581688039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 t="e">
        <f>N140*VLOOKUP('Données projet'!$B$9,Paramètres!$A$1:$I$89,3,0)*VLOOKUP('Données projet'!$B$9,Paramètres!$A$1:$I$89,5,0)</f>
        <v>#N/A</v>
      </c>
      <c r="P140" s="14" t="e">
        <f t="shared" si="141"/>
        <v>#N/A</v>
      </c>
      <c r="Q140" s="22" t="e">
        <f t="shared" si="108"/>
        <v>#N/A</v>
      </c>
      <c r="R140" s="60" t="e">
        <f t="shared" si="109"/>
        <v>#N/A</v>
      </c>
      <c r="S140" s="60" t="e">
        <f ca="1">AVERAGE(OFFSET($R$3,0,0,'Données projet'!$E$9+1,1))-AVERAGE(OFFSET($H$3,0,0,'Données projet'!$E$9+1,1))</f>
        <v>#N/A</v>
      </c>
      <c r="T140" s="60" t="e">
        <f t="shared" si="142"/>
        <v>#N/A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 t="e">
        <f>EXP(-LN(2)/35)*Z139+(1-EXP(-LN(2)/35))/(LN(2)/35)*V140*W140*VLOOKUP('Données projet'!$B$9,Paramètres!$A$1:$I$89,3,0)*0.475*44/12</f>
        <v>#N/A</v>
      </c>
      <c r="AA140" s="23" t="e">
        <f>EXP(-LN(2)/25)*AA139+(1-EXP(-LN(2)/25))/(LN(2)/25)*Calculateur!V140*Calculateur!X140*VLOOKUP('Données projet'!$B$9,Paramètres!$A$1:$I$89,3,0)*0.475*44/12</f>
        <v>#N/A</v>
      </c>
      <c r="AB140" s="23" t="e">
        <f>EXP(-LN(2)/2)*AB139+(1-EXP(-LN(2)/2))/(LN(2)/2)*V140*Y140*VLOOKUP('Données projet'!$B$9,Paramètres!$A$1:$I$89,3,0)*0.475*44/12</f>
        <v>#N/A</v>
      </c>
      <c r="AC140" s="24" t="e">
        <f t="shared" si="111"/>
        <v>#N/A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1.9863364286720756E-13</v>
      </c>
      <c r="AK140" s="14">
        <f t="shared" si="143"/>
        <v>2.7549360720371426E-12</v>
      </c>
      <c r="AL140" s="22">
        <f t="shared" si="112"/>
        <v>5.144133920125077E-12</v>
      </c>
      <c r="AM140" s="60">
        <f t="shared" si="113"/>
        <v>293.33333333333843</v>
      </c>
      <c r="AN140" s="60">
        <f ca="1">AVERAGE(OFFSET($AM$3,0,0,'Données projet'!$E$10+1,1))-AVERAGE(OFFSET($H$3,0,0,'Données projet'!$E$10+1,1))</f>
        <v>325.06345339097095</v>
      </c>
      <c r="AO140" s="60">
        <f t="shared" si="144"/>
        <v>318.90379036810754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0" t="e">
        <f t="shared" si="116"/>
        <v>#N/A</v>
      </c>
      <c r="BI140" s="60" t="e">
        <f ca="1">AVERAGE(OFFSET($BH$3,0,0,'Données projet'!$E$11+1,1))-AVERAGE(OFFSET($H$3,0,0,'Données projet'!$E$11+1,1))</f>
        <v>#N/A</v>
      </c>
      <c r="BJ140" s="60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0" t="e">
        <f t="shared" si="119"/>
        <v>#N/A</v>
      </c>
      <c r="CD140" s="60" t="e">
        <f ca="1">AVERAGE(OFFSET($CC$3,0,0,'Données projet'!$E$12+1,1))-AVERAGE(OFFSET($H$3,0,0,'Données projet'!$E$12+1,1))</f>
        <v>#N/A</v>
      </c>
      <c r="CE140" s="60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251.50943999999942</v>
      </c>
      <c r="CV140" s="14">
        <f t="shared" si="149"/>
        <v>60.909051384576422</v>
      </c>
      <c r="CW140" s="22">
        <f t="shared" si="121"/>
        <v>544.12887249480286</v>
      </c>
      <c r="CX140" s="60">
        <f t="shared" si="122"/>
        <v>837.46220582813612</v>
      </c>
      <c r="CY140" s="60">
        <f ca="1">AVERAGE(OFFSET($CX$3,0,0,'Données projet'!$E$13+1,1))-AVERAGE(OFFSET($H$3,0,0,'Données projet'!$E$13+1,1))</f>
        <v>415.50509041799154</v>
      </c>
      <c r="CZ140" s="60">
        <f t="shared" si="150"/>
        <v>239.93573789765657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2.7</v>
      </c>
      <c r="DO140" s="13">
        <f>IF('Données projet'!$A$166&gt;35,DO139+DN140-DW139,IF(A140&lt;'Données projet'!$A$166,$DL$205^A140,IF(A140='Données projet'!$A$166,'Données projet'!$B$166,DO139+DN140-DW139)))</f>
        <v>287.8999999999993</v>
      </c>
      <c r="DP140" s="18">
        <f>DO140*VLOOKUP('Données projet'!$B$14,Paramètres!$A$1:$I$89,3,0)*VLOOKUP('Données projet'!$B$14,Paramètres!$A$1:$I$89,5,0)</f>
        <v>291.93059999999929</v>
      </c>
      <c r="DQ140" s="14">
        <f t="shared" si="151"/>
        <v>69.482132168934584</v>
      </c>
      <c r="DR140" s="22">
        <f t="shared" si="124"/>
        <v>629.4605085275598</v>
      </c>
      <c r="DS140" s="60">
        <f t="shared" si="125"/>
        <v>922.79384186089305</v>
      </c>
      <c r="DT140" s="60">
        <f ca="1">AVERAGE(OFFSET($DS$3,0,0,'Données projet'!$E$14+1,1))-AVERAGE(OFFSET($H$3,0,0,'Données projet'!$E$14+1,1))</f>
        <v>475.47920969424894</v>
      </c>
      <c r="DU140" s="60">
        <f t="shared" si="152"/>
        <v>271.73544012419364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2.7</v>
      </c>
      <c r="EJ140" s="13">
        <f>IF('Données projet'!$A$192&gt;35,EJ139+EI140-ER139,IF(A140&lt;'Données projet'!$A$192,$EG$205^A140,IF(A140='Données projet'!$A$192,'Données projet'!$B$192,EJ139+EI140-ER139)))</f>
        <v>287.8999999999993</v>
      </c>
      <c r="EK140" s="18">
        <f>EJ140*VLOOKUP('Données projet'!$B$15,Paramètres!$A$1:$I$89,3,0)*VLOOKUP('Données projet'!$B$15,Paramètres!$A$1:$I$89,5,0)</f>
        <v>260.49191999999937</v>
      </c>
      <c r="EL140" s="14">
        <f t="shared" si="153"/>
        <v>62.827223883029681</v>
      </c>
      <c r="EM140" s="22">
        <f t="shared" si="127"/>
        <v>563.11417559627546</v>
      </c>
      <c r="EN140" s="60">
        <f t="shared" si="128"/>
        <v>856.44750892960883</v>
      </c>
      <c r="EO140" s="60">
        <f ca="1">AVERAGE(OFFSET($EN$3,0,0,'Données projet'!$E$15+1,1))-AVERAGE(OFFSET($H$3,0,0,'Données projet'!$E$15+1,1))</f>
        <v>428.8489304403459</v>
      </c>
      <c r="EP140" s="60">
        <f t="shared" si="154"/>
        <v>247.01165577562966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2.7</v>
      </c>
      <c r="FE140" s="13">
        <f>IF('Données projet'!$A$218&gt;35,FE139+FD140-FM139,IF(A140&lt;'Données projet'!$A$218,$FB$205^A140,IF(A140='Données projet'!$A$218,'Données projet'!$B$218,FE139+FD140-FM139)))</f>
        <v>287.8999999999993</v>
      </c>
      <c r="FF140" s="18">
        <f>FE140*VLOOKUP('Données projet'!$B$16,Paramètres!$A$1:$I$89,3,0)*VLOOKUP('Données projet'!$B$16,Paramètres!$A$1:$I$89,5,0)</f>
        <v>278.45687999999933</v>
      </c>
      <c r="FG140" s="14">
        <f t="shared" si="155"/>
        <v>66.640798452620999</v>
      </c>
      <c r="FH140" s="22">
        <f t="shared" si="130"/>
        <v>601.04512330498039</v>
      </c>
      <c r="FI140" s="60">
        <f t="shared" si="131"/>
        <v>894.37845663831376</v>
      </c>
      <c r="FJ140" s="60">
        <f ca="1">AVERAGE(OFFSET($FI$3,0,0,'Données projet'!$E$16+1,1))-AVERAGE(OFFSET($H$3,0,0,'Données projet'!$E$16+1,1))</f>
        <v>455.50822833641354</v>
      </c>
      <c r="FK140" s="60">
        <f t="shared" si="156"/>
        <v>261.14722581688039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 t="e">
        <f>N141*VLOOKUP('Données projet'!$B$9,Paramètres!$A$1:$I$89,3,0)*VLOOKUP('Données projet'!$B$9,Paramètres!$A$1:$I$89,5,0)</f>
        <v>#N/A</v>
      </c>
      <c r="P141" s="14" t="e">
        <f t="shared" si="141"/>
        <v>#N/A</v>
      </c>
      <c r="Q141" s="22" t="e">
        <f t="shared" si="108"/>
        <v>#N/A</v>
      </c>
      <c r="R141" s="60" t="e">
        <f t="shared" si="109"/>
        <v>#N/A</v>
      </c>
      <c r="S141" s="60" t="e">
        <f ca="1">AVERAGE(OFFSET($R$3,0,0,'Données projet'!$E$9+1,1))-AVERAGE(OFFSET($H$3,0,0,'Données projet'!$E$9+1,1))</f>
        <v>#N/A</v>
      </c>
      <c r="T141" s="60" t="e">
        <f t="shared" si="142"/>
        <v>#N/A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 t="e">
        <f>EXP(-LN(2)/35)*Z140+(1-EXP(-LN(2)/35))/(LN(2)/35)*V141*W141*VLOOKUP('Données projet'!$B$9,Paramètres!$A$1:$I$89,3,0)*0.475*44/12</f>
        <v>#N/A</v>
      </c>
      <c r="AA141" s="23" t="e">
        <f>EXP(-LN(2)/25)*AA140+(1-EXP(-LN(2)/25))/(LN(2)/25)*Calculateur!V141*Calculateur!X141*VLOOKUP('Données projet'!$B$9,Paramètres!$A$1:$I$89,3,0)*0.475*44/12</f>
        <v>#N/A</v>
      </c>
      <c r="AB141" s="23" t="e">
        <f>EXP(-LN(2)/2)*AB140+(1-EXP(-LN(2)/2))/(LN(2)/2)*V141*Y141*VLOOKUP('Données projet'!$B$9,Paramètres!$A$1:$I$89,3,0)*0.475*44/12</f>
        <v>#N/A</v>
      </c>
      <c r="AC141" s="24" t="e">
        <f t="shared" si="111"/>
        <v>#N/A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1.9863364286720756E-13</v>
      </c>
      <c r="AK141" s="14">
        <f t="shared" si="143"/>
        <v>2.7549360720371426E-12</v>
      </c>
      <c r="AL141" s="22">
        <f t="shared" si="112"/>
        <v>5.144133920125077E-12</v>
      </c>
      <c r="AM141" s="60">
        <f t="shared" si="113"/>
        <v>293.33333333333843</v>
      </c>
      <c r="AN141" s="60">
        <f ca="1">AVERAGE(OFFSET($AM$3,0,0,'Données projet'!$E$10+1,1))-AVERAGE(OFFSET($H$3,0,0,'Données projet'!$E$10+1,1))</f>
        <v>325.06345339097095</v>
      </c>
      <c r="AO141" s="60">
        <f t="shared" si="144"/>
        <v>318.90379036810754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0" t="e">
        <f t="shared" si="116"/>
        <v>#N/A</v>
      </c>
      <c r="BI141" s="60" t="e">
        <f ca="1">AVERAGE(OFFSET($BH$3,0,0,'Données projet'!$E$11+1,1))-AVERAGE(OFFSET($H$3,0,0,'Données projet'!$E$11+1,1))</f>
        <v>#N/A</v>
      </c>
      <c r="BJ141" s="60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0" t="e">
        <f t="shared" si="119"/>
        <v>#N/A</v>
      </c>
      <c r="CD141" s="60" t="e">
        <f ca="1">AVERAGE(OFFSET($CC$3,0,0,'Données projet'!$E$12+1,1))-AVERAGE(OFFSET($H$3,0,0,'Données projet'!$E$12+1,1))</f>
        <v>#N/A</v>
      </c>
      <c r="CE141" s="60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253.86815999999942</v>
      </c>
      <c r="CV141" s="14">
        <f t="shared" si="149"/>
        <v>61.413507460076787</v>
      </c>
      <c r="CW141" s="22">
        <f t="shared" si="121"/>
        <v>549.1155708262994</v>
      </c>
      <c r="CX141" s="60">
        <f t="shared" si="122"/>
        <v>842.44890415963278</v>
      </c>
      <c r="CY141" s="60">
        <f ca="1">AVERAGE(OFFSET($CX$3,0,0,'Données projet'!$E$13+1,1))-AVERAGE(OFFSET($H$3,0,0,'Données projet'!$E$13+1,1))</f>
        <v>415.50509041799154</v>
      </c>
      <c r="CZ141" s="60">
        <f t="shared" si="150"/>
        <v>239.93573789765657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2.7</v>
      </c>
      <c r="DO141" s="13">
        <f>IF('Données projet'!$A$166&gt;35,DO140+DN141-DW140,IF(A141&lt;'Données projet'!$A$166,$DL$205^A141,IF(A141='Données projet'!$A$166,'Données projet'!$B$166,DO140+DN141-DW140)))</f>
        <v>290.59999999999928</v>
      </c>
      <c r="DP141" s="18">
        <f>DO141*VLOOKUP('Données projet'!$B$14,Paramètres!$A$1:$I$89,3,0)*VLOOKUP('Données projet'!$B$14,Paramètres!$A$1:$I$89,5,0)</f>
        <v>294.66839999999928</v>
      </c>
      <c r="DQ141" s="14">
        <f t="shared" si="151"/>
        <v>70.057591528661433</v>
      </c>
      <c r="DR141" s="22">
        <f t="shared" si="124"/>
        <v>635.23110191241733</v>
      </c>
      <c r="DS141" s="60">
        <f t="shared" si="125"/>
        <v>928.5644352457507</v>
      </c>
      <c r="DT141" s="60">
        <f ca="1">AVERAGE(OFFSET($DS$3,0,0,'Données projet'!$E$14+1,1))-AVERAGE(OFFSET($H$3,0,0,'Données projet'!$E$14+1,1))</f>
        <v>475.47920969424894</v>
      </c>
      <c r="DU141" s="60">
        <f t="shared" si="152"/>
        <v>271.73544012419364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2.7</v>
      </c>
      <c r="EJ141" s="13">
        <f>IF('Données projet'!$A$192&gt;35,EJ140+EI141-ER140,IF(A141&lt;'Données projet'!$A$192,$EG$205^A141,IF(A141='Données projet'!$A$192,'Données projet'!$B$192,EJ140+EI141-ER140)))</f>
        <v>290.59999999999928</v>
      </c>
      <c r="EK141" s="18">
        <f>EJ141*VLOOKUP('Données projet'!$B$15,Paramètres!$A$1:$I$89,3,0)*VLOOKUP('Données projet'!$B$15,Paramètres!$A$1:$I$89,5,0)</f>
        <v>262.93487999999934</v>
      </c>
      <c r="EL141" s="14">
        <f t="shared" si="153"/>
        <v>63.347566493432652</v>
      </c>
      <c r="EM141" s="22">
        <f t="shared" si="127"/>
        <v>568.27526097606062</v>
      </c>
      <c r="EN141" s="60">
        <f t="shared" si="128"/>
        <v>861.60859430939399</v>
      </c>
      <c r="EO141" s="60">
        <f ca="1">AVERAGE(OFFSET($EN$3,0,0,'Données projet'!$E$15+1,1))-AVERAGE(OFFSET($H$3,0,0,'Données projet'!$E$15+1,1))</f>
        <v>428.8489304403459</v>
      </c>
      <c r="EP141" s="60">
        <f t="shared" si="154"/>
        <v>247.01165577562966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2.7</v>
      </c>
      <c r="FE141" s="13">
        <f>IF('Données projet'!$A$218&gt;35,FE140+FD141-FM140,IF(A141&lt;'Données projet'!$A$218,$FB$205^A141,IF(A141='Données projet'!$A$218,'Données projet'!$B$218,FE140+FD141-FM140)))</f>
        <v>290.59999999999928</v>
      </c>
      <c r="FF141" s="18">
        <f>FE141*VLOOKUP('Données projet'!$B$16,Paramètres!$A$1:$I$89,3,0)*VLOOKUP('Données projet'!$B$16,Paramètres!$A$1:$I$89,5,0)</f>
        <v>281.06831999999929</v>
      </c>
      <c r="FG141" s="14">
        <f t="shared" si="155"/>
        <v>67.192725545416536</v>
      </c>
      <c r="FH141" s="22">
        <f t="shared" si="130"/>
        <v>606.55465432493247</v>
      </c>
      <c r="FI141" s="60">
        <f t="shared" si="131"/>
        <v>899.88798765826573</v>
      </c>
      <c r="FJ141" s="60">
        <f ca="1">AVERAGE(OFFSET($FI$3,0,0,'Données projet'!$E$16+1,1))-AVERAGE(OFFSET($H$3,0,0,'Données projet'!$E$16+1,1))</f>
        <v>455.50822833641354</v>
      </c>
      <c r="FK141" s="60">
        <f t="shared" si="156"/>
        <v>261.14722581688039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 t="e">
        <f>N142*VLOOKUP('Données projet'!$B$9,Paramètres!$A$1:$I$89,3,0)*VLOOKUP('Données projet'!$B$9,Paramètres!$A$1:$I$89,5,0)</f>
        <v>#N/A</v>
      </c>
      <c r="P142" s="14" t="e">
        <f t="shared" si="141"/>
        <v>#N/A</v>
      </c>
      <c r="Q142" s="22" t="e">
        <f t="shared" si="108"/>
        <v>#N/A</v>
      </c>
      <c r="R142" s="60" t="e">
        <f t="shared" si="109"/>
        <v>#N/A</v>
      </c>
      <c r="S142" s="60" t="e">
        <f ca="1">AVERAGE(OFFSET($R$3,0,0,'Données projet'!$E$9+1,1))-AVERAGE(OFFSET($H$3,0,0,'Données projet'!$E$9+1,1))</f>
        <v>#N/A</v>
      </c>
      <c r="T142" s="60" t="e">
        <f t="shared" si="142"/>
        <v>#N/A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 t="e">
        <f>EXP(-LN(2)/35)*Z141+(1-EXP(-LN(2)/35))/(LN(2)/35)*V142*W142*VLOOKUP('Données projet'!$B$9,Paramètres!$A$1:$I$89,3,0)*0.475*44/12</f>
        <v>#N/A</v>
      </c>
      <c r="AA142" s="23" t="e">
        <f>EXP(-LN(2)/25)*AA141+(1-EXP(-LN(2)/25))/(LN(2)/25)*Calculateur!V142*Calculateur!X142*VLOOKUP('Données projet'!$B$9,Paramètres!$A$1:$I$89,3,0)*0.475*44/12</f>
        <v>#N/A</v>
      </c>
      <c r="AB142" s="23" t="e">
        <f>EXP(-LN(2)/2)*AB141+(1-EXP(-LN(2)/2))/(LN(2)/2)*V142*Y142*VLOOKUP('Données projet'!$B$9,Paramètres!$A$1:$I$89,3,0)*0.475*44/12</f>
        <v>#N/A</v>
      </c>
      <c r="AC142" s="24" t="e">
        <f t="shared" si="111"/>
        <v>#N/A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1.9863364286720756E-13</v>
      </c>
      <c r="AK142" s="14">
        <f t="shared" si="143"/>
        <v>2.7549360720371426E-12</v>
      </c>
      <c r="AL142" s="22">
        <f t="shared" si="112"/>
        <v>5.144133920125077E-12</v>
      </c>
      <c r="AM142" s="60">
        <f t="shared" si="113"/>
        <v>293.33333333333843</v>
      </c>
      <c r="AN142" s="60">
        <f ca="1">AVERAGE(OFFSET($AM$3,0,0,'Données projet'!$E$10+1,1))-AVERAGE(OFFSET($H$3,0,0,'Données projet'!$E$10+1,1))</f>
        <v>325.06345339097095</v>
      </c>
      <c r="AO142" s="60">
        <f t="shared" si="144"/>
        <v>318.90379036810754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0" t="e">
        <f t="shared" si="116"/>
        <v>#N/A</v>
      </c>
      <c r="BI142" s="60" t="e">
        <f ca="1">AVERAGE(OFFSET($BH$3,0,0,'Données projet'!$E$11+1,1))-AVERAGE(OFFSET($H$3,0,0,'Données projet'!$E$11+1,1))</f>
        <v>#N/A</v>
      </c>
      <c r="BJ142" s="60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0" t="e">
        <f t="shared" si="119"/>
        <v>#N/A</v>
      </c>
      <c r="CD142" s="60" t="e">
        <f ca="1">AVERAGE(OFFSET($CC$3,0,0,'Données projet'!$E$12+1,1))-AVERAGE(OFFSET($H$3,0,0,'Données projet'!$E$12+1,1))</f>
        <v>#N/A</v>
      </c>
      <c r="CE142" s="60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256.22687999999943</v>
      </c>
      <c r="CV142" s="14">
        <f t="shared" si="149"/>
        <v>61.917418259707119</v>
      </c>
      <c r="CW142" s="22">
        <f t="shared" si="121"/>
        <v>554.10131946898889</v>
      </c>
      <c r="CX142" s="60">
        <f t="shared" si="122"/>
        <v>847.43465280232226</v>
      </c>
      <c r="CY142" s="60">
        <f ca="1">AVERAGE(OFFSET($CX$3,0,0,'Données projet'!$E$13+1,1))-AVERAGE(OFFSET($H$3,0,0,'Données projet'!$E$13+1,1))</f>
        <v>415.50509041799154</v>
      </c>
      <c r="CZ142" s="60">
        <f t="shared" si="150"/>
        <v>239.93573789765657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2.7</v>
      </c>
      <c r="DO142" s="13">
        <f>IF('Données projet'!$A$166&gt;35,DO141+DN142-DW141,IF(A142&lt;'Données projet'!$A$166,$DL$205^A142,IF(A142='Données projet'!$A$166,'Données projet'!$B$166,DO141+DN142-DW141)))</f>
        <v>293.29999999999927</v>
      </c>
      <c r="DP142" s="18">
        <f>DO142*VLOOKUP('Données projet'!$B$14,Paramètres!$A$1:$I$89,3,0)*VLOOKUP('Données projet'!$B$14,Paramètres!$A$1:$I$89,5,0)</f>
        <v>297.40619999999927</v>
      </c>
      <c r="DQ142" s="14">
        <f t="shared" si="151"/>
        <v>70.632428863759543</v>
      </c>
      <c r="DR142" s="22">
        <f t="shared" si="124"/>
        <v>641.0006119377133</v>
      </c>
      <c r="DS142" s="60">
        <f t="shared" si="125"/>
        <v>934.33394527104656</v>
      </c>
      <c r="DT142" s="60">
        <f ca="1">AVERAGE(OFFSET($DS$3,0,0,'Données projet'!$E$14+1,1))-AVERAGE(OFFSET($H$3,0,0,'Données projet'!$E$14+1,1))</f>
        <v>475.47920969424894</v>
      </c>
      <c r="DU142" s="60">
        <f t="shared" si="152"/>
        <v>271.73544012419364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2.7</v>
      </c>
      <c r="EJ142" s="13">
        <f>IF('Données projet'!$A$192&gt;35,EJ141+EI142-ER141,IF(A142&lt;'Données projet'!$A$192,$EG$205^A142,IF(A142='Données projet'!$A$192,'Données projet'!$B$192,EJ141+EI142-ER141)))</f>
        <v>293.29999999999927</v>
      </c>
      <c r="EK142" s="18">
        <f>EJ142*VLOOKUP('Données projet'!$B$15,Paramètres!$A$1:$I$89,3,0)*VLOOKUP('Données projet'!$B$15,Paramètres!$A$1:$I$89,5,0)</f>
        <v>265.37783999999937</v>
      </c>
      <c r="EL142" s="14">
        <f t="shared" si="153"/>
        <v>63.867346655917089</v>
      </c>
      <c r="EM142" s="22">
        <f t="shared" si="127"/>
        <v>573.43536675905443</v>
      </c>
      <c r="EN142" s="60">
        <f t="shared" si="128"/>
        <v>866.76870009238769</v>
      </c>
      <c r="EO142" s="60">
        <f ca="1">AVERAGE(OFFSET($EN$3,0,0,'Données projet'!$E$15+1,1))-AVERAGE(OFFSET($H$3,0,0,'Données projet'!$E$15+1,1))</f>
        <v>428.8489304403459</v>
      </c>
      <c r="EP142" s="60">
        <f t="shared" si="154"/>
        <v>247.01165577562966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2.7</v>
      </c>
      <c r="FE142" s="13">
        <f>IF('Données projet'!$A$218&gt;35,FE141+FD142-FM141,IF(A142&lt;'Données projet'!$A$218,$FB$205^A142,IF(A142='Données projet'!$A$218,'Données projet'!$B$218,FE141+FD142-FM141)))</f>
        <v>293.29999999999927</v>
      </c>
      <c r="FF142" s="18">
        <f>FE142*VLOOKUP('Données projet'!$B$16,Paramètres!$A$1:$I$89,3,0)*VLOOKUP('Données projet'!$B$16,Paramètres!$A$1:$I$89,5,0)</f>
        <v>283.67975999999931</v>
      </c>
      <c r="FG142" s="14">
        <f t="shared" si="155"/>
        <v>67.74405605004435</v>
      </c>
      <c r="FH142" s="22">
        <f t="shared" si="130"/>
        <v>612.06314628715938</v>
      </c>
      <c r="FI142" s="60">
        <f t="shared" si="131"/>
        <v>905.39647962049276</v>
      </c>
      <c r="FJ142" s="60">
        <f ca="1">AVERAGE(OFFSET($FI$3,0,0,'Données projet'!$E$16+1,1))-AVERAGE(OFFSET($H$3,0,0,'Données projet'!$E$16+1,1))</f>
        <v>455.50822833641354</v>
      </c>
      <c r="FK142" s="60">
        <f t="shared" si="156"/>
        <v>261.14722581688039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 t="e">
        <f>N143*VLOOKUP('Données projet'!$B$9,Paramètres!$A$1:$I$89,3,0)*VLOOKUP('Données projet'!$B$9,Paramètres!$A$1:$I$89,5,0)</f>
        <v>#N/A</v>
      </c>
      <c r="P143" s="14" t="e">
        <f t="shared" si="141"/>
        <v>#N/A</v>
      </c>
      <c r="Q143" s="22" t="e">
        <f t="shared" si="108"/>
        <v>#N/A</v>
      </c>
      <c r="R143" s="60" t="e">
        <f t="shared" si="109"/>
        <v>#N/A</v>
      </c>
      <c r="S143" s="60" t="e">
        <f ca="1">AVERAGE(OFFSET($R$3,0,0,'Données projet'!$E$9+1,1))-AVERAGE(OFFSET($H$3,0,0,'Données projet'!$E$9+1,1))</f>
        <v>#N/A</v>
      </c>
      <c r="T143" s="60" t="e">
        <f t="shared" si="142"/>
        <v>#N/A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 t="e">
        <f>EXP(-LN(2)/35)*Z142+(1-EXP(-LN(2)/35))/(LN(2)/35)*V143*W143*VLOOKUP('Données projet'!$B$9,Paramètres!$A$1:$I$89,3,0)*0.475*44/12</f>
        <v>#N/A</v>
      </c>
      <c r="AA143" s="23" t="e">
        <f>EXP(-LN(2)/25)*AA142+(1-EXP(-LN(2)/25))/(LN(2)/25)*Calculateur!V143*Calculateur!X143*VLOOKUP('Données projet'!$B$9,Paramètres!$A$1:$I$89,3,0)*0.475*44/12</f>
        <v>#N/A</v>
      </c>
      <c r="AB143" s="23" t="e">
        <f>EXP(-LN(2)/2)*AB142+(1-EXP(-LN(2)/2))/(LN(2)/2)*V143*Y143*VLOOKUP('Données projet'!$B$9,Paramètres!$A$1:$I$89,3,0)*0.475*44/12</f>
        <v>#N/A</v>
      </c>
      <c r="AC143" s="24" t="e">
        <f t="shared" si="111"/>
        <v>#N/A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1.9863364286720756E-13</v>
      </c>
      <c r="AK143" s="14">
        <f t="shared" si="143"/>
        <v>2.7549360720371426E-12</v>
      </c>
      <c r="AL143" s="22">
        <f t="shared" si="112"/>
        <v>5.144133920125077E-12</v>
      </c>
      <c r="AM143" s="60">
        <f t="shared" si="113"/>
        <v>293.33333333333843</v>
      </c>
      <c r="AN143" s="60">
        <f ca="1">AVERAGE(OFFSET($AM$3,0,0,'Données projet'!$E$10+1,1))-AVERAGE(OFFSET($H$3,0,0,'Données projet'!$E$10+1,1))</f>
        <v>325.06345339097095</v>
      </c>
      <c r="AO143" s="60">
        <f t="shared" si="144"/>
        <v>318.90379036810754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0" t="e">
        <f t="shared" si="116"/>
        <v>#N/A</v>
      </c>
      <c r="BI143" s="60" t="e">
        <f ca="1">AVERAGE(OFFSET($BH$3,0,0,'Données projet'!$E$11+1,1))-AVERAGE(OFFSET($H$3,0,0,'Données projet'!$E$11+1,1))</f>
        <v>#N/A</v>
      </c>
      <c r="BJ143" s="60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0" t="e">
        <f t="shared" si="119"/>
        <v>#N/A</v>
      </c>
      <c r="CD143" s="60" t="e">
        <f ca="1">AVERAGE(OFFSET($CC$3,0,0,'Données projet'!$E$12+1,1))-AVERAGE(OFFSET($H$3,0,0,'Données projet'!$E$12+1,1))</f>
        <v>#N/A</v>
      </c>
      <c r="CE143" s="60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258.58559999999937</v>
      </c>
      <c r="CV143" s="14">
        <f t="shared" si="149"/>
        <v>62.420789384491734</v>
      </c>
      <c r="CW143" s="22">
        <f t="shared" si="121"/>
        <v>559.0861281779886</v>
      </c>
      <c r="CX143" s="60">
        <f t="shared" si="122"/>
        <v>852.41946151132197</v>
      </c>
      <c r="CY143" s="60">
        <f ca="1">AVERAGE(OFFSET($CX$3,0,0,'Données projet'!$E$13+1,1))-AVERAGE(OFFSET($H$3,0,0,'Données projet'!$E$13+1,1))</f>
        <v>415.50509041799154</v>
      </c>
      <c r="CZ143" s="60">
        <f t="shared" si="150"/>
        <v>239.93573789765657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296</v>
      </c>
      <c r="DM143" s="13">
        <f>VLOOKUP(A143,'Données projet'!$A$165:$I$185,9,0)</f>
        <v>2.7</v>
      </c>
      <c r="DN143" s="13">
        <f t="array" ref="DN143">INDEX(DM:DM,MIN(IF(ISNUMBER(DM143:DM339),ROW(DM143:DM339),"")))</f>
        <v>2.7</v>
      </c>
      <c r="DO143" s="13">
        <f>IF('Données projet'!$A$166&gt;35,DO142+DN143-DW142,IF(A143&lt;'Données projet'!$A$166,$DL$205^A143,IF(A143='Données projet'!$A$166,'Données projet'!$B$166,DO142+DN143-DW142)))</f>
        <v>295.99999999999926</v>
      </c>
      <c r="DP143" s="18">
        <f>DO143*VLOOKUP('Données projet'!$B$14,Paramètres!$A$1:$I$89,3,0)*VLOOKUP('Données projet'!$B$14,Paramètres!$A$1:$I$89,5,0)</f>
        <v>300.14399999999927</v>
      </c>
      <c r="DQ143" s="14">
        <f t="shared" si="151"/>
        <v>71.206650563609728</v>
      </c>
      <c r="DR143" s="22">
        <f t="shared" si="124"/>
        <v>646.76904973161891</v>
      </c>
      <c r="DS143" s="60">
        <f t="shared" si="125"/>
        <v>940.10238306495216</v>
      </c>
      <c r="DT143" s="60">
        <f ca="1">AVERAGE(OFFSET($DS$3,0,0,'Données projet'!$E$14+1,1))-AVERAGE(OFFSET($H$3,0,0,'Données projet'!$E$14+1,1))</f>
        <v>475.47920969424894</v>
      </c>
      <c r="DU143" s="60">
        <f t="shared" si="152"/>
        <v>271.73544012419364</v>
      </c>
      <c r="DV143" s="16">
        <f>IF(ISNA(VLOOKUP(A143,'Données projet'!$A$165:$I$185,3,0)),0,VLOOKUP(A143,'Données projet'!$A$165:$I$185,3,0))</f>
        <v>12</v>
      </c>
      <c r="DW143" s="16">
        <f>IF(ISNA(VLOOKUP(A143,'Données projet'!$A$165:$I$185,4,0)),0,VLOOKUP(A143,'Données projet'!$A$165:$I$185,4,0))</f>
        <v>27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>
        <f>VLOOKUP(A143,'Données projet'!$A$191:$I$211,2,0)</f>
        <v>296</v>
      </c>
      <c r="EH143" s="13">
        <f>VLOOKUP(A143,'Données projet'!$A$191:$I$211,9,0)</f>
        <v>2.7</v>
      </c>
      <c r="EI143" s="13">
        <f t="array" ref="EI143">INDEX(EH:EH,MIN(IF(ISNUMBER(EH143:EH339),ROW(EH143:EH339),"")))</f>
        <v>2.7</v>
      </c>
      <c r="EJ143" s="13">
        <f>IF('Données projet'!$A$192&gt;35,EJ142+EI143-ER142,IF(A143&lt;'Données projet'!$A$192,$EG$205^A143,IF(A143='Données projet'!$A$192,'Données projet'!$B$192,EJ142+EI143-ER142)))</f>
        <v>295.99999999999926</v>
      </c>
      <c r="EK143" s="18">
        <f>EJ143*VLOOKUP('Données projet'!$B$15,Paramètres!$A$1:$I$89,3,0)*VLOOKUP('Données projet'!$B$15,Paramètres!$A$1:$I$89,5,0)</f>
        <v>267.82079999999934</v>
      </c>
      <c r="EL143" s="14">
        <f t="shared" si="153"/>
        <v>64.386570147897245</v>
      </c>
      <c r="EM143" s="22">
        <f t="shared" si="127"/>
        <v>578.59450300758647</v>
      </c>
      <c r="EN143" s="60">
        <f t="shared" si="128"/>
        <v>871.92783634091984</v>
      </c>
      <c r="EO143" s="60">
        <f ca="1">AVERAGE(OFFSET($EN$3,0,0,'Données projet'!$E$15+1,1))-AVERAGE(OFFSET($H$3,0,0,'Données projet'!$E$15+1,1))</f>
        <v>428.8489304403459</v>
      </c>
      <c r="EP143" s="60">
        <f t="shared" si="154"/>
        <v>247.01165577562966</v>
      </c>
      <c r="EQ143" s="16">
        <f>IF(ISNA(VLOOKUP(A143,'Données projet'!$A$191:$I$211,3,0)),0,VLOOKUP(A143,'Données projet'!$A$191:$I$211,3,0))</f>
        <v>12</v>
      </c>
      <c r="ER143" s="16">
        <f>IF(ISNA(VLOOKUP(A143,'Données projet'!$A$191:$I$211,4,0)),0,VLOOKUP(A143,'Données projet'!$A$191:$I$211,4,0))</f>
        <v>27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>
        <f>VLOOKUP(A143,'Données projet'!$A$217:$I$237,2,0)</f>
        <v>296</v>
      </c>
      <c r="FC143" s="13">
        <f>VLOOKUP(A143,'Données projet'!$A$217:$I$237,9,0)</f>
        <v>2.7</v>
      </c>
      <c r="FD143" s="13">
        <f t="array" ref="FD143">INDEX(FC:FC,MIN(IF(ISNUMBER(FC143:FC339),ROW(FC143:FC339),"")))</f>
        <v>2.7</v>
      </c>
      <c r="FE143" s="13">
        <f>IF('Données projet'!$A$218&gt;35,FE142+FD143-FM142,IF(A143&lt;'Données projet'!$A$218,$FB$205^A143,IF(A143='Données projet'!$A$218,'Données projet'!$B$218,FE142+FD143-FM142)))</f>
        <v>295.99999999999926</v>
      </c>
      <c r="FF143" s="18">
        <f>FE143*VLOOKUP('Données projet'!$B$16,Paramètres!$A$1:$I$89,3,0)*VLOOKUP('Données projet'!$B$16,Paramètres!$A$1:$I$89,5,0)</f>
        <v>286.29119999999926</v>
      </c>
      <c r="FG143" s="14">
        <f t="shared" si="155"/>
        <v>68.294796094604223</v>
      </c>
      <c r="FH143" s="22">
        <f t="shared" si="130"/>
        <v>617.57060986476779</v>
      </c>
      <c r="FI143" s="60">
        <f t="shared" si="131"/>
        <v>910.90394319810116</v>
      </c>
      <c r="FJ143" s="60">
        <f ca="1">AVERAGE(OFFSET($FI$3,0,0,'Données projet'!$E$16+1,1))-AVERAGE(OFFSET($H$3,0,0,'Données projet'!$E$16+1,1))</f>
        <v>455.50822833641354</v>
      </c>
      <c r="FK143" s="60">
        <f t="shared" si="156"/>
        <v>261.14722581688039</v>
      </c>
      <c r="FL143" s="16">
        <f>IF(ISNA(VLOOKUP(A143,'Données projet'!$A$217:$I$237,3,0)),0,VLOOKUP(A143,'Données projet'!$A$217:$I$237,3,0))</f>
        <v>12</v>
      </c>
      <c r="FM143" s="16">
        <f>IF(ISNA(VLOOKUP(A143,'Données projet'!$A$217:$I$237,4,0)),0,VLOOKUP(A143,'Données projet'!$A$217:$I$237,4,0))</f>
        <v>27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 t="e">
        <f>N144*VLOOKUP('Données projet'!$B$9,Paramètres!$A$1:$I$89,3,0)*VLOOKUP('Données projet'!$B$9,Paramètres!$A$1:$I$89,5,0)</f>
        <v>#N/A</v>
      </c>
      <c r="P144" s="14" t="e">
        <f t="shared" si="141"/>
        <v>#N/A</v>
      </c>
      <c r="Q144" s="22" t="e">
        <f t="shared" si="108"/>
        <v>#N/A</v>
      </c>
      <c r="R144" s="60" t="e">
        <f t="shared" si="109"/>
        <v>#N/A</v>
      </c>
      <c r="S144" s="60" t="e">
        <f ca="1">AVERAGE(OFFSET($R$3,0,0,'Données projet'!$E$9+1,1))-AVERAGE(OFFSET($H$3,0,0,'Données projet'!$E$9+1,1))</f>
        <v>#N/A</v>
      </c>
      <c r="T144" s="60" t="e">
        <f t="shared" si="142"/>
        <v>#N/A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 t="e">
        <f>EXP(-LN(2)/35)*Z143+(1-EXP(-LN(2)/35))/(LN(2)/35)*V144*W144*VLOOKUP('Données projet'!$B$9,Paramètres!$A$1:$I$89,3,0)*0.475*44/12</f>
        <v>#N/A</v>
      </c>
      <c r="AA144" s="23" t="e">
        <f>EXP(-LN(2)/25)*AA143+(1-EXP(-LN(2)/25))/(LN(2)/25)*Calculateur!V144*Calculateur!X144*VLOOKUP('Données projet'!$B$9,Paramètres!$A$1:$I$89,3,0)*0.475*44/12</f>
        <v>#N/A</v>
      </c>
      <c r="AB144" s="23" t="e">
        <f>EXP(-LN(2)/2)*AB143+(1-EXP(-LN(2)/2))/(LN(2)/2)*V144*Y144*VLOOKUP('Données projet'!$B$9,Paramètres!$A$1:$I$89,3,0)*0.475*44/12</f>
        <v>#N/A</v>
      </c>
      <c r="AC144" s="24" t="e">
        <f t="shared" si="111"/>
        <v>#N/A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1.9863364286720756E-13</v>
      </c>
      <c r="AK144" s="14">
        <f t="shared" si="143"/>
        <v>2.7549360720371426E-12</v>
      </c>
      <c r="AL144" s="22">
        <f t="shared" si="112"/>
        <v>5.144133920125077E-12</v>
      </c>
      <c r="AM144" s="60">
        <f t="shared" si="113"/>
        <v>293.33333333333843</v>
      </c>
      <c r="AN144" s="60">
        <f ca="1">AVERAGE(OFFSET($AM$3,0,0,'Données projet'!$E$10+1,1))-AVERAGE(OFFSET($H$3,0,0,'Données projet'!$E$10+1,1))</f>
        <v>325.06345339097095</v>
      </c>
      <c r="AO144" s="60">
        <f t="shared" si="144"/>
        <v>318.90379036810754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0" t="e">
        <f t="shared" si="116"/>
        <v>#N/A</v>
      </c>
      <c r="BI144" s="60" t="e">
        <f ca="1">AVERAGE(OFFSET($BH$3,0,0,'Données projet'!$E$11+1,1))-AVERAGE(OFFSET($H$3,0,0,'Données projet'!$E$11+1,1))</f>
        <v>#N/A</v>
      </c>
      <c r="BJ144" s="60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0" t="e">
        <f t="shared" si="119"/>
        <v>#N/A</v>
      </c>
      <c r="CD144" s="60" t="e">
        <f ca="1">AVERAGE(OFFSET($CC$3,0,0,'Données projet'!$E$12+1,1))-AVERAGE(OFFSET($H$3,0,0,'Données projet'!$E$12+1,1))</f>
        <v>#N/A</v>
      </c>
      <c r="CE144" s="60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237.09503999999936</v>
      </c>
      <c r="CV144" s="14">
        <f t="shared" si="149"/>
        <v>57.814071896519344</v>
      </c>
      <c r="CW144" s="22">
        <f t="shared" si="121"/>
        <v>513.63336988643675</v>
      </c>
      <c r="CX144" s="60">
        <f t="shared" si="122"/>
        <v>806.96670321977012</v>
      </c>
      <c r="CY144" s="60">
        <f ca="1">AVERAGE(OFFSET($CX$3,0,0,'Données projet'!$E$13+1,1))-AVERAGE(OFFSET($H$3,0,0,'Données projet'!$E$13+1,1))</f>
        <v>415.50509041799154</v>
      </c>
      <c r="CZ144" s="60">
        <f t="shared" si="150"/>
        <v>239.93573789765657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2.4</v>
      </c>
      <c r="DO144" s="13">
        <f>IF('Données projet'!$A$166&gt;35,DO143+DN144-DW143,IF(A144&lt;'Données projet'!$A$166,$DL$205^A144,IF(A144='Données projet'!$A$166,'Données projet'!$B$166,DO143+DN144-DW143)))</f>
        <v>271.39999999999924</v>
      </c>
      <c r="DP144" s="18">
        <f>DO144*VLOOKUP('Données projet'!$B$14,Paramètres!$A$1:$I$89,3,0)*VLOOKUP('Données projet'!$B$14,Paramètres!$A$1:$I$89,5,0)</f>
        <v>275.19959999999924</v>
      </c>
      <c r="DQ144" s="14">
        <f t="shared" si="151"/>
        <v>65.951527620662489</v>
      </c>
      <c r="DR144" s="22">
        <f t="shared" si="124"/>
        <v>594.17154727265245</v>
      </c>
      <c r="DS144" s="60">
        <f t="shared" si="125"/>
        <v>887.50488060598582</v>
      </c>
      <c r="DT144" s="60">
        <f ca="1">AVERAGE(OFFSET($DS$3,0,0,'Données projet'!$E$14+1,1))-AVERAGE(OFFSET($H$3,0,0,'Données projet'!$E$14+1,1))</f>
        <v>475.47920969424894</v>
      </c>
      <c r="DU144" s="60">
        <f t="shared" si="152"/>
        <v>271.73544012419364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2.4</v>
      </c>
      <c r="EJ144" s="13">
        <f>IF('Données projet'!$A$192&gt;35,EJ143+EI144-ER143,IF(A144&lt;'Données projet'!$A$192,$EG$205^A144,IF(A144='Données projet'!$A$192,'Données projet'!$B$192,EJ143+EI144-ER143)))</f>
        <v>271.39999999999924</v>
      </c>
      <c r="EK144" s="18">
        <f>EJ144*VLOOKUP('Données projet'!$B$15,Paramètres!$A$1:$I$89,3,0)*VLOOKUP('Données projet'!$B$15,Paramètres!$A$1:$I$89,5,0)</f>
        <v>245.5627199999993</v>
      </c>
      <c r="EL144" s="14">
        <f t="shared" si="153"/>
        <v>59.634776048276741</v>
      </c>
      <c r="EM144" s="22">
        <f t="shared" si="127"/>
        <v>531.55230561741405</v>
      </c>
      <c r="EN144" s="60">
        <f t="shared" si="128"/>
        <v>824.88563895074731</v>
      </c>
      <c r="EO144" s="60">
        <f ca="1">AVERAGE(OFFSET($EN$3,0,0,'Données projet'!$E$15+1,1))-AVERAGE(OFFSET($H$3,0,0,'Données projet'!$E$15+1,1))</f>
        <v>428.8489304403459</v>
      </c>
      <c r="EP144" s="60">
        <f t="shared" si="154"/>
        <v>247.01165577562966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2.4</v>
      </c>
      <c r="FE144" s="13">
        <f>IF('Données projet'!$A$218&gt;35,FE143+FD144-FM143,IF(A144&lt;'Données projet'!$A$218,$FB$205^A144,IF(A144='Données projet'!$A$218,'Données projet'!$B$218,FE143+FD144-FM143)))</f>
        <v>271.39999999999924</v>
      </c>
      <c r="FF144" s="18">
        <f>FE144*VLOOKUP('Données projet'!$B$16,Paramètres!$A$1:$I$89,3,0)*VLOOKUP('Données projet'!$B$16,Paramètres!$A$1:$I$89,5,0)</f>
        <v>262.49807999999928</v>
      </c>
      <c r="FG144" s="14">
        <f t="shared" si="155"/>
        <v>63.254570961137979</v>
      </c>
      <c r="FH144" s="22">
        <f t="shared" si="130"/>
        <v>567.35253375731406</v>
      </c>
      <c r="FI144" s="60">
        <f t="shared" si="131"/>
        <v>860.68586709064743</v>
      </c>
      <c r="FJ144" s="60">
        <f ca="1">AVERAGE(OFFSET($FI$3,0,0,'Données projet'!$E$16+1,1))-AVERAGE(OFFSET($H$3,0,0,'Données projet'!$E$16+1,1))</f>
        <v>455.50822833641354</v>
      </c>
      <c r="FK144" s="60">
        <f t="shared" si="156"/>
        <v>261.14722581688039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 t="e">
        <f>N145*VLOOKUP('Données projet'!$B$9,Paramètres!$A$1:$I$89,3,0)*VLOOKUP('Données projet'!$B$9,Paramètres!$A$1:$I$89,5,0)</f>
        <v>#N/A</v>
      </c>
      <c r="P145" s="14" t="e">
        <f t="shared" si="141"/>
        <v>#N/A</v>
      </c>
      <c r="Q145" s="22" t="e">
        <f t="shared" si="108"/>
        <v>#N/A</v>
      </c>
      <c r="R145" s="60" t="e">
        <f t="shared" si="109"/>
        <v>#N/A</v>
      </c>
      <c r="S145" s="60" t="e">
        <f ca="1">AVERAGE(OFFSET($R$3,0,0,'Données projet'!$E$9+1,1))-AVERAGE(OFFSET($H$3,0,0,'Données projet'!$E$9+1,1))</f>
        <v>#N/A</v>
      </c>
      <c r="T145" s="60" t="e">
        <f t="shared" si="142"/>
        <v>#N/A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 t="e">
        <f>EXP(-LN(2)/35)*Z144+(1-EXP(-LN(2)/35))/(LN(2)/35)*V145*W145*VLOOKUP('Données projet'!$B$9,Paramètres!$A$1:$I$89,3,0)*0.475*44/12</f>
        <v>#N/A</v>
      </c>
      <c r="AA145" s="23" t="e">
        <f>EXP(-LN(2)/25)*AA144+(1-EXP(-LN(2)/25))/(LN(2)/25)*Calculateur!V145*Calculateur!X145*VLOOKUP('Données projet'!$B$9,Paramètres!$A$1:$I$89,3,0)*0.475*44/12</f>
        <v>#N/A</v>
      </c>
      <c r="AB145" s="23" t="e">
        <f>EXP(-LN(2)/2)*AB144+(1-EXP(-LN(2)/2))/(LN(2)/2)*V145*Y145*VLOOKUP('Données projet'!$B$9,Paramètres!$A$1:$I$89,3,0)*0.475*44/12</f>
        <v>#N/A</v>
      </c>
      <c r="AC145" s="24" t="e">
        <f t="shared" si="111"/>
        <v>#N/A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1.9863364286720756E-13</v>
      </c>
      <c r="AK145" s="14">
        <f t="shared" si="143"/>
        <v>2.7549360720371426E-12</v>
      </c>
      <c r="AL145" s="22">
        <f t="shared" si="112"/>
        <v>5.144133920125077E-12</v>
      </c>
      <c r="AM145" s="60">
        <f t="shared" si="113"/>
        <v>293.33333333333843</v>
      </c>
      <c r="AN145" s="60">
        <f ca="1">AVERAGE(OFFSET($AM$3,0,0,'Données projet'!$E$10+1,1))-AVERAGE(OFFSET($H$3,0,0,'Données projet'!$E$10+1,1))</f>
        <v>325.06345339097095</v>
      </c>
      <c r="AO145" s="60">
        <f t="shared" si="144"/>
        <v>318.90379036810754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0" t="e">
        <f t="shared" si="116"/>
        <v>#N/A</v>
      </c>
      <c r="BI145" s="60" t="e">
        <f ca="1">AVERAGE(OFFSET($BH$3,0,0,'Données projet'!$E$11+1,1))-AVERAGE(OFFSET($H$3,0,0,'Données projet'!$E$11+1,1))</f>
        <v>#N/A</v>
      </c>
      <c r="BJ145" s="60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0" t="e">
        <f t="shared" si="119"/>
        <v>#N/A</v>
      </c>
      <c r="CD145" s="60" t="e">
        <f ca="1">AVERAGE(OFFSET($CC$3,0,0,'Données projet'!$E$12+1,1))-AVERAGE(OFFSET($H$3,0,0,'Données projet'!$E$12+1,1))</f>
        <v>#N/A</v>
      </c>
      <c r="CE145" s="60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239.19167999999934</v>
      </c>
      <c r="CV145" s="14">
        <f t="shared" si="149"/>
        <v>58.265582363565628</v>
      </c>
      <c r="CW145" s="22">
        <f t="shared" si="121"/>
        <v>518.0713986165423</v>
      </c>
      <c r="CX145" s="60">
        <f t="shared" si="122"/>
        <v>811.40473194987567</v>
      </c>
      <c r="CY145" s="60">
        <f ca="1">AVERAGE(OFFSET($CX$3,0,0,'Données projet'!$E$13+1,1))-AVERAGE(OFFSET($H$3,0,0,'Données projet'!$E$13+1,1))</f>
        <v>415.50509041799154</v>
      </c>
      <c r="CZ145" s="60">
        <f t="shared" si="150"/>
        <v>239.93573789765657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2.4</v>
      </c>
      <c r="DO145" s="13">
        <f>IF('Données projet'!$A$166&gt;35,DO144+DN145-DW144,IF(A145&lt;'Données projet'!$A$166,$DL$205^A145,IF(A145='Données projet'!$A$166,'Données projet'!$B$166,DO144+DN145-DW144)))</f>
        <v>273.79999999999922</v>
      </c>
      <c r="DP145" s="18">
        <f>DO145*VLOOKUP('Données projet'!$B$14,Paramètres!$A$1:$I$89,3,0)*VLOOKUP('Données projet'!$B$14,Paramètres!$A$1:$I$89,5,0)</f>
        <v>277.63319999999919</v>
      </c>
      <c r="DQ145" s="14">
        <f t="shared" si="151"/>
        <v>66.466589162975524</v>
      </c>
      <c r="DR145" s="22">
        <f t="shared" si="124"/>
        <v>599.30713279218094</v>
      </c>
      <c r="DS145" s="60">
        <f t="shared" si="125"/>
        <v>892.64046612551419</v>
      </c>
      <c r="DT145" s="60">
        <f ca="1">AVERAGE(OFFSET($DS$3,0,0,'Données projet'!$E$14+1,1))-AVERAGE(OFFSET($H$3,0,0,'Données projet'!$E$14+1,1))</f>
        <v>475.47920969424894</v>
      </c>
      <c r="DU145" s="60">
        <f t="shared" si="152"/>
        <v>271.73544012419364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2.4</v>
      </c>
      <c r="EJ145" s="13">
        <f>IF('Données projet'!$A$192&gt;35,EJ144+EI145-ER144,IF(A145&lt;'Données projet'!$A$192,$EG$205^A145,IF(A145='Données projet'!$A$192,'Données projet'!$B$192,EJ144+EI145-ER144)))</f>
        <v>273.79999999999922</v>
      </c>
      <c r="EK145" s="18">
        <f>EJ145*VLOOKUP('Données projet'!$B$15,Paramètres!$A$1:$I$89,3,0)*VLOOKUP('Données projet'!$B$15,Paramètres!$A$1:$I$89,5,0)</f>
        <v>247.73423999999929</v>
      </c>
      <c r="EL145" s="14">
        <f t="shared" si="153"/>
        <v>60.100505665694953</v>
      </c>
      <c r="EM145" s="22">
        <f t="shared" si="127"/>
        <v>536.14551536775082</v>
      </c>
      <c r="EN145" s="60">
        <f t="shared" si="128"/>
        <v>829.47884870108419</v>
      </c>
      <c r="EO145" s="60">
        <f ca="1">AVERAGE(OFFSET($EN$3,0,0,'Données projet'!$E$15+1,1))-AVERAGE(OFFSET($H$3,0,0,'Données projet'!$E$15+1,1))</f>
        <v>428.8489304403459</v>
      </c>
      <c r="EP145" s="60">
        <f t="shared" si="154"/>
        <v>247.01165577562966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2.4</v>
      </c>
      <c r="FE145" s="13">
        <f>IF('Données projet'!$A$218&gt;35,FE144+FD145-FM144,IF(A145&lt;'Données projet'!$A$218,$FB$205^A145,IF(A145='Données projet'!$A$218,'Données projet'!$B$218,FE144+FD145-FM144)))</f>
        <v>273.79999999999922</v>
      </c>
      <c r="FF145" s="18">
        <f>FE145*VLOOKUP('Données projet'!$B$16,Paramètres!$A$1:$I$89,3,0)*VLOOKUP('Données projet'!$B$16,Paramètres!$A$1:$I$89,5,0)</f>
        <v>264.81935999999928</v>
      </c>
      <c r="FG145" s="14">
        <f t="shared" si="155"/>
        <v>63.748570085236892</v>
      </c>
      <c r="FH145" s="22">
        <f t="shared" si="130"/>
        <v>572.25581156511964</v>
      </c>
      <c r="FI145" s="60">
        <f t="shared" si="131"/>
        <v>865.58914489845301</v>
      </c>
      <c r="FJ145" s="60">
        <f ca="1">AVERAGE(OFFSET($FI$3,0,0,'Données projet'!$E$16+1,1))-AVERAGE(OFFSET($H$3,0,0,'Données projet'!$E$16+1,1))</f>
        <v>455.50822833641354</v>
      </c>
      <c r="FK145" s="60">
        <f t="shared" si="156"/>
        <v>261.14722581688039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 t="e">
        <f>N146*VLOOKUP('Données projet'!$B$9,Paramètres!$A$1:$I$89,3,0)*VLOOKUP('Données projet'!$B$9,Paramètres!$A$1:$I$89,5,0)</f>
        <v>#N/A</v>
      </c>
      <c r="P146" s="14" t="e">
        <f t="shared" si="141"/>
        <v>#N/A</v>
      </c>
      <c r="Q146" s="22" t="e">
        <f t="shared" si="108"/>
        <v>#N/A</v>
      </c>
      <c r="R146" s="60" t="e">
        <f t="shared" si="109"/>
        <v>#N/A</v>
      </c>
      <c r="S146" s="60" t="e">
        <f ca="1">AVERAGE(OFFSET($R$3,0,0,'Données projet'!$E$9+1,1))-AVERAGE(OFFSET($H$3,0,0,'Données projet'!$E$9+1,1))</f>
        <v>#N/A</v>
      </c>
      <c r="T146" s="60" t="e">
        <f t="shared" si="142"/>
        <v>#N/A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 t="e">
        <f>EXP(-LN(2)/35)*Z145+(1-EXP(-LN(2)/35))/(LN(2)/35)*V146*W146*VLOOKUP('Données projet'!$B$9,Paramètres!$A$1:$I$89,3,0)*0.475*44/12</f>
        <v>#N/A</v>
      </c>
      <c r="AA146" s="23" t="e">
        <f>EXP(-LN(2)/25)*AA145+(1-EXP(-LN(2)/25))/(LN(2)/25)*Calculateur!V146*Calculateur!X146*VLOOKUP('Données projet'!$B$9,Paramètres!$A$1:$I$89,3,0)*0.475*44/12</f>
        <v>#N/A</v>
      </c>
      <c r="AB146" s="23" t="e">
        <f>EXP(-LN(2)/2)*AB145+(1-EXP(-LN(2)/2))/(LN(2)/2)*V146*Y146*VLOOKUP('Données projet'!$B$9,Paramètres!$A$1:$I$89,3,0)*0.475*44/12</f>
        <v>#N/A</v>
      </c>
      <c r="AC146" s="24" t="e">
        <f t="shared" si="111"/>
        <v>#N/A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1.9863364286720756E-13</v>
      </c>
      <c r="AK146" s="14">
        <f t="shared" si="143"/>
        <v>2.7549360720371426E-12</v>
      </c>
      <c r="AL146" s="22">
        <f t="shared" si="112"/>
        <v>5.144133920125077E-12</v>
      </c>
      <c r="AM146" s="60">
        <f t="shared" si="113"/>
        <v>293.33333333333843</v>
      </c>
      <c r="AN146" s="60">
        <f ca="1">AVERAGE(OFFSET($AM$3,0,0,'Données projet'!$E$10+1,1))-AVERAGE(OFFSET($H$3,0,0,'Données projet'!$E$10+1,1))</f>
        <v>325.06345339097095</v>
      </c>
      <c r="AO146" s="60">
        <f t="shared" si="144"/>
        <v>318.90379036810754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0" t="e">
        <f t="shared" si="116"/>
        <v>#N/A</v>
      </c>
      <c r="BI146" s="60" t="e">
        <f ca="1">AVERAGE(OFFSET($BH$3,0,0,'Données projet'!$E$11+1,1))-AVERAGE(OFFSET($H$3,0,0,'Données projet'!$E$11+1,1))</f>
        <v>#N/A</v>
      </c>
      <c r="BJ146" s="60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0" t="e">
        <f t="shared" si="119"/>
        <v>#N/A</v>
      </c>
      <c r="CD146" s="60" t="e">
        <f ca="1">AVERAGE(OFFSET($CC$3,0,0,'Données projet'!$E$12+1,1))-AVERAGE(OFFSET($H$3,0,0,'Données projet'!$E$12+1,1))</f>
        <v>#N/A</v>
      </c>
      <c r="CE146" s="60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241.28831999999935</v>
      </c>
      <c r="CV146" s="14">
        <f t="shared" si="149"/>
        <v>58.716632380115755</v>
      </c>
      <c r="CW146" s="22">
        <f t="shared" si="121"/>
        <v>522.50862539536718</v>
      </c>
      <c r="CX146" s="60">
        <f t="shared" si="122"/>
        <v>815.84195872870055</v>
      </c>
      <c r="CY146" s="60">
        <f ca="1">AVERAGE(OFFSET($CX$3,0,0,'Données projet'!$E$13+1,1))-AVERAGE(OFFSET($H$3,0,0,'Données projet'!$E$13+1,1))</f>
        <v>415.50509041799154</v>
      </c>
      <c r="CZ146" s="60">
        <f t="shared" si="150"/>
        <v>239.93573789765657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2.4</v>
      </c>
      <c r="DO146" s="13">
        <f>IF('Données projet'!$A$166&gt;35,DO145+DN146-DW145,IF(A146&lt;'Données projet'!$A$166,$DL$205^A146,IF(A146='Données projet'!$A$166,'Données projet'!$B$166,DO145+DN146-DW145)))</f>
        <v>276.19999999999919</v>
      </c>
      <c r="DP146" s="18">
        <f>DO146*VLOOKUP('Données projet'!$B$14,Paramètres!$A$1:$I$89,3,0)*VLOOKUP('Données projet'!$B$14,Paramètres!$A$1:$I$89,5,0)</f>
        <v>280.0667999999992</v>
      </c>
      <c r="DQ146" s="14">
        <f t="shared" si="151"/>
        <v>66.981125445388756</v>
      </c>
      <c r="DR146" s="22">
        <f t="shared" si="124"/>
        <v>604.44180348405064</v>
      </c>
      <c r="DS146" s="60">
        <f t="shared" si="125"/>
        <v>897.77513681738401</v>
      </c>
      <c r="DT146" s="60">
        <f ca="1">AVERAGE(OFFSET($DS$3,0,0,'Données projet'!$E$14+1,1))-AVERAGE(OFFSET($H$3,0,0,'Données projet'!$E$14+1,1))</f>
        <v>475.47920969424894</v>
      </c>
      <c r="DU146" s="60">
        <f t="shared" si="152"/>
        <v>271.73544012419364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2.4</v>
      </c>
      <c r="EJ146" s="13">
        <f>IF('Données projet'!$A$192&gt;35,EJ145+EI146-ER145,IF(A146&lt;'Données projet'!$A$192,$EG$205^A146,IF(A146='Données projet'!$A$192,'Données projet'!$B$192,EJ145+EI146-ER145)))</f>
        <v>276.19999999999919</v>
      </c>
      <c r="EK146" s="18">
        <f>EJ146*VLOOKUP('Données projet'!$B$15,Paramètres!$A$1:$I$89,3,0)*VLOOKUP('Données projet'!$B$15,Paramètres!$A$1:$I$89,5,0)</f>
        <v>249.90575999999925</v>
      </c>
      <c r="EL146" s="14">
        <f t="shared" si="153"/>
        <v>60.565760331923727</v>
      </c>
      <c r="EM146" s="22">
        <f t="shared" si="127"/>
        <v>540.73789791143247</v>
      </c>
      <c r="EN146" s="60">
        <f t="shared" si="128"/>
        <v>834.07123124476584</v>
      </c>
      <c r="EO146" s="60">
        <f ca="1">AVERAGE(OFFSET($EN$3,0,0,'Données projet'!$E$15+1,1))-AVERAGE(OFFSET($H$3,0,0,'Données projet'!$E$15+1,1))</f>
        <v>428.8489304403459</v>
      </c>
      <c r="EP146" s="60">
        <f t="shared" si="154"/>
        <v>247.01165577562966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2.4</v>
      </c>
      <c r="FE146" s="13">
        <f>IF('Données projet'!$A$218&gt;35,FE145+FD146-FM145,IF(A146&lt;'Données projet'!$A$218,$FB$205^A146,IF(A146='Données projet'!$A$218,'Données projet'!$B$218,FE145+FD146-FM145)))</f>
        <v>276.19999999999919</v>
      </c>
      <c r="FF146" s="18">
        <f>FE146*VLOOKUP('Données projet'!$B$16,Paramètres!$A$1:$I$89,3,0)*VLOOKUP('Données projet'!$B$16,Paramètres!$A$1:$I$89,5,0)</f>
        <v>267.14063999999922</v>
      </c>
      <c r="FG146" s="14">
        <f t="shared" si="155"/>
        <v>64.242065428895785</v>
      </c>
      <c r="FH146" s="22">
        <f t="shared" si="130"/>
        <v>577.15821195532533</v>
      </c>
      <c r="FI146" s="60">
        <f t="shared" si="131"/>
        <v>870.4915452886587</v>
      </c>
      <c r="FJ146" s="60">
        <f ca="1">AVERAGE(OFFSET($FI$3,0,0,'Données projet'!$E$16+1,1))-AVERAGE(OFFSET($H$3,0,0,'Données projet'!$E$16+1,1))</f>
        <v>455.50822833641354</v>
      </c>
      <c r="FK146" s="60">
        <f t="shared" si="156"/>
        <v>261.14722581688039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 t="e">
        <f>N147*VLOOKUP('Données projet'!$B$9,Paramètres!$A$1:$I$89,3,0)*VLOOKUP('Données projet'!$B$9,Paramètres!$A$1:$I$89,5,0)</f>
        <v>#N/A</v>
      </c>
      <c r="P147" s="14" t="e">
        <f t="shared" si="141"/>
        <v>#N/A</v>
      </c>
      <c r="Q147" s="22" t="e">
        <f t="shared" si="108"/>
        <v>#N/A</v>
      </c>
      <c r="R147" s="60" t="e">
        <f t="shared" si="109"/>
        <v>#N/A</v>
      </c>
      <c r="S147" s="60" t="e">
        <f ca="1">AVERAGE(OFFSET($R$3,0,0,'Données projet'!$E$9+1,1))-AVERAGE(OFFSET($H$3,0,0,'Données projet'!$E$9+1,1))</f>
        <v>#N/A</v>
      </c>
      <c r="T147" s="60" t="e">
        <f t="shared" si="142"/>
        <v>#N/A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 t="e">
        <f>EXP(-LN(2)/35)*Z146+(1-EXP(-LN(2)/35))/(LN(2)/35)*V147*W147*VLOOKUP('Données projet'!$B$9,Paramètres!$A$1:$I$89,3,0)*0.475*44/12</f>
        <v>#N/A</v>
      </c>
      <c r="AA147" s="23" t="e">
        <f>EXP(-LN(2)/25)*AA146+(1-EXP(-LN(2)/25))/(LN(2)/25)*Calculateur!V147*Calculateur!X147*VLOOKUP('Données projet'!$B$9,Paramètres!$A$1:$I$89,3,0)*0.475*44/12</f>
        <v>#N/A</v>
      </c>
      <c r="AB147" s="23" t="e">
        <f>EXP(-LN(2)/2)*AB146+(1-EXP(-LN(2)/2))/(LN(2)/2)*V147*Y147*VLOOKUP('Données projet'!$B$9,Paramètres!$A$1:$I$89,3,0)*0.475*44/12</f>
        <v>#N/A</v>
      </c>
      <c r="AC147" s="24" t="e">
        <f t="shared" si="111"/>
        <v>#N/A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1.9863364286720756E-13</v>
      </c>
      <c r="AK147" s="14">
        <f t="shared" si="143"/>
        <v>2.7549360720371426E-12</v>
      </c>
      <c r="AL147" s="22">
        <f t="shared" si="112"/>
        <v>5.144133920125077E-12</v>
      </c>
      <c r="AM147" s="60">
        <f t="shared" si="113"/>
        <v>293.33333333333843</v>
      </c>
      <c r="AN147" s="60">
        <f ca="1">AVERAGE(OFFSET($AM$3,0,0,'Données projet'!$E$10+1,1))-AVERAGE(OFFSET($H$3,0,0,'Données projet'!$E$10+1,1))</f>
        <v>325.06345339097095</v>
      </c>
      <c r="AO147" s="60">
        <f t="shared" si="144"/>
        <v>318.90379036810754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0" t="e">
        <f t="shared" si="116"/>
        <v>#N/A</v>
      </c>
      <c r="BI147" s="60" t="e">
        <f ca="1">AVERAGE(OFFSET($BH$3,0,0,'Données projet'!$E$11+1,1))-AVERAGE(OFFSET($H$3,0,0,'Données projet'!$E$11+1,1))</f>
        <v>#N/A</v>
      </c>
      <c r="BJ147" s="60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0" t="e">
        <f t="shared" si="119"/>
        <v>#N/A</v>
      </c>
      <c r="CD147" s="60" t="e">
        <f ca="1">AVERAGE(OFFSET($CC$3,0,0,'Données projet'!$E$12+1,1))-AVERAGE(OFFSET($H$3,0,0,'Données projet'!$E$12+1,1))</f>
        <v>#N/A</v>
      </c>
      <c r="CE147" s="60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243.3849599999993</v>
      </c>
      <c r="CV147" s="14">
        <f t="shared" si="149"/>
        <v>59.167226410760932</v>
      </c>
      <c r="CW147" s="22">
        <f t="shared" si="121"/>
        <v>526.94505799874071</v>
      </c>
      <c r="CX147" s="60">
        <f t="shared" si="122"/>
        <v>820.27839133207408</v>
      </c>
      <c r="CY147" s="60">
        <f ca="1">AVERAGE(OFFSET($CX$3,0,0,'Données projet'!$E$13+1,1))-AVERAGE(OFFSET($H$3,0,0,'Données projet'!$E$13+1,1))</f>
        <v>415.50509041799154</v>
      </c>
      <c r="CZ147" s="60">
        <f t="shared" si="150"/>
        <v>239.93573789765657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2.4</v>
      </c>
      <c r="DO147" s="13">
        <f>IF('Données projet'!$A$166&gt;35,DO146+DN147-DW146,IF(A147&lt;'Données projet'!$A$166,$DL$205^A147,IF(A147='Données projet'!$A$166,'Données projet'!$B$166,DO146+DN147-DW146)))</f>
        <v>278.59999999999917</v>
      </c>
      <c r="DP147" s="18">
        <f>DO147*VLOOKUP('Données projet'!$B$14,Paramètres!$A$1:$I$89,3,0)*VLOOKUP('Données projet'!$B$14,Paramètres!$A$1:$I$89,5,0)</f>
        <v>282.50039999999916</v>
      </c>
      <c r="DQ147" s="14">
        <f t="shared" si="151"/>
        <v>67.495141560894254</v>
      </c>
      <c r="DR147" s="22">
        <f t="shared" si="124"/>
        <v>609.57556821855599</v>
      </c>
      <c r="DS147" s="60">
        <f t="shared" si="125"/>
        <v>902.90890155188936</v>
      </c>
      <c r="DT147" s="60">
        <f ca="1">AVERAGE(OFFSET($DS$3,0,0,'Données projet'!$E$14+1,1))-AVERAGE(OFFSET($H$3,0,0,'Données projet'!$E$14+1,1))</f>
        <v>475.47920969424894</v>
      </c>
      <c r="DU147" s="60">
        <f t="shared" si="152"/>
        <v>271.73544012419364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2.4</v>
      </c>
      <c r="EJ147" s="13">
        <f>IF('Données projet'!$A$192&gt;35,EJ146+EI147-ER146,IF(A147&lt;'Données projet'!$A$192,$EG$205^A147,IF(A147='Données projet'!$A$192,'Données projet'!$B$192,EJ146+EI147-ER146)))</f>
        <v>278.59999999999917</v>
      </c>
      <c r="EK147" s="18">
        <f>EJ147*VLOOKUP('Données projet'!$B$15,Paramètres!$A$1:$I$89,3,0)*VLOOKUP('Données projet'!$B$15,Paramètres!$A$1:$I$89,5,0)</f>
        <v>252.07727999999923</v>
      </c>
      <c r="EL147" s="14">
        <f t="shared" si="153"/>
        <v>61.030544652154823</v>
      </c>
      <c r="EM147" s="22">
        <f t="shared" si="127"/>
        <v>545.32946126916829</v>
      </c>
      <c r="EN147" s="60">
        <f t="shared" si="128"/>
        <v>838.66279460250166</v>
      </c>
      <c r="EO147" s="60">
        <f ca="1">AVERAGE(OFFSET($EN$3,0,0,'Données projet'!$E$15+1,1))-AVERAGE(OFFSET($H$3,0,0,'Données projet'!$E$15+1,1))</f>
        <v>428.8489304403459</v>
      </c>
      <c r="EP147" s="60">
        <f t="shared" si="154"/>
        <v>247.01165577562966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2.4</v>
      </c>
      <c r="FE147" s="13">
        <f>IF('Données projet'!$A$218&gt;35,FE146+FD147-FM146,IF(A147&lt;'Données projet'!$A$218,$FB$205^A147,IF(A147='Données projet'!$A$218,'Données projet'!$B$218,FE146+FD147-FM146)))</f>
        <v>278.59999999999917</v>
      </c>
      <c r="FF147" s="18">
        <f>FE147*VLOOKUP('Données projet'!$B$16,Paramètres!$A$1:$I$89,3,0)*VLOOKUP('Données projet'!$B$16,Paramètres!$A$1:$I$89,5,0)</f>
        <v>269.46191999999922</v>
      </c>
      <c r="FG147" s="14">
        <f t="shared" si="155"/>
        <v>64.735061876838927</v>
      </c>
      <c r="FH147" s="22">
        <f t="shared" si="130"/>
        <v>582.05974343549315</v>
      </c>
      <c r="FI147" s="60">
        <f t="shared" si="131"/>
        <v>875.3930767688264</v>
      </c>
      <c r="FJ147" s="60">
        <f ca="1">AVERAGE(OFFSET($FI$3,0,0,'Données projet'!$E$16+1,1))-AVERAGE(OFFSET($H$3,0,0,'Données projet'!$E$16+1,1))</f>
        <v>455.50822833641354</v>
      </c>
      <c r="FK147" s="60">
        <f t="shared" si="156"/>
        <v>261.14722581688039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 t="e">
        <f>N148*VLOOKUP('Données projet'!$B$9,Paramètres!$A$1:$I$89,3,0)*VLOOKUP('Données projet'!$B$9,Paramètres!$A$1:$I$89,5,0)</f>
        <v>#N/A</v>
      </c>
      <c r="P148" s="14" t="e">
        <f t="shared" si="141"/>
        <v>#N/A</v>
      </c>
      <c r="Q148" s="22" t="e">
        <f t="shared" si="108"/>
        <v>#N/A</v>
      </c>
      <c r="R148" s="60" t="e">
        <f t="shared" si="109"/>
        <v>#N/A</v>
      </c>
      <c r="S148" s="60" t="e">
        <f ca="1">AVERAGE(OFFSET($R$3,0,0,'Données projet'!$E$9+1,1))-AVERAGE(OFFSET($H$3,0,0,'Données projet'!$E$9+1,1))</f>
        <v>#N/A</v>
      </c>
      <c r="T148" s="60" t="e">
        <f t="shared" si="142"/>
        <v>#N/A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 t="e">
        <f>EXP(-LN(2)/35)*Z147+(1-EXP(-LN(2)/35))/(LN(2)/35)*V148*W148*VLOOKUP('Données projet'!$B$9,Paramètres!$A$1:$I$89,3,0)*0.475*44/12</f>
        <v>#N/A</v>
      </c>
      <c r="AA148" s="23" t="e">
        <f>EXP(-LN(2)/25)*AA147+(1-EXP(-LN(2)/25))/(LN(2)/25)*Calculateur!V148*Calculateur!X148*VLOOKUP('Données projet'!$B$9,Paramètres!$A$1:$I$89,3,0)*0.475*44/12</f>
        <v>#N/A</v>
      </c>
      <c r="AB148" s="23" t="e">
        <f>EXP(-LN(2)/2)*AB147+(1-EXP(-LN(2)/2))/(LN(2)/2)*V148*Y148*VLOOKUP('Données projet'!$B$9,Paramètres!$A$1:$I$89,3,0)*0.475*44/12</f>
        <v>#N/A</v>
      </c>
      <c r="AC148" s="24" t="e">
        <f t="shared" si="111"/>
        <v>#N/A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1.9863364286720756E-13</v>
      </c>
      <c r="AK148" s="14">
        <f t="shared" si="143"/>
        <v>2.7549360720371426E-12</v>
      </c>
      <c r="AL148" s="22">
        <f t="shared" si="112"/>
        <v>5.144133920125077E-12</v>
      </c>
      <c r="AM148" s="60">
        <f t="shared" si="113"/>
        <v>293.33333333333843</v>
      </c>
      <c r="AN148" s="60">
        <f ca="1">AVERAGE(OFFSET($AM$3,0,0,'Données projet'!$E$10+1,1))-AVERAGE(OFFSET($H$3,0,0,'Données projet'!$E$10+1,1))</f>
        <v>325.06345339097095</v>
      </c>
      <c r="AO148" s="60">
        <f t="shared" si="144"/>
        <v>318.90379036810754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0" t="e">
        <f t="shared" si="116"/>
        <v>#N/A</v>
      </c>
      <c r="BI148" s="60" t="e">
        <f ca="1">AVERAGE(OFFSET($BH$3,0,0,'Données projet'!$E$11+1,1))-AVERAGE(OFFSET($H$3,0,0,'Données projet'!$E$11+1,1))</f>
        <v>#N/A</v>
      </c>
      <c r="BJ148" s="60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0" t="e">
        <f t="shared" si="119"/>
        <v>#N/A</v>
      </c>
      <c r="CD148" s="60" t="e">
        <f ca="1">AVERAGE(OFFSET($CC$3,0,0,'Données projet'!$E$12+1,1))-AVERAGE(OFFSET($H$3,0,0,'Données projet'!$E$12+1,1))</f>
        <v>#N/A</v>
      </c>
      <c r="CE148" s="60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245.48159999999928</v>
      </c>
      <c r="CV148" s="14">
        <f t="shared" si="149"/>
        <v>59.6173688387331</v>
      </c>
      <c r="CW148" s="22">
        <f t="shared" si="121"/>
        <v>531.38070406079225</v>
      </c>
      <c r="CX148" s="60">
        <f t="shared" si="122"/>
        <v>824.71403739412563</v>
      </c>
      <c r="CY148" s="60">
        <f ca="1">AVERAGE(OFFSET($CX$3,0,0,'Données projet'!$E$13+1,1))-AVERAGE(OFFSET($H$3,0,0,'Données projet'!$E$13+1,1))</f>
        <v>415.50509041799154</v>
      </c>
      <c r="CZ148" s="60">
        <f t="shared" si="150"/>
        <v>239.93573789765657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2.4</v>
      </c>
      <c r="DO148" s="13">
        <f>IF('Données projet'!$A$166&gt;35,DO147+DN148-DW147,IF(A148&lt;'Données projet'!$A$166,$DL$205^A148,IF(A148='Données projet'!$A$166,'Données projet'!$B$166,DO147+DN148-DW147)))</f>
        <v>280.99999999999915</v>
      </c>
      <c r="DP148" s="18">
        <f>DO148*VLOOKUP('Données projet'!$B$14,Paramètres!$A$1:$I$89,3,0)*VLOOKUP('Données projet'!$B$14,Paramètres!$A$1:$I$89,5,0)</f>
        <v>284.93399999999917</v>
      </c>
      <c r="DQ148" s="14">
        <f t="shared" si="151"/>
        <v>68.008642509673109</v>
      </c>
      <c r="DR148" s="22">
        <f t="shared" si="124"/>
        <v>614.7084357043459</v>
      </c>
      <c r="DS148" s="60">
        <f t="shared" si="125"/>
        <v>908.04176903767916</v>
      </c>
      <c r="DT148" s="60">
        <f ca="1">AVERAGE(OFFSET($DS$3,0,0,'Données projet'!$E$14+1,1))-AVERAGE(OFFSET($H$3,0,0,'Données projet'!$E$14+1,1))</f>
        <v>475.47920969424894</v>
      </c>
      <c r="DU148" s="60">
        <f t="shared" si="152"/>
        <v>271.73544012419364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2.4</v>
      </c>
      <c r="EJ148" s="13">
        <f>IF('Données projet'!$A$192&gt;35,EJ147+EI148-ER147,IF(A148&lt;'Données projet'!$A$192,$EG$205^A148,IF(A148='Données projet'!$A$192,'Données projet'!$B$192,EJ147+EI148-ER147)))</f>
        <v>280.99999999999915</v>
      </c>
      <c r="EK148" s="18">
        <f>EJ148*VLOOKUP('Données projet'!$B$15,Paramètres!$A$1:$I$89,3,0)*VLOOKUP('Données projet'!$B$15,Paramètres!$A$1:$I$89,5,0)</f>
        <v>254.24879999999925</v>
      </c>
      <c r="EL148" s="14">
        <f t="shared" si="153"/>
        <v>61.494863147658698</v>
      </c>
      <c r="EM148" s="22">
        <f t="shared" si="127"/>
        <v>549.92021331550427</v>
      </c>
      <c r="EN148" s="60">
        <f t="shared" si="128"/>
        <v>843.25354664883753</v>
      </c>
      <c r="EO148" s="60">
        <f ca="1">AVERAGE(OFFSET($EN$3,0,0,'Données projet'!$E$15+1,1))-AVERAGE(OFFSET($H$3,0,0,'Données projet'!$E$15+1,1))</f>
        <v>428.8489304403459</v>
      </c>
      <c r="EP148" s="60">
        <f t="shared" si="154"/>
        <v>247.01165577562966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2.4</v>
      </c>
      <c r="FE148" s="13">
        <f>IF('Données projet'!$A$218&gt;35,FE147+FD148-FM147,IF(A148&lt;'Données projet'!$A$218,$FB$205^A148,IF(A148='Données projet'!$A$218,'Données projet'!$B$218,FE147+FD148-FM147)))</f>
        <v>280.99999999999915</v>
      </c>
      <c r="FF148" s="18">
        <f>FE148*VLOOKUP('Données projet'!$B$16,Paramètres!$A$1:$I$89,3,0)*VLOOKUP('Données projet'!$B$16,Paramètres!$A$1:$I$89,5,0)</f>
        <v>271.78319999999917</v>
      </c>
      <c r="FG148" s="14">
        <f t="shared" si="155"/>
        <v>65.227564224775008</v>
      </c>
      <c r="FH148" s="22">
        <f t="shared" si="130"/>
        <v>586.96041435814834</v>
      </c>
      <c r="FI148" s="60">
        <f t="shared" si="131"/>
        <v>880.29374769148171</v>
      </c>
      <c r="FJ148" s="60">
        <f ca="1">AVERAGE(OFFSET($FI$3,0,0,'Données projet'!$E$16+1,1))-AVERAGE(OFFSET($H$3,0,0,'Données projet'!$E$16+1,1))</f>
        <v>455.50822833641354</v>
      </c>
      <c r="FK148" s="60">
        <f t="shared" si="156"/>
        <v>261.14722581688039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 t="e">
        <f>N149*VLOOKUP('Données projet'!$B$9,Paramètres!$A$1:$I$89,3,0)*VLOOKUP('Données projet'!$B$9,Paramètres!$A$1:$I$89,5,0)</f>
        <v>#N/A</v>
      </c>
      <c r="P149" s="14" t="e">
        <f t="shared" si="141"/>
        <v>#N/A</v>
      </c>
      <c r="Q149" s="22" t="e">
        <f t="shared" si="108"/>
        <v>#N/A</v>
      </c>
      <c r="R149" s="60" t="e">
        <f t="shared" si="109"/>
        <v>#N/A</v>
      </c>
      <c r="S149" s="60" t="e">
        <f ca="1">AVERAGE(OFFSET($R$3,0,0,'Données projet'!$E$9+1,1))-AVERAGE(OFFSET($H$3,0,0,'Données projet'!$E$9+1,1))</f>
        <v>#N/A</v>
      </c>
      <c r="T149" s="60" t="e">
        <f t="shared" si="142"/>
        <v>#N/A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 t="e">
        <f>EXP(-LN(2)/35)*Z148+(1-EXP(-LN(2)/35))/(LN(2)/35)*V149*W149*VLOOKUP('Données projet'!$B$9,Paramètres!$A$1:$I$89,3,0)*0.475*44/12</f>
        <v>#N/A</v>
      </c>
      <c r="AA149" s="23" t="e">
        <f>EXP(-LN(2)/25)*AA148+(1-EXP(-LN(2)/25))/(LN(2)/25)*Calculateur!V149*Calculateur!X149*VLOOKUP('Données projet'!$B$9,Paramètres!$A$1:$I$89,3,0)*0.475*44/12</f>
        <v>#N/A</v>
      </c>
      <c r="AB149" s="23" t="e">
        <f>EXP(-LN(2)/2)*AB148+(1-EXP(-LN(2)/2))/(LN(2)/2)*V149*Y149*VLOOKUP('Données projet'!$B$9,Paramètres!$A$1:$I$89,3,0)*0.475*44/12</f>
        <v>#N/A</v>
      </c>
      <c r="AC149" s="24" t="e">
        <f t="shared" si="111"/>
        <v>#N/A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1.9863364286720756E-13</v>
      </c>
      <c r="AK149" s="14">
        <f t="shared" si="143"/>
        <v>2.7549360720371426E-12</v>
      </c>
      <c r="AL149" s="22">
        <f t="shared" si="112"/>
        <v>5.144133920125077E-12</v>
      </c>
      <c r="AM149" s="60">
        <f t="shared" si="113"/>
        <v>293.33333333333843</v>
      </c>
      <c r="AN149" s="60">
        <f ca="1">AVERAGE(OFFSET($AM$3,0,0,'Données projet'!$E$10+1,1))-AVERAGE(OFFSET($H$3,0,0,'Données projet'!$E$10+1,1))</f>
        <v>325.06345339097095</v>
      </c>
      <c r="AO149" s="60">
        <f t="shared" si="144"/>
        <v>318.90379036810754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0" t="e">
        <f t="shared" si="116"/>
        <v>#N/A</v>
      </c>
      <c r="BI149" s="60" t="e">
        <f ca="1">AVERAGE(OFFSET($BH$3,0,0,'Données projet'!$E$11+1,1))-AVERAGE(OFFSET($H$3,0,0,'Données projet'!$E$11+1,1))</f>
        <v>#N/A</v>
      </c>
      <c r="BJ149" s="60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0" t="e">
        <f t="shared" si="119"/>
        <v>#N/A</v>
      </c>
      <c r="CD149" s="60" t="e">
        <f ca="1">AVERAGE(OFFSET($CC$3,0,0,'Données projet'!$E$12+1,1))-AVERAGE(OFFSET($H$3,0,0,'Données projet'!$E$12+1,1))</f>
        <v>#N/A</v>
      </c>
      <c r="CE149" s="60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247.57823999999925</v>
      </c>
      <c r="CV149" s="14">
        <f t="shared" si="149"/>
        <v>60.067063968069036</v>
      </c>
      <c r="CW149" s="22">
        <f t="shared" si="121"/>
        <v>535.8155710777188</v>
      </c>
      <c r="CX149" s="60">
        <f t="shared" si="122"/>
        <v>829.14890441105217</v>
      </c>
      <c r="CY149" s="60">
        <f ca="1">AVERAGE(OFFSET($CX$3,0,0,'Données projet'!$E$13+1,1))-AVERAGE(OFFSET($H$3,0,0,'Données projet'!$E$13+1,1))</f>
        <v>415.50509041799154</v>
      </c>
      <c r="CZ149" s="60">
        <f t="shared" si="150"/>
        <v>239.93573789765657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2.4</v>
      </c>
      <c r="DO149" s="13">
        <f>IF('Données projet'!$A$166&gt;35,DO148+DN149-DW148,IF(A149&lt;'Données projet'!$A$166,$DL$205^A149,IF(A149='Données projet'!$A$166,'Données projet'!$B$166,DO148+DN149-DW148)))</f>
        <v>283.39999999999912</v>
      </c>
      <c r="DP149" s="18">
        <f>DO149*VLOOKUP('Données projet'!$B$14,Paramètres!$A$1:$I$89,3,0)*VLOOKUP('Données projet'!$B$14,Paramètres!$A$1:$I$89,5,0)</f>
        <v>287.36759999999913</v>
      </c>
      <c r="DQ149" s="14">
        <f t="shared" si="151"/>
        <v>68.521633201564995</v>
      </c>
      <c r="DR149" s="22">
        <f t="shared" si="124"/>
        <v>619.84041449272411</v>
      </c>
      <c r="DS149" s="60">
        <f t="shared" si="125"/>
        <v>913.17374782605748</v>
      </c>
      <c r="DT149" s="60">
        <f ca="1">AVERAGE(OFFSET($DS$3,0,0,'Données projet'!$E$14+1,1))-AVERAGE(OFFSET($H$3,0,0,'Données projet'!$E$14+1,1))</f>
        <v>475.47920969424894</v>
      </c>
      <c r="DU149" s="60">
        <f t="shared" si="152"/>
        <v>271.73544012419364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2.4</v>
      </c>
      <c r="EJ149" s="13">
        <f>IF('Données projet'!$A$192&gt;35,EJ148+EI149-ER148,IF(A149&lt;'Données projet'!$A$192,$EG$205^A149,IF(A149='Données projet'!$A$192,'Données projet'!$B$192,EJ148+EI149-ER148)))</f>
        <v>283.39999999999912</v>
      </c>
      <c r="EK149" s="18">
        <f>EJ149*VLOOKUP('Données projet'!$B$15,Paramètres!$A$1:$I$89,3,0)*VLOOKUP('Données projet'!$B$15,Paramètres!$A$1:$I$89,5,0)</f>
        <v>256.42031999999921</v>
      </c>
      <c r="EL149" s="14">
        <f t="shared" si="153"/>
        <v>61.958720258016747</v>
      </c>
      <c r="EM149" s="22">
        <f t="shared" si="127"/>
        <v>554.51016178271107</v>
      </c>
      <c r="EN149" s="60">
        <f t="shared" si="128"/>
        <v>847.84349511604432</v>
      </c>
      <c r="EO149" s="60">
        <f ca="1">AVERAGE(OFFSET($EN$3,0,0,'Données projet'!$E$15+1,1))-AVERAGE(OFFSET($H$3,0,0,'Données projet'!$E$15+1,1))</f>
        <v>428.8489304403459</v>
      </c>
      <c r="EP149" s="60">
        <f t="shared" si="154"/>
        <v>247.01165577562966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2.4</v>
      </c>
      <c r="FE149" s="13">
        <f>IF('Données projet'!$A$218&gt;35,FE148+FD149-FM148,IF(A149&lt;'Données projet'!$A$218,$FB$205^A149,IF(A149='Données projet'!$A$218,'Données projet'!$B$218,FE148+FD149-FM148)))</f>
        <v>283.39999999999912</v>
      </c>
      <c r="FF149" s="18">
        <f>FE149*VLOOKUP('Données projet'!$B$16,Paramètres!$A$1:$I$89,3,0)*VLOOKUP('Données projet'!$B$16,Paramètres!$A$1:$I$89,5,0)</f>
        <v>274.10447999999917</v>
      </c>
      <c r="FG149" s="14">
        <f t="shared" si="155"/>
        <v>65.719577181765331</v>
      </c>
      <c r="FH149" s="22">
        <f t="shared" si="130"/>
        <v>591.86023292490643</v>
      </c>
      <c r="FI149" s="60">
        <f t="shared" si="131"/>
        <v>885.1935662582398</v>
      </c>
      <c r="FJ149" s="60">
        <f ca="1">AVERAGE(OFFSET($FI$3,0,0,'Données projet'!$E$16+1,1))-AVERAGE(OFFSET($H$3,0,0,'Données projet'!$E$16+1,1))</f>
        <v>455.50822833641354</v>
      </c>
      <c r="FK149" s="60">
        <f t="shared" si="156"/>
        <v>261.14722581688039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 t="e">
        <f>N150*VLOOKUP('Données projet'!$B$9,Paramètres!$A$1:$I$89,3,0)*VLOOKUP('Données projet'!$B$9,Paramètres!$A$1:$I$89,5,0)</f>
        <v>#N/A</v>
      </c>
      <c r="P150" s="14" t="e">
        <f t="shared" si="141"/>
        <v>#N/A</v>
      </c>
      <c r="Q150" s="22" t="e">
        <f t="shared" si="108"/>
        <v>#N/A</v>
      </c>
      <c r="R150" s="60" t="e">
        <f t="shared" si="109"/>
        <v>#N/A</v>
      </c>
      <c r="S150" s="60" t="e">
        <f ca="1">AVERAGE(OFFSET($R$3,0,0,'Données projet'!$E$9+1,1))-AVERAGE(OFFSET($H$3,0,0,'Données projet'!$E$9+1,1))</f>
        <v>#N/A</v>
      </c>
      <c r="T150" s="60" t="e">
        <f t="shared" si="142"/>
        <v>#N/A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 t="e">
        <f>EXP(-LN(2)/35)*Z149+(1-EXP(-LN(2)/35))/(LN(2)/35)*V150*W150*VLOOKUP('Données projet'!$B$9,Paramètres!$A$1:$I$89,3,0)*0.475*44/12</f>
        <v>#N/A</v>
      </c>
      <c r="AA150" s="23" t="e">
        <f>EXP(-LN(2)/25)*AA149+(1-EXP(-LN(2)/25))/(LN(2)/25)*Calculateur!V150*Calculateur!X150*VLOOKUP('Données projet'!$B$9,Paramètres!$A$1:$I$89,3,0)*0.475*44/12</f>
        <v>#N/A</v>
      </c>
      <c r="AB150" s="23" t="e">
        <f>EXP(-LN(2)/2)*AB149+(1-EXP(-LN(2)/2))/(LN(2)/2)*V150*Y150*VLOOKUP('Données projet'!$B$9,Paramètres!$A$1:$I$89,3,0)*0.475*44/12</f>
        <v>#N/A</v>
      </c>
      <c r="AC150" s="24" t="e">
        <f t="shared" si="111"/>
        <v>#N/A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1.9863364286720756E-13</v>
      </c>
      <c r="AK150" s="14">
        <f t="shared" si="143"/>
        <v>2.7549360720371426E-12</v>
      </c>
      <c r="AL150" s="22">
        <f t="shared" si="112"/>
        <v>5.144133920125077E-12</v>
      </c>
      <c r="AM150" s="60">
        <f t="shared" si="113"/>
        <v>293.33333333333843</v>
      </c>
      <c r="AN150" s="60">
        <f ca="1">AVERAGE(OFFSET($AM$3,0,0,'Données projet'!$E$10+1,1))-AVERAGE(OFFSET($H$3,0,0,'Données projet'!$E$10+1,1))</f>
        <v>325.06345339097095</v>
      </c>
      <c r="AO150" s="60">
        <f t="shared" si="144"/>
        <v>318.90379036810754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0" t="e">
        <f t="shared" si="116"/>
        <v>#N/A</v>
      </c>
      <c r="BI150" s="60" t="e">
        <f ca="1">AVERAGE(OFFSET($BH$3,0,0,'Données projet'!$E$11+1,1))-AVERAGE(OFFSET($H$3,0,0,'Données projet'!$E$11+1,1))</f>
        <v>#N/A</v>
      </c>
      <c r="BJ150" s="60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0" t="e">
        <f t="shared" si="119"/>
        <v>#N/A</v>
      </c>
      <c r="CD150" s="60" t="e">
        <f ca="1">AVERAGE(OFFSET($CC$3,0,0,'Données projet'!$E$12+1,1))-AVERAGE(OFFSET($H$3,0,0,'Données projet'!$E$12+1,1))</f>
        <v>#N/A</v>
      </c>
      <c r="CE150" s="60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249.67487999999926</v>
      </c>
      <c r="CV150" s="14">
        <f t="shared" si="149"/>
        <v>60.516316025700149</v>
      </c>
      <c r="CW150" s="22">
        <f t="shared" si="121"/>
        <v>540.24966641142646</v>
      </c>
      <c r="CX150" s="60">
        <f t="shared" si="122"/>
        <v>833.58299974475972</v>
      </c>
      <c r="CY150" s="60">
        <f ca="1">AVERAGE(OFFSET($CX$3,0,0,'Données projet'!$E$13+1,1))-AVERAGE(OFFSET($H$3,0,0,'Données projet'!$E$13+1,1))</f>
        <v>415.50509041799154</v>
      </c>
      <c r="CZ150" s="60">
        <f t="shared" si="150"/>
        <v>239.93573789765657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2.4</v>
      </c>
      <c r="DO150" s="13">
        <f>IF('Données projet'!$A$166&gt;35,DO149+DN150-DW149,IF(A150&lt;'Données projet'!$A$166,$DL$205^A150,IF(A150='Données projet'!$A$166,'Données projet'!$B$166,DO149+DN150-DW149)))</f>
        <v>285.7999999999991</v>
      </c>
      <c r="DP150" s="18">
        <f>DO150*VLOOKUP('Données projet'!$B$14,Paramètres!$A$1:$I$89,3,0)*VLOOKUP('Données projet'!$B$14,Paramètres!$A$1:$I$89,5,0)</f>
        <v>289.80119999999908</v>
      </c>
      <c r="DQ150" s="14">
        <f t="shared" si="151"/>
        <v>69.034118458450664</v>
      </c>
      <c r="DR150" s="22">
        <f t="shared" si="124"/>
        <v>624.97151298179995</v>
      </c>
      <c r="DS150" s="60">
        <f t="shared" si="125"/>
        <v>918.30484631513332</v>
      </c>
      <c r="DT150" s="60">
        <f ca="1">AVERAGE(OFFSET($DS$3,0,0,'Données projet'!$E$14+1,1))-AVERAGE(OFFSET($H$3,0,0,'Données projet'!$E$14+1,1))</f>
        <v>475.47920969424894</v>
      </c>
      <c r="DU150" s="60">
        <f t="shared" si="152"/>
        <v>271.73544012419364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2.4</v>
      </c>
      <c r="EJ150" s="13">
        <f>IF('Données projet'!$A$192&gt;35,EJ149+EI150-ER149,IF(A150&lt;'Données projet'!$A$192,$EG$205^A150,IF(A150='Données projet'!$A$192,'Données projet'!$B$192,EJ149+EI150-ER149)))</f>
        <v>285.7999999999991</v>
      </c>
      <c r="EK150" s="18">
        <f>EJ150*VLOOKUP('Données projet'!$B$15,Paramètres!$A$1:$I$89,3,0)*VLOOKUP('Données projet'!$B$15,Paramètres!$A$1:$I$89,5,0)</f>
        <v>258.59183999999919</v>
      </c>
      <c r="EL150" s="14">
        <f t="shared" si="153"/>
        <v>62.422120343276475</v>
      </c>
      <c r="EM150" s="22">
        <f t="shared" si="127"/>
        <v>559.09931426453841</v>
      </c>
      <c r="EN150" s="60">
        <f t="shared" si="128"/>
        <v>852.43264759787166</v>
      </c>
      <c r="EO150" s="60">
        <f ca="1">AVERAGE(OFFSET($EN$3,0,0,'Données projet'!$E$15+1,1))-AVERAGE(OFFSET($H$3,0,0,'Données projet'!$E$15+1,1))</f>
        <v>428.8489304403459</v>
      </c>
      <c r="EP150" s="60">
        <f t="shared" si="154"/>
        <v>247.01165577562966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2.4</v>
      </c>
      <c r="FE150" s="13">
        <f>IF('Données projet'!$A$218&gt;35,FE149+FD150-FM149,IF(A150&lt;'Données projet'!$A$218,$FB$205^A150,IF(A150='Données projet'!$A$218,'Données projet'!$B$218,FE149+FD150-FM149)))</f>
        <v>285.7999999999991</v>
      </c>
      <c r="FF150" s="18">
        <f>FE150*VLOOKUP('Données projet'!$B$16,Paramètres!$A$1:$I$89,3,0)*VLOOKUP('Données projet'!$B$16,Paramètres!$A$1:$I$89,5,0)</f>
        <v>276.42575999999912</v>
      </c>
      <c r="FG150" s="14">
        <f t="shared" si="155"/>
        <v>66.211105372509707</v>
      </c>
      <c r="FH150" s="22">
        <f t="shared" si="130"/>
        <v>596.75920719045291</v>
      </c>
      <c r="FI150" s="60">
        <f t="shared" si="131"/>
        <v>890.09254052378628</v>
      </c>
      <c r="FJ150" s="60">
        <f ca="1">AVERAGE(OFFSET($FI$3,0,0,'Données projet'!$E$16+1,1))-AVERAGE(OFFSET($H$3,0,0,'Données projet'!$E$16+1,1))</f>
        <v>455.50822833641354</v>
      </c>
      <c r="FK150" s="60">
        <f t="shared" si="156"/>
        <v>261.14722581688039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 t="e">
        <f>N151*VLOOKUP('Données projet'!$B$9,Paramètres!$A$1:$I$89,3,0)*VLOOKUP('Données projet'!$B$9,Paramètres!$A$1:$I$89,5,0)</f>
        <v>#N/A</v>
      </c>
      <c r="P151" s="14" t="e">
        <f t="shared" si="141"/>
        <v>#N/A</v>
      </c>
      <c r="Q151" s="22" t="e">
        <f t="shared" si="108"/>
        <v>#N/A</v>
      </c>
      <c r="R151" s="60" t="e">
        <f t="shared" si="109"/>
        <v>#N/A</v>
      </c>
      <c r="S151" s="60" t="e">
        <f ca="1">AVERAGE(OFFSET($R$3,0,0,'Données projet'!$E$9+1,1))-AVERAGE(OFFSET($H$3,0,0,'Données projet'!$E$9+1,1))</f>
        <v>#N/A</v>
      </c>
      <c r="T151" s="60" t="e">
        <f t="shared" si="142"/>
        <v>#N/A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 t="e">
        <f>EXP(-LN(2)/35)*Z150+(1-EXP(-LN(2)/35))/(LN(2)/35)*V151*W151*VLOOKUP('Données projet'!$B$9,Paramètres!$A$1:$I$89,3,0)*0.475*44/12</f>
        <v>#N/A</v>
      </c>
      <c r="AA151" s="23" t="e">
        <f>EXP(-LN(2)/25)*AA150+(1-EXP(-LN(2)/25))/(LN(2)/25)*Calculateur!V151*Calculateur!X151*VLOOKUP('Données projet'!$B$9,Paramètres!$A$1:$I$89,3,0)*0.475*44/12</f>
        <v>#N/A</v>
      </c>
      <c r="AB151" s="23" t="e">
        <f>EXP(-LN(2)/2)*AB150+(1-EXP(-LN(2)/2))/(LN(2)/2)*V151*Y151*VLOOKUP('Données projet'!$B$9,Paramètres!$A$1:$I$89,3,0)*0.475*44/12</f>
        <v>#N/A</v>
      </c>
      <c r="AC151" s="24" t="e">
        <f t="shared" si="111"/>
        <v>#N/A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1.9863364286720756E-13</v>
      </c>
      <c r="AK151" s="14">
        <f t="shared" si="143"/>
        <v>2.7549360720371426E-12</v>
      </c>
      <c r="AL151" s="22">
        <f t="shared" si="112"/>
        <v>5.144133920125077E-12</v>
      </c>
      <c r="AM151" s="60">
        <f t="shared" si="113"/>
        <v>293.33333333333843</v>
      </c>
      <c r="AN151" s="60">
        <f ca="1">AVERAGE(OFFSET($AM$3,0,0,'Données projet'!$E$10+1,1))-AVERAGE(OFFSET($H$3,0,0,'Données projet'!$E$10+1,1))</f>
        <v>325.06345339097095</v>
      </c>
      <c r="AO151" s="60">
        <f t="shared" si="144"/>
        <v>318.90379036810754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0" t="e">
        <f t="shared" si="116"/>
        <v>#N/A</v>
      </c>
      <c r="BI151" s="60" t="e">
        <f ca="1">AVERAGE(OFFSET($BH$3,0,0,'Données projet'!$E$11+1,1))-AVERAGE(OFFSET($H$3,0,0,'Données projet'!$E$11+1,1))</f>
        <v>#N/A</v>
      </c>
      <c r="BJ151" s="60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0" t="e">
        <f t="shared" si="119"/>
        <v>#N/A</v>
      </c>
      <c r="CD151" s="60" t="e">
        <f ca="1">AVERAGE(OFFSET($CC$3,0,0,'Données projet'!$E$12+1,1))-AVERAGE(OFFSET($H$3,0,0,'Données projet'!$E$12+1,1))</f>
        <v>#N/A</v>
      </c>
      <c r="CE151" s="60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251.77151999999924</v>
      </c>
      <c r="CV151" s="14">
        <f t="shared" si="149"/>
        <v>60.965129163468802</v>
      </c>
      <c r="CW151" s="22">
        <f t="shared" si="121"/>
        <v>544.6829972930401</v>
      </c>
      <c r="CX151" s="60">
        <f t="shared" si="122"/>
        <v>838.01633062637347</v>
      </c>
      <c r="CY151" s="60">
        <f ca="1">AVERAGE(OFFSET($CX$3,0,0,'Données projet'!$E$13+1,1))-AVERAGE(OFFSET($H$3,0,0,'Données projet'!$E$13+1,1))</f>
        <v>415.50509041799154</v>
      </c>
      <c r="CZ151" s="60">
        <f t="shared" si="150"/>
        <v>239.93573789765657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2.4</v>
      </c>
      <c r="DO151" s="13">
        <f>IF('Données projet'!$A$166&gt;35,DO150+DN151-DW150,IF(A151&lt;'Données projet'!$A$166,$DL$205^A151,IF(A151='Données projet'!$A$166,'Données projet'!$B$166,DO150+DN151-DW150)))</f>
        <v>288.19999999999908</v>
      </c>
      <c r="DP151" s="18">
        <f>DO151*VLOOKUP('Données projet'!$B$14,Paramètres!$A$1:$I$89,3,0)*VLOOKUP('Données projet'!$B$14,Paramètres!$A$1:$I$89,5,0)</f>
        <v>292.2347999999991</v>
      </c>
      <c r="DQ151" s="14">
        <f t="shared" si="151"/>
        <v>69.546103016553573</v>
      </c>
      <c r="DR151" s="22">
        <f t="shared" si="124"/>
        <v>630.10173942049585</v>
      </c>
      <c r="DS151" s="60">
        <f t="shared" si="125"/>
        <v>923.43507275382922</v>
      </c>
      <c r="DT151" s="60">
        <f ca="1">AVERAGE(OFFSET($DS$3,0,0,'Données projet'!$E$14+1,1))-AVERAGE(OFFSET($H$3,0,0,'Données projet'!$E$14+1,1))</f>
        <v>475.47920969424894</v>
      </c>
      <c r="DU151" s="60">
        <f t="shared" si="152"/>
        <v>271.73544012419364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2.4</v>
      </c>
      <c r="EJ151" s="13">
        <f>IF('Données projet'!$A$192&gt;35,EJ150+EI151-ER150,IF(A151&lt;'Données projet'!$A$192,$EG$205^A151,IF(A151='Données projet'!$A$192,'Données projet'!$B$192,EJ150+EI151-ER150)))</f>
        <v>288.19999999999908</v>
      </c>
      <c r="EK151" s="18">
        <f>EJ151*VLOOKUP('Données projet'!$B$15,Paramètres!$A$1:$I$89,3,0)*VLOOKUP('Données projet'!$B$15,Paramètres!$A$1:$I$89,5,0)</f>
        <v>260.76335999999918</v>
      </c>
      <c r="EL151" s="14">
        <f t="shared" si="153"/>
        <v>62.885067686031789</v>
      </c>
      <c r="EM151" s="22">
        <f t="shared" si="127"/>
        <v>563.68767821983727</v>
      </c>
      <c r="EN151" s="60">
        <f t="shared" si="128"/>
        <v>857.02101155317064</v>
      </c>
      <c r="EO151" s="60">
        <f ca="1">AVERAGE(OFFSET($EN$3,0,0,'Données projet'!$E$15+1,1))-AVERAGE(OFFSET($H$3,0,0,'Données projet'!$E$15+1,1))</f>
        <v>428.8489304403459</v>
      </c>
      <c r="EP151" s="60">
        <f t="shared" si="154"/>
        <v>247.01165577562966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2.4</v>
      </c>
      <c r="FE151" s="13">
        <f>IF('Données projet'!$A$218&gt;35,FE150+FD151-FM150,IF(A151&lt;'Données projet'!$A$218,$FB$205^A151,IF(A151='Données projet'!$A$218,'Données projet'!$B$218,FE150+FD151-FM150)))</f>
        <v>288.19999999999908</v>
      </c>
      <c r="FF151" s="18">
        <f>FE151*VLOOKUP('Données projet'!$B$16,Paramètres!$A$1:$I$89,3,0)*VLOOKUP('Données projet'!$B$16,Paramètres!$A$1:$I$89,5,0)</f>
        <v>278.74703999999912</v>
      </c>
      <c r="FG151" s="14">
        <f t="shared" si="155"/>
        <v>66.702153339553078</v>
      </c>
      <c r="FH151" s="22">
        <f t="shared" si="130"/>
        <v>601.65734506638671</v>
      </c>
      <c r="FI151" s="60">
        <f t="shared" si="131"/>
        <v>894.99067839972008</v>
      </c>
      <c r="FJ151" s="60">
        <f ca="1">AVERAGE(OFFSET($FI$3,0,0,'Données projet'!$E$16+1,1))-AVERAGE(OFFSET($H$3,0,0,'Données projet'!$E$16+1,1))</f>
        <v>455.50822833641354</v>
      </c>
      <c r="FK151" s="60">
        <f t="shared" si="156"/>
        <v>261.14722581688039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 t="e">
        <f>N152*VLOOKUP('Données projet'!$B$9,Paramètres!$A$1:$I$89,3,0)*VLOOKUP('Données projet'!$B$9,Paramètres!$A$1:$I$89,5,0)</f>
        <v>#N/A</v>
      </c>
      <c r="P152" s="14" t="e">
        <f t="shared" si="141"/>
        <v>#N/A</v>
      </c>
      <c r="Q152" s="22" t="e">
        <f t="shared" si="108"/>
        <v>#N/A</v>
      </c>
      <c r="R152" s="60" t="e">
        <f t="shared" si="109"/>
        <v>#N/A</v>
      </c>
      <c r="S152" s="60" t="e">
        <f ca="1">AVERAGE(OFFSET($R$3,0,0,'Données projet'!$E$9+1,1))-AVERAGE(OFFSET($H$3,0,0,'Données projet'!$E$9+1,1))</f>
        <v>#N/A</v>
      </c>
      <c r="T152" s="60" t="e">
        <f t="shared" si="142"/>
        <v>#N/A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 t="e">
        <f>EXP(-LN(2)/35)*Z151+(1-EXP(-LN(2)/35))/(LN(2)/35)*V152*W152*VLOOKUP('Données projet'!$B$9,Paramètres!$A$1:$I$89,3,0)*0.475*44/12</f>
        <v>#N/A</v>
      </c>
      <c r="AA152" s="23" t="e">
        <f>EXP(-LN(2)/25)*AA151+(1-EXP(-LN(2)/25))/(LN(2)/25)*Calculateur!V152*Calculateur!X152*VLOOKUP('Données projet'!$B$9,Paramètres!$A$1:$I$89,3,0)*0.475*44/12</f>
        <v>#N/A</v>
      </c>
      <c r="AB152" s="23" t="e">
        <f>EXP(-LN(2)/2)*AB151+(1-EXP(-LN(2)/2))/(LN(2)/2)*V152*Y152*VLOOKUP('Données projet'!$B$9,Paramètres!$A$1:$I$89,3,0)*0.475*44/12</f>
        <v>#N/A</v>
      </c>
      <c r="AC152" s="24" t="e">
        <f t="shared" si="111"/>
        <v>#N/A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1.9863364286720756E-13</v>
      </c>
      <c r="AK152" s="14">
        <f t="shared" si="143"/>
        <v>2.7549360720371426E-12</v>
      </c>
      <c r="AL152" s="22">
        <f t="shared" si="112"/>
        <v>5.144133920125077E-12</v>
      </c>
      <c r="AM152" s="60">
        <f t="shared" si="113"/>
        <v>293.33333333333843</v>
      </c>
      <c r="AN152" s="60">
        <f ca="1">AVERAGE(OFFSET($AM$3,0,0,'Données projet'!$E$10+1,1))-AVERAGE(OFFSET($H$3,0,0,'Données projet'!$E$10+1,1))</f>
        <v>325.06345339097095</v>
      </c>
      <c r="AO152" s="60">
        <f t="shared" si="144"/>
        <v>318.90379036810754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0" t="e">
        <f t="shared" si="116"/>
        <v>#N/A</v>
      </c>
      <c r="BI152" s="60" t="e">
        <f ca="1">AVERAGE(OFFSET($BH$3,0,0,'Données projet'!$E$11+1,1))-AVERAGE(OFFSET($H$3,0,0,'Données projet'!$E$11+1,1))</f>
        <v>#N/A</v>
      </c>
      <c r="BJ152" s="60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0" t="e">
        <f t="shared" si="119"/>
        <v>#N/A</v>
      </c>
      <c r="CD152" s="60" t="e">
        <f ca="1">AVERAGE(OFFSET($CC$3,0,0,'Données projet'!$E$12+1,1))-AVERAGE(OFFSET($H$3,0,0,'Données projet'!$E$12+1,1))</f>
        <v>#N/A</v>
      </c>
      <c r="CE152" s="60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253.86815999999919</v>
      </c>
      <c r="CV152" s="14">
        <f t="shared" si="149"/>
        <v>61.413507460076787</v>
      </c>
      <c r="CW152" s="22">
        <f t="shared" si="121"/>
        <v>549.11557082629895</v>
      </c>
      <c r="CX152" s="60">
        <f t="shared" si="122"/>
        <v>842.44890415963232</v>
      </c>
      <c r="CY152" s="60">
        <f ca="1">AVERAGE(OFFSET($CX$3,0,0,'Données projet'!$E$13+1,1))-AVERAGE(OFFSET($H$3,0,0,'Données projet'!$E$13+1,1))</f>
        <v>415.50509041799154</v>
      </c>
      <c r="CZ152" s="60">
        <f t="shared" si="150"/>
        <v>239.93573789765657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2.4</v>
      </c>
      <c r="DO152" s="13">
        <f>IF('Données projet'!$A$166&gt;35,DO151+DN152-DW151,IF(A152&lt;'Données projet'!$A$166,$DL$205^A152,IF(A152='Données projet'!$A$166,'Données projet'!$B$166,DO151+DN152-DW151)))</f>
        <v>290.59999999999906</v>
      </c>
      <c r="DP152" s="18">
        <f>DO152*VLOOKUP('Données projet'!$B$14,Paramètres!$A$1:$I$89,3,0)*VLOOKUP('Données projet'!$B$14,Paramètres!$A$1:$I$89,5,0)</f>
        <v>294.66839999999905</v>
      </c>
      <c r="DQ152" s="14">
        <f t="shared" si="151"/>
        <v>70.057591528661362</v>
      </c>
      <c r="DR152" s="22">
        <f t="shared" si="124"/>
        <v>635.23110191241688</v>
      </c>
      <c r="DS152" s="60">
        <f t="shared" si="125"/>
        <v>928.56443524575025</v>
      </c>
      <c r="DT152" s="60">
        <f ca="1">AVERAGE(OFFSET($DS$3,0,0,'Données projet'!$E$14+1,1))-AVERAGE(OFFSET($H$3,0,0,'Données projet'!$E$14+1,1))</f>
        <v>475.47920969424894</v>
      </c>
      <c r="DU152" s="60">
        <f t="shared" si="152"/>
        <v>271.73544012419364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2.4</v>
      </c>
      <c r="EJ152" s="13">
        <f>IF('Données projet'!$A$192&gt;35,EJ151+EI152-ER151,IF(A152&lt;'Données projet'!$A$192,$EG$205^A152,IF(A152='Données projet'!$A$192,'Données projet'!$B$192,EJ151+EI152-ER151)))</f>
        <v>290.59999999999906</v>
      </c>
      <c r="EK152" s="18">
        <f>EJ152*VLOOKUP('Données projet'!$B$15,Paramètres!$A$1:$I$89,3,0)*VLOOKUP('Données projet'!$B$15,Paramètres!$A$1:$I$89,5,0)</f>
        <v>262.93487999999911</v>
      </c>
      <c r="EL152" s="14">
        <f t="shared" si="153"/>
        <v>63.347566493432595</v>
      </c>
      <c r="EM152" s="22">
        <f t="shared" si="127"/>
        <v>568.27526097606028</v>
      </c>
      <c r="EN152" s="60">
        <f t="shared" si="128"/>
        <v>861.60859430939354</v>
      </c>
      <c r="EO152" s="60">
        <f ca="1">AVERAGE(OFFSET($EN$3,0,0,'Données projet'!$E$15+1,1))-AVERAGE(OFFSET($H$3,0,0,'Données projet'!$E$15+1,1))</f>
        <v>428.8489304403459</v>
      </c>
      <c r="EP152" s="60">
        <f t="shared" si="154"/>
        <v>247.01165577562966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2.4</v>
      </c>
      <c r="FE152" s="13">
        <f>IF('Données projet'!$A$218&gt;35,FE151+FD152-FM151,IF(A152&lt;'Données projet'!$A$218,$FB$205^A152,IF(A152='Données projet'!$A$218,'Données projet'!$B$218,FE151+FD152-FM151)))</f>
        <v>290.59999999999906</v>
      </c>
      <c r="FF152" s="18">
        <f>FE152*VLOOKUP('Données projet'!$B$16,Paramètres!$A$1:$I$89,3,0)*VLOOKUP('Données projet'!$B$16,Paramètres!$A$1:$I$89,5,0)</f>
        <v>281.06831999999906</v>
      </c>
      <c r="FG152" s="14">
        <f t="shared" si="155"/>
        <v>67.192725545416479</v>
      </c>
      <c r="FH152" s="22">
        <f t="shared" si="130"/>
        <v>606.55465432493213</v>
      </c>
      <c r="FI152" s="60">
        <f t="shared" si="131"/>
        <v>899.8879876582655</v>
      </c>
      <c r="FJ152" s="60">
        <f ca="1">AVERAGE(OFFSET($FI$3,0,0,'Données projet'!$E$16+1,1))-AVERAGE(OFFSET($H$3,0,0,'Données projet'!$E$16+1,1))</f>
        <v>455.50822833641354</v>
      </c>
      <c r="FK152" s="60">
        <f t="shared" si="156"/>
        <v>261.14722581688039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 t="e">
        <f>N153*VLOOKUP('Données projet'!$B$9,Paramètres!$A$1:$I$89,3,0)*VLOOKUP('Données projet'!$B$9,Paramètres!$A$1:$I$89,5,0)</f>
        <v>#N/A</v>
      </c>
      <c r="P153" s="14" t="e">
        <f t="shared" si="141"/>
        <v>#N/A</v>
      </c>
      <c r="Q153" s="22" t="e">
        <f t="shared" si="108"/>
        <v>#N/A</v>
      </c>
      <c r="R153" s="60" t="e">
        <f t="shared" si="109"/>
        <v>#N/A</v>
      </c>
      <c r="S153" s="60" t="e">
        <f ca="1">AVERAGE(OFFSET($R$3,0,0,'Données projet'!$E$9+1,1))-AVERAGE(OFFSET($H$3,0,0,'Données projet'!$E$9+1,1))</f>
        <v>#N/A</v>
      </c>
      <c r="T153" s="60" t="e">
        <f t="shared" si="142"/>
        <v>#N/A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 t="e">
        <f>EXP(-LN(2)/35)*Z152+(1-EXP(-LN(2)/35))/(LN(2)/35)*V153*W153*VLOOKUP('Données projet'!$B$9,Paramètres!$A$1:$I$89,3,0)*0.475*44/12</f>
        <v>#N/A</v>
      </c>
      <c r="AA153" s="23" t="e">
        <f>EXP(-LN(2)/25)*AA152+(1-EXP(-LN(2)/25))/(LN(2)/25)*Calculateur!V153*Calculateur!X153*VLOOKUP('Données projet'!$B$9,Paramètres!$A$1:$I$89,3,0)*0.475*44/12</f>
        <v>#N/A</v>
      </c>
      <c r="AB153" s="23" t="e">
        <f>EXP(-LN(2)/2)*AB152+(1-EXP(-LN(2)/2))/(LN(2)/2)*V153*Y153*VLOOKUP('Données projet'!$B$9,Paramètres!$A$1:$I$89,3,0)*0.475*44/12</f>
        <v>#N/A</v>
      </c>
      <c r="AC153" s="24" t="e">
        <f t="shared" si="111"/>
        <v>#N/A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1.9863364286720756E-13</v>
      </c>
      <c r="AK153" s="14">
        <f t="shared" si="143"/>
        <v>2.7549360720371426E-12</v>
      </c>
      <c r="AL153" s="22">
        <f t="shared" si="112"/>
        <v>5.144133920125077E-12</v>
      </c>
      <c r="AM153" s="60">
        <f t="shared" si="113"/>
        <v>293.33333333333843</v>
      </c>
      <c r="AN153" s="60">
        <f ca="1">AVERAGE(OFFSET($AM$3,0,0,'Données projet'!$E$10+1,1))-AVERAGE(OFFSET($H$3,0,0,'Données projet'!$E$10+1,1))</f>
        <v>325.06345339097095</v>
      </c>
      <c r="AO153" s="60">
        <f t="shared" si="144"/>
        <v>318.90379036810754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0" t="e">
        <f t="shared" si="116"/>
        <v>#N/A</v>
      </c>
      <c r="BI153" s="60" t="e">
        <f ca="1">AVERAGE(OFFSET($BH$3,0,0,'Données projet'!$E$11+1,1))-AVERAGE(OFFSET($H$3,0,0,'Données projet'!$E$11+1,1))</f>
        <v>#N/A</v>
      </c>
      <c r="BJ153" s="60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0" t="e">
        <f t="shared" si="119"/>
        <v>#N/A</v>
      </c>
      <c r="CD153" s="60" t="e">
        <f ca="1">AVERAGE(OFFSET($CC$3,0,0,'Données projet'!$E$12+1,1))-AVERAGE(OFFSET($H$3,0,0,'Données projet'!$E$12+1,1))</f>
        <v>#N/A</v>
      </c>
      <c r="CE153" s="60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255.96479999999917</v>
      </c>
      <c r="CV153" s="14">
        <f t="shared" si="149"/>
        <v>61.861454922966338</v>
      </c>
      <c r="CW153" s="22">
        <f t="shared" si="121"/>
        <v>553.54739399083155</v>
      </c>
      <c r="CX153" s="60">
        <f t="shared" si="122"/>
        <v>846.88072732416481</v>
      </c>
      <c r="CY153" s="60">
        <f ca="1">AVERAGE(OFFSET($CX$3,0,0,'Données projet'!$E$13+1,1))-AVERAGE(OFFSET($H$3,0,0,'Données projet'!$E$13+1,1))</f>
        <v>415.50509041799154</v>
      </c>
      <c r="CZ153" s="60">
        <f t="shared" si="150"/>
        <v>239.93573789765657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2.4</v>
      </c>
      <c r="DN153" s="13">
        <f t="array" ref="DN153">INDEX(DM:DM,MIN(IF(ISNUMBER(DM153:DM349),ROW(DM153:DM349),"")))</f>
        <v>2.4</v>
      </c>
      <c r="DO153" s="13">
        <f>IF('Données projet'!$A$166&gt;35,DO152+DN153-DW152,IF(A153&lt;'Données projet'!$A$166,$DL$205^A153,IF(A153='Données projet'!$A$166,'Données projet'!$B$166,DO152+DN153-DW152)))</f>
        <v>292.99999999999903</v>
      </c>
      <c r="DP153" s="18">
        <f>DO153*VLOOKUP('Données projet'!$B$14,Paramètres!$A$1:$I$89,3,0)*VLOOKUP('Données projet'!$B$14,Paramètres!$A$1:$I$89,5,0)</f>
        <v>297.10199999999907</v>
      </c>
      <c r="DQ153" s="14">
        <f t="shared" si="151"/>
        <v>70.568588566272624</v>
      </c>
      <c r="DR153" s="22">
        <f t="shared" si="124"/>
        <v>640.3596084195899</v>
      </c>
      <c r="DS153" s="60">
        <f t="shared" si="125"/>
        <v>933.69294175292316</v>
      </c>
      <c r="DT153" s="60">
        <f ca="1">AVERAGE(OFFSET($DS$3,0,0,'Données projet'!$E$14+1,1))-AVERAGE(OFFSET($H$3,0,0,'Données projet'!$E$14+1,1))</f>
        <v>475.47920969424894</v>
      </c>
      <c r="DU153" s="60">
        <f t="shared" si="152"/>
        <v>271.73544012419364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293</v>
      </c>
      <c r="EH153" s="13">
        <f>VLOOKUP(A153,'Données projet'!$A$191:$I$211,9,0)</f>
        <v>2.4</v>
      </c>
      <c r="EI153" s="13">
        <f t="array" ref="EI153">INDEX(EH:EH,MIN(IF(ISNUMBER(EH153:EH349),ROW(EH153:EH349),"")))</f>
        <v>2.4</v>
      </c>
      <c r="EJ153" s="13">
        <f>IF('Données projet'!$A$192&gt;35,EJ152+EI153-ER152,IF(A153&lt;'Données projet'!$A$192,$EG$205^A153,IF(A153='Données projet'!$A$192,'Données projet'!$B$192,EJ152+EI153-ER152)))</f>
        <v>292.99999999999903</v>
      </c>
      <c r="EK153" s="18">
        <f>EJ153*VLOOKUP('Données projet'!$B$15,Paramètres!$A$1:$I$89,3,0)*VLOOKUP('Données projet'!$B$15,Paramètres!$A$1:$I$89,5,0)</f>
        <v>265.1063999999991</v>
      </c>
      <c r="EL153" s="14">
        <f t="shared" si="153"/>
        <v>63.809620899125136</v>
      </c>
      <c r="EM153" s="22">
        <f t="shared" si="127"/>
        <v>572.86206973264132</v>
      </c>
      <c r="EN153" s="60">
        <f t="shared" si="128"/>
        <v>866.19540306597469</v>
      </c>
      <c r="EO153" s="60">
        <f ca="1">AVERAGE(OFFSET($EN$3,0,0,'Données projet'!$E$15+1,1))-AVERAGE(OFFSET($H$3,0,0,'Données projet'!$E$15+1,1))</f>
        <v>428.8489304403459</v>
      </c>
      <c r="EP153" s="60">
        <f t="shared" si="154"/>
        <v>247.01165577562966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293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>
        <f>VLOOKUP(A153,'Données projet'!$A$217:$I$237,2,0)</f>
        <v>293</v>
      </c>
      <c r="FC153" s="13">
        <f>VLOOKUP(A153,'Données projet'!$A$217:$I$237,9,0)</f>
        <v>2.4</v>
      </c>
      <c r="FD153" s="13">
        <f t="array" ref="FD153">INDEX(FC:FC,MIN(IF(ISNUMBER(FC153:FC349),ROW(FC153:FC349),"")))</f>
        <v>2.4</v>
      </c>
      <c r="FE153" s="13">
        <f>IF('Données projet'!$A$218&gt;35,FE152+FD153-FM152,IF(A153&lt;'Données projet'!$A$218,$FB$205^A153,IF(A153='Données projet'!$A$218,'Données projet'!$B$218,FE152+FD153-FM152)))</f>
        <v>292.99999999999903</v>
      </c>
      <c r="FF153" s="18">
        <f>FE153*VLOOKUP('Données projet'!$B$16,Paramètres!$A$1:$I$89,3,0)*VLOOKUP('Données projet'!$B$16,Paramètres!$A$1:$I$89,5,0)</f>
        <v>283.38959999999906</v>
      </c>
      <c r="FG153" s="14">
        <f t="shared" si="155"/>
        <v>67.682826374656187</v>
      </c>
      <c r="FH153" s="22">
        <f t="shared" si="130"/>
        <v>611.45114260252456</v>
      </c>
      <c r="FI153" s="60">
        <f t="shared" si="131"/>
        <v>904.78447593585793</v>
      </c>
      <c r="FJ153" s="60">
        <f ca="1">AVERAGE(OFFSET($FI$3,0,0,'Données projet'!$E$16+1,1))-AVERAGE(OFFSET($H$3,0,0,'Données projet'!$E$16+1,1))</f>
        <v>455.50822833641354</v>
      </c>
      <c r="FK153" s="60">
        <f t="shared" si="156"/>
        <v>261.14722581688039</v>
      </c>
      <c r="FL153" s="16">
        <f>IF(ISNA(VLOOKUP(A153,'Données projet'!$A$217:$I$237,3,0)),0,VLOOKUP(A153,'Données projet'!$A$217:$I$237,3,0))</f>
        <v>13</v>
      </c>
      <c r="FM153" s="16">
        <f>IF(ISNA(VLOOKUP(A153,'Données projet'!$A$217:$I$237,4,0)),0,VLOOKUP(A153,'Données projet'!$A$217:$I$237,4,0))</f>
        <v>293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 t="e">
        <f>N154*VLOOKUP('Données projet'!$B$9,Paramètres!$A$1:$I$89,3,0)*VLOOKUP('Données projet'!$B$9,Paramètres!$A$1:$I$89,5,0)</f>
        <v>#N/A</v>
      </c>
      <c r="P154" s="14" t="e">
        <f t="shared" si="141"/>
        <v>#N/A</v>
      </c>
      <c r="Q154" s="22" t="e">
        <f t="shared" ref="Q154:Q203" si="162">(O154+P154)*0.475*44/12</f>
        <v>#N/A</v>
      </c>
      <c r="R154" s="60" t="e">
        <f t="shared" si="109"/>
        <v>#N/A</v>
      </c>
      <c r="S154" s="60" t="e">
        <f ca="1">AVERAGE(OFFSET($R$3,0,0,'Données projet'!$E$9+1,1))-AVERAGE(OFFSET($H$3,0,0,'Données projet'!$E$9+1,1))</f>
        <v>#N/A</v>
      </c>
      <c r="T154" s="60" t="e">
        <f t="shared" si="142"/>
        <v>#N/A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 t="e">
        <f>EXP(-LN(2)/35)*Z153+(1-EXP(-LN(2)/35))/(LN(2)/35)*V154*W154*VLOOKUP('Données projet'!$B$9,Paramètres!$A$1:$I$89,3,0)*0.475*44/12</f>
        <v>#N/A</v>
      </c>
      <c r="AA154" s="23" t="e">
        <f>EXP(-LN(2)/25)*AA153+(1-EXP(-LN(2)/25))/(LN(2)/25)*Calculateur!V154*Calculateur!X154*VLOOKUP('Données projet'!$B$9,Paramètres!$A$1:$I$89,3,0)*0.475*44/12</f>
        <v>#N/A</v>
      </c>
      <c r="AB154" s="23" t="e">
        <f>EXP(-LN(2)/2)*AB153+(1-EXP(-LN(2)/2))/(LN(2)/2)*V154*Y154*VLOOKUP('Données projet'!$B$9,Paramètres!$A$1:$I$89,3,0)*0.475*44/12</f>
        <v>#N/A</v>
      </c>
      <c r="AC154" s="24" t="e">
        <f t="shared" ref="AC154:AC203" si="163">SUM(Z154:AB154)</f>
        <v>#N/A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1.9863364286720756E-13</v>
      </c>
      <c r="AK154" s="14">
        <f t="shared" ref="AK154:AK203" si="164">EXP(-1.0587+0.8836*LN(AJ154)+0.284)</f>
        <v>2.7549360720371426E-12</v>
      </c>
      <c r="AL154" s="22">
        <f t="shared" ref="AL154:AL203" si="165">(AJ154+AK154)*0.475*44/12</f>
        <v>5.144133920125077E-12</v>
      </c>
      <c r="AM154" s="60">
        <f t="shared" si="113"/>
        <v>293.33333333333843</v>
      </c>
      <c r="AN154" s="60">
        <f ca="1">AVERAGE(OFFSET($AM$3,0,0,'Données projet'!$E$10+1,1))-AVERAGE(OFFSET($H$3,0,0,'Données projet'!$E$10+1,1))</f>
        <v>325.06345339097095</v>
      </c>
      <c r="AO154" s="60">
        <f t="shared" si="144"/>
        <v>318.90379036810754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0" t="e">
        <f t="shared" si="116"/>
        <v>#N/A</v>
      </c>
      <c r="BI154" s="60" t="e">
        <f ca="1">AVERAGE(OFFSET($BH$3,0,0,'Données projet'!$E$11+1,1))-AVERAGE(OFFSET($H$3,0,0,'Données projet'!$E$11+1,1))</f>
        <v>#N/A</v>
      </c>
      <c r="BJ154" s="60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0" t="e">
        <f t="shared" si="119"/>
        <v>#N/A</v>
      </c>
      <c r="CD154" s="60" t="e">
        <f ca="1">AVERAGE(OFFSET($CC$3,0,0,'Données projet'!$E$12+1,1))-AVERAGE(OFFSET($H$3,0,0,'Données projet'!$E$12+1,1))</f>
        <v>#N/A</v>
      </c>
      <c r="CE154" s="60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-8.4419298218563211E-13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415.50509041799154</v>
      </c>
      <c r="CZ154" s="60">
        <f t="shared" si="150"/>
        <v>239.93573789765657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-9.6633812063373625E-13</v>
      </c>
      <c r="DP154" s="18">
        <f>DO154*VLOOKUP('Données projet'!$B$14,Paramètres!$A$1:$I$89,3,0)*VLOOKUP('Données projet'!$B$14,Paramètres!$A$1:$I$89,5,0)</f>
        <v>-9.7986685432260874E-13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475.47920969424894</v>
      </c>
      <c r="DU154" s="60">
        <f t="shared" si="152"/>
        <v>271.73544012419364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-9.6633812063373625E-13</v>
      </c>
      <c r="EK154" s="18">
        <f>EJ154*VLOOKUP('Données projet'!$B$15,Paramètres!$A$1:$I$89,3,0)*VLOOKUP('Données projet'!$B$15,Paramètres!$A$1:$I$89,5,0)</f>
        <v>-8.7434273154940449E-13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428.8489304403459</v>
      </c>
      <c r="EP154" s="60">
        <f t="shared" si="154"/>
        <v>247.01165577562966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-9.6633812063373625E-13</v>
      </c>
      <c r="FF154" s="18">
        <f>FE154*VLOOKUP('Données projet'!$B$16,Paramètres!$A$1:$I$89,3,0)*VLOOKUP('Données projet'!$B$16,Paramètres!$A$1:$I$89,5,0)</f>
        <v>-9.3464223027694966E-13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0" t="e">
        <f t="shared" si="131"/>
        <v>#NUM!</v>
      </c>
      <c r="FJ154" s="60">
        <f ca="1">AVERAGE(OFFSET($FI$3,0,0,'Données projet'!$E$16+1,1))-AVERAGE(OFFSET($H$3,0,0,'Données projet'!$E$16+1,1))</f>
        <v>455.50822833641354</v>
      </c>
      <c r="FK154" s="60">
        <f t="shared" si="156"/>
        <v>261.14722581688039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 t="e">
        <f>N155*VLOOKUP('Données projet'!$B$9,Paramètres!$A$1:$I$89,3,0)*VLOOKUP('Données projet'!$B$9,Paramètres!$A$1:$I$89,5,0)</f>
        <v>#N/A</v>
      </c>
      <c r="P155" s="14" t="e">
        <f t="shared" si="141"/>
        <v>#N/A</v>
      </c>
      <c r="Q155" s="22" t="e">
        <f t="shared" si="162"/>
        <v>#N/A</v>
      </c>
      <c r="R155" s="60" t="e">
        <f t="shared" si="109"/>
        <v>#N/A</v>
      </c>
      <c r="S155" s="60" t="e">
        <f ca="1">AVERAGE(OFFSET($R$3,0,0,'Données projet'!$E$9+1,1))-AVERAGE(OFFSET($H$3,0,0,'Données projet'!$E$9+1,1))</f>
        <v>#N/A</v>
      </c>
      <c r="T155" s="60" t="e">
        <f t="shared" si="142"/>
        <v>#N/A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 t="e">
        <f>EXP(-LN(2)/35)*Z154+(1-EXP(-LN(2)/35))/(LN(2)/35)*V155*W155*VLOOKUP('Données projet'!$B$9,Paramètres!$A$1:$I$89,3,0)*0.475*44/12</f>
        <v>#N/A</v>
      </c>
      <c r="AA155" s="23" t="e">
        <f>EXP(-LN(2)/25)*AA154+(1-EXP(-LN(2)/25))/(LN(2)/25)*Calculateur!V155*Calculateur!X155*VLOOKUP('Données projet'!$B$9,Paramètres!$A$1:$I$89,3,0)*0.475*44/12</f>
        <v>#N/A</v>
      </c>
      <c r="AB155" s="23" t="e">
        <f>EXP(-LN(2)/2)*AB154+(1-EXP(-LN(2)/2))/(LN(2)/2)*V155*Y155*VLOOKUP('Données projet'!$B$9,Paramètres!$A$1:$I$89,3,0)*0.475*44/12</f>
        <v>#N/A</v>
      </c>
      <c r="AC155" s="24" t="e">
        <f t="shared" si="163"/>
        <v>#N/A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1.9863364286720756E-13</v>
      </c>
      <c r="AK155" s="14">
        <f t="shared" si="164"/>
        <v>2.7549360720371426E-12</v>
      </c>
      <c r="AL155" s="22">
        <f t="shared" si="165"/>
        <v>5.144133920125077E-12</v>
      </c>
      <c r="AM155" s="60">
        <f t="shared" si="113"/>
        <v>293.33333333333843</v>
      </c>
      <c r="AN155" s="60">
        <f ca="1">AVERAGE(OFFSET($AM$3,0,0,'Données projet'!$E$10+1,1))-AVERAGE(OFFSET($H$3,0,0,'Données projet'!$E$10+1,1))</f>
        <v>325.06345339097095</v>
      </c>
      <c r="AO155" s="60">
        <f t="shared" si="144"/>
        <v>318.90379036810754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0" t="e">
        <f t="shared" si="116"/>
        <v>#N/A</v>
      </c>
      <c r="BI155" s="60" t="e">
        <f ca="1">AVERAGE(OFFSET($BH$3,0,0,'Données projet'!$E$11+1,1))-AVERAGE(OFFSET($H$3,0,0,'Données projet'!$E$11+1,1))</f>
        <v>#N/A</v>
      </c>
      <c r="BJ155" s="60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0" t="e">
        <f t="shared" si="119"/>
        <v>#N/A</v>
      </c>
      <c r="CD155" s="60" t="e">
        <f ca="1">AVERAGE(OFFSET($CC$3,0,0,'Données projet'!$E$12+1,1))-AVERAGE(OFFSET($H$3,0,0,'Données projet'!$E$12+1,1))</f>
        <v>#N/A</v>
      </c>
      <c r="CE155" s="60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-8.4419298218563211E-13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415.50509041799154</v>
      </c>
      <c r="CZ155" s="60">
        <f t="shared" si="150"/>
        <v>239.93573789765657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-9.6633812063373625E-13</v>
      </c>
      <c r="DP155" s="18">
        <f>DO155*VLOOKUP('Données projet'!$B$14,Paramètres!$A$1:$I$89,3,0)*VLOOKUP('Données projet'!$B$14,Paramètres!$A$1:$I$89,5,0)</f>
        <v>-9.7986685432260874E-13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475.47920969424894</v>
      </c>
      <c r="DU155" s="60">
        <f t="shared" si="152"/>
        <v>271.73544012419364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-9.6633812063373625E-13</v>
      </c>
      <c r="EK155" s="18">
        <f>EJ155*VLOOKUP('Données projet'!$B$15,Paramètres!$A$1:$I$89,3,0)*VLOOKUP('Données projet'!$B$15,Paramètres!$A$1:$I$89,5,0)</f>
        <v>-8.7434273154940449E-13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428.8489304403459</v>
      </c>
      <c r="EP155" s="60">
        <f t="shared" si="154"/>
        <v>247.01165577562966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-9.6633812063373625E-13</v>
      </c>
      <c r="FF155" s="18">
        <f>FE155*VLOOKUP('Données projet'!$B$16,Paramètres!$A$1:$I$89,3,0)*VLOOKUP('Données projet'!$B$16,Paramètres!$A$1:$I$89,5,0)</f>
        <v>-9.3464223027694966E-13</v>
      </c>
      <c r="FG155" s="14" t="e">
        <f t="shared" si="182"/>
        <v>#NUM!</v>
      </c>
      <c r="FH155" s="22" t="e">
        <f t="shared" si="183"/>
        <v>#NUM!</v>
      </c>
      <c r="FI155" s="60" t="e">
        <f t="shared" si="131"/>
        <v>#NUM!</v>
      </c>
      <c r="FJ155" s="60">
        <f ca="1">AVERAGE(OFFSET($FI$3,0,0,'Données projet'!$E$16+1,1))-AVERAGE(OFFSET($H$3,0,0,'Données projet'!$E$16+1,1))</f>
        <v>455.50822833641354</v>
      </c>
      <c r="FK155" s="60">
        <f t="shared" si="156"/>
        <v>261.14722581688039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 t="e">
        <f>N156*VLOOKUP('Données projet'!$B$9,Paramètres!$A$1:$I$89,3,0)*VLOOKUP('Données projet'!$B$9,Paramètres!$A$1:$I$89,5,0)</f>
        <v>#N/A</v>
      </c>
      <c r="P156" s="14" t="e">
        <f t="shared" si="141"/>
        <v>#N/A</v>
      </c>
      <c r="Q156" s="22" t="e">
        <f t="shared" si="162"/>
        <v>#N/A</v>
      </c>
      <c r="R156" s="60" t="e">
        <f t="shared" si="109"/>
        <v>#N/A</v>
      </c>
      <c r="S156" s="60" t="e">
        <f ca="1">AVERAGE(OFFSET($R$3,0,0,'Données projet'!$E$9+1,1))-AVERAGE(OFFSET($H$3,0,0,'Données projet'!$E$9+1,1))</f>
        <v>#N/A</v>
      </c>
      <c r="T156" s="60" t="e">
        <f t="shared" si="142"/>
        <v>#N/A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 t="e">
        <f>EXP(-LN(2)/35)*Z155+(1-EXP(-LN(2)/35))/(LN(2)/35)*V156*W156*VLOOKUP('Données projet'!$B$9,Paramètres!$A$1:$I$89,3,0)*0.475*44/12</f>
        <v>#N/A</v>
      </c>
      <c r="AA156" s="23" t="e">
        <f>EXP(-LN(2)/25)*AA155+(1-EXP(-LN(2)/25))/(LN(2)/25)*Calculateur!V156*Calculateur!X156*VLOOKUP('Données projet'!$B$9,Paramètres!$A$1:$I$89,3,0)*0.475*44/12</f>
        <v>#N/A</v>
      </c>
      <c r="AB156" s="23" t="e">
        <f>EXP(-LN(2)/2)*AB155+(1-EXP(-LN(2)/2))/(LN(2)/2)*V156*Y156*VLOOKUP('Données projet'!$B$9,Paramètres!$A$1:$I$89,3,0)*0.475*44/12</f>
        <v>#N/A</v>
      </c>
      <c r="AC156" s="24" t="e">
        <f t="shared" si="163"/>
        <v>#N/A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1.9863364286720756E-13</v>
      </c>
      <c r="AK156" s="14">
        <f t="shared" si="164"/>
        <v>2.7549360720371426E-12</v>
      </c>
      <c r="AL156" s="22">
        <f t="shared" si="165"/>
        <v>5.144133920125077E-12</v>
      </c>
      <c r="AM156" s="60">
        <f t="shared" si="113"/>
        <v>293.33333333333843</v>
      </c>
      <c r="AN156" s="60">
        <f ca="1">AVERAGE(OFFSET($AM$3,0,0,'Données projet'!$E$10+1,1))-AVERAGE(OFFSET($H$3,0,0,'Données projet'!$E$10+1,1))</f>
        <v>325.06345339097095</v>
      </c>
      <c r="AO156" s="60">
        <f t="shared" si="144"/>
        <v>318.90379036810754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0" t="e">
        <f t="shared" si="116"/>
        <v>#N/A</v>
      </c>
      <c r="BI156" s="60" t="e">
        <f ca="1">AVERAGE(OFFSET($BH$3,0,0,'Données projet'!$E$11+1,1))-AVERAGE(OFFSET($H$3,0,0,'Données projet'!$E$11+1,1))</f>
        <v>#N/A</v>
      </c>
      <c r="BJ156" s="60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0" t="e">
        <f t="shared" si="119"/>
        <v>#N/A</v>
      </c>
      <c r="CD156" s="60" t="e">
        <f ca="1">AVERAGE(OFFSET($CC$3,0,0,'Données projet'!$E$12+1,1))-AVERAGE(OFFSET($H$3,0,0,'Données projet'!$E$12+1,1))</f>
        <v>#N/A</v>
      </c>
      <c r="CE156" s="60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-8.4419298218563211E-13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415.50509041799154</v>
      </c>
      <c r="CZ156" s="60">
        <f t="shared" si="150"/>
        <v>239.93573789765657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-9.6633812063373625E-13</v>
      </c>
      <c r="DP156" s="18">
        <f>DO156*VLOOKUP('Données projet'!$B$14,Paramètres!$A$1:$I$89,3,0)*VLOOKUP('Données projet'!$B$14,Paramètres!$A$1:$I$89,5,0)</f>
        <v>-9.7986685432260874E-13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475.47920969424894</v>
      </c>
      <c r="DU156" s="60">
        <f t="shared" si="152"/>
        <v>271.73544012419364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-9.6633812063373625E-13</v>
      </c>
      <c r="EK156" s="18">
        <f>EJ156*VLOOKUP('Données projet'!$B$15,Paramètres!$A$1:$I$89,3,0)*VLOOKUP('Données projet'!$B$15,Paramètres!$A$1:$I$89,5,0)</f>
        <v>-8.7434273154940449E-13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428.8489304403459</v>
      </c>
      <c r="EP156" s="60">
        <f t="shared" si="154"/>
        <v>247.01165577562966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-9.6633812063373625E-13</v>
      </c>
      <c r="FF156" s="18">
        <f>FE156*VLOOKUP('Données projet'!$B$16,Paramètres!$A$1:$I$89,3,0)*VLOOKUP('Données projet'!$B$16,Paramètres!$A$1:$I$89,5,0)</f>
        <v>-9.3464223027694966E-13</v>
      </c>
      <c r="FG156" s="14" t="e">
        <f t="shared" si="182"/>
        <v>#NUM!</v>
      </c>
      <c r="FH156" s="22" t="e">
        <f t="shared" si="183"/>
        <v>#NUM!</v>
      </c>
      <c r="FI156" s="60" t="e">
        <f t="shared" si="131"/>
        <v>#NUM!</v>
      </c>
      <c r="FJ156" s="60">
        <f ca="1">AVERAGE(OFFSET($FI$3,0,0,'Données projet'!$E$16+1,1))-AVERAGE(OFFSET($H$3,0,0,'Données projet'!$E$16+1,1))</f>
        <v>455.50822833641354</v>
      </c>
      <c r="FK156" s="60">
        <f t="shared" si="156"/>
        <v>261.14722581688039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 t="e">
        <f>N157*VLOOKUP('Données projet'!$B$9,Paramètres!$A$1:$I$89,3,0)*VLOOKUP('Données projet'!$B$9,Paramètres!$A$1:$I$89,5,0)</f>
        <v>#N/A</v>
      </c>
      <c r="P157" s="14" t="e">
        <f t="shared" si="141"/>
        <v>#N/A</v>
      </c>
      <c r="Q157" s="22" t="e">
        <f t="shared" si="162"/>
        <v>#N/A</v>
      </c>
      <c r="R157" s="60" t="e">
        <f t="shared" si="109"/>
        <v>#N/A</v>
      </c>
      <c r="S157" s="60" t="e">
        <f ca="1">AVERAGE(OFFSET($R$3,0,0,'Données projet'!$E$9+1,1))-AVERAGE(OFFSET($H$3,0,0,'Données projet'!$E$9+1,1))</f>
        <v>#N/A</v>
      </c>
      <c r="T157" s="60" t="e">
        <f t="shared" si="142"/>
        <v>#N/A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 t="e">
        <f>EXP(-LN(2)/35)*Z156+(1-EXP(-LN(2)/35))/(LN(2)/35)*V157*W157*VLOOKUP('Données projet'!$B$9,Paramètres!$A$1:$I$89,3,0)*0.475*44/12</f>
        <v>#N/A</v>
      </c>
      <c r="AA157" s="23" t="e">
        <f>EXP(-LN(2)/25)*AA156+(1-EXP(-LN(2)/25))/(LN(2)/25)*Calculateur!V157*Calculateur!X157*VLOOKUP('Données projet'!$B$9,Paramètres!$A$1:$I$89,3,0)*0.475*44/12</f>
        <v>#N/A</v>
      </c>
      <c r="AB157" s="23" t="e">
        <f>EXP(-LN(2)/2)*AB156+(1-EXP(-LN(2)/2))/(LN(2)/2)*V157*Y157*VLOOKUP('Données projet'!$B$9,Paramètres!$A$1:$I$89,3,0)*0.475*44/12</f>
        <v>#N/A</v>
      </c>
      <c r="AC157" s="24" t="e">
        <f t="shared" si="163"/>
        <v>#N/A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1.9863364286720756E-13</v>
      </c>
      <c r="AK157" s="14">
        <f t="shared" si="164"/>
        <v>2.7549360720371426E-12</v>
      </c>
      <c r="AL157" s="22">
        <f t="shared" si="165"/>
        <v>5.144133920125077E-12</v>
      </c>
      <c r="AM157" s="60">
        <f t="shared" si="113"/>
        <v>293.33333333333843</v>
      </c>
      <c r="AN157" s="60">
        <f ca="1">AVERAGE(OFFSET($AM$3,0,0,'Données projet'!$E$10+1,1))-AVERAGE(OFFSET($H$3,0,0,'Données projet'!$E$10+1,1))</f>
        <v>325.06345339097095</v>
      </c>
      <c r="AO157" s="60">
        <f t="shared" si="144"/>
        <v>318.90379036810754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0" t="e">
        <f t="shared" si="116"/>
        <v>#N/A</v>
      </c>
      <c r="BI157" s="60" t="e">
        <f ca="1">AVERAGE(OFFSET($BH$3,0,0,'Données projet'!$E$11+1,1))-AVERAGE(OFFSET($H$3,0,0,'Données projet'!$E$11+1,1))</f>
        <v>#N/A</v>
      </c>
      <c r="BJ157" s="60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0" t="e">
        <f t="shared" si="119"/>
        <v>#N/A</v>
      </c>
      <c r="CD157" s="60" t="e">
        <f ca="1">AVERAGE(OFFSET($CC$3,0,0,'Données projet'!$E$12+1,1))-AVERAGE(OFFSET($H$3,0,0,'Données projet'!$E$12+1,1))</f>
        <v>#N/A</v>
      </c>
      <c r="CE157" s="60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-8.4419298218563211E-13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415.50509041799154</v>
      </c>
      <c r="CZ157" s="60">
        <f t="shared" si="150"/>
        <v>239.93573789765657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-9.6633812063373625E-13</v>
      </c>
      <c r="DP157" s="18">
        <f>DO157*VLOOKUP('Données projet'!$B$14,Paramètres!$A$1:$I$89,3,0)*VLOOKUP('Données projet'!$B$14,Paramètres!$A$1:$I$89,5,0)</f>
        <v>-9.7986685432260874E-13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475.47920969424894</v>
      </c>
      <c r="DU157" s="60">
        <f t="shared" si="152"/>
        <v>271.73544012419364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-9.6633812063373625E-13</v>
      </c>
      <c r="EK157" s="18">
        <f>EJ157*VLOOKUP('Données projet'!$B$15,Paramètres!$A$1:$I$89,3,0)*VLOOKUP('Données projet'!$B$15,Paramètres!$A$1:$I$89,5,0)</f>
        <v>-8.7434273154940449E-13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428.8489304403459</v>
      </c>
      <c r="EP157" s="60">
        <f t="shared" si="154"/>
        <v>247.01165577562966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-9.6633812063373625E-13</v>
      </c>
      <c r="FF157" s="18">
        <f>FE157*VLOOKUP('Données projet'!$B$16,Paramètres!$A$1:$I$89,3,0)*VLOOKUP('Données projet'!$B$16,Paramètres!$A$1:$I$89,5,0)</f>
        <v>-9.3464223027694966E-13</v>
      </c>
      <c r="FG157" s="14" t="e">
        <f t="shared" si="182"/>
        <v>#NUM!</v>
      </c>
      <c r="FH157" s="22" t="e">
        <f t="shared" si="183"/>
        <v>#NUM!</v>
      </c>
      <c r="FI157" s="60" t="e">
        <f t="shared" si="131"/>
        <v>#NUM!</v>
      </c>
      <c r="FJ157" s="60">
        <f ca="1">AVERAGE(OFFSET($FI$3,0,0,'Données projet'!$E$16+1,1))-AVERAGE(OFFSET($H$3,0,0,'Données projet'!$E$16+1,1))</f>
        <v>455.50822833641354</v>
      </c>
      <c r="FK157" s="60">
        <f t="shared" si="156"/>
        <v>261.14722581688039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 t="e">
        <f>N158*VLOOKUP('Données projet'!$B$9,Paramètres!$A$1:$I$89,3,0)*VLOOKUP('Données projet'!$B$9,Paramètres!$A$1:$I$89,5,0)</f>
        <v>#N/A</v>
      </c>
      <c r="P158" s="14" t="e">
        <f t="shared" si="141"/>
        <v>#N/A</v>
      </c>
      <c r="Q158" s="22" t="e">
        <f t="shared" si="162"/>
        <v>#N/A</v>
      </c>
      <c r="R158" s="60" t="e">
        <f t="shared" si="109"/>
        <v>#N/A</v>
      </c>
      <c r="S158" s="60" t="e">
        <f ca="1">AVERAGE(OFFSET($R$3,0,0,'Données projet'!$E$9+1,1))-AVERAGE(OFFSET($H$3,0,0,'Données projet'!$E$9+1,1))</f>
        <v>#N/A</v>
      </c>
      <c r="T158" s="60" t="e">
        <f t="shared" si="142"/>
        <v>#N/A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 t="e">
        <f>EXP(-LN(2)/35)*Z157+(1-EXP(-LN(2)/35))/(LN(2)/35)*V158*W158*VLOOKUP('Données projet'!$B$9,Paramètres!$A$1:$I$89,3,0)*0.475*44/12</f>
        <v>#N/A</v>
      </c>
      <c r="AA158" s="23" t="e">
        <f>EXP(-LN(2)/25)*AA157+(1-EXP(-LN(2)/25))/(LN(2)/25)*Calculateur!V158*Calculateur!X158*VLOOKUP('Données projet'!$B$9,Paramètres!$A$1:$I$89,3,0)*0.475*44/12</f>
        <v>#N/A</v>
      </c>
      <c r="AB158" s="23" t="e">
        <f>EXP(-LN(2)/2)*AB157+(1-EXP(-LN(2)/2))/(LN(2)/2)*V158*Y158*VLOOKUP('Données projet'!$B$9,Paramètres!$A$1:$I$89,3,0)*0.475*44/12</f>
        <v>#N/A</v>
      </c>
      <c r="AC158" s="24" t="e">
        <f t="shared" si="163"/>
        <v>#N/A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1.9863364286720756E-13</v>
      </c>
      <c r="AK158" s="14">
        <f t="shared" si="164"/>
        <v>2.7549360720371426E-12</v>
      </c>
      <c r="AL158" s="22">
        <f t="shared" si="165"/>
        <v>5.144133920125077E-12</v>
      </c>
      <c r="AM158" s="60">
        <f t="shared" si="113"/>
        <v>293.33333333333843</v>
      </c>
      <c r="AN158" s="60">
        <f ca="1">AVERAGE(OFFSET($AM$3,0,0,'Données projet'!$E$10+1,1))-AVERAGE(OFFSET($H$3,0,0,'Données projet'!$E$10+1,1))</f>
        <v>325.06345339097095</v>
      </c>
      <c r="AO158" s="60">
        <f t="shared" si="144"/>
        <v>318.90379036810754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0" t="e">
        <f t="shared" si="116"/>
        <v>#N/A</v>
      </c>
      <c r="BI158" s="60" t="e">
        <f ca="1">AVERAGE(OFFSET($BH$3,0,0,'Données projet'!$E$11+1,1))-AVERAGE(OFFSET($H$3,0,0,'Données projet'!$E$11+1,1))</f>
        <v>#N/A</v>
      </c>
      <c r="BJ158" s="60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0" t="e">
        <f t="shared" si="119"/>
        <v>#N/A</v>
      </c>
      <c r="CD158" s="60" t="e">
        <f ca="1">AVERAGE(OFFSET($CC$3,0,0,'Données projet'!$E$12+1,1))-AVERAGE(OFFSET($H$3,0,0,'Données projet'!$E$12+1,1))</f>
        <v>#N/A</v>
      </c>
      <c r="CE158" s="60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-8.4419298218563211E-13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415.50509041799154</v>
      </c>
      <c r="CZ158" s="60">
        <f t="shared" si="150"/>
        <v>239.93573789765657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-9.6633812063373625E-13</v>
      </c>
      <c r="DP158" s="18">
        <f>DO158*VLOOKUP('Données projet'!$B$14,Paramètres!$A$1:$I$89,3,0)*VLOOKUP('Données projet'!$B$14,Paramètres!$A$1:$I$89,5,0)</f>
        <v>-9.7986685432260874E-13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475.47920969424894</v>
      </c>
      <c r="DU158" s="60">
        <f t="shared" si="152"/>
        <v>271.73544012419364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-9.6633812063373625E-13</v>
      </c>
      <c r="EK158" s="18">
        <f>EJ158*VLOOKUP('Données projet'!$B$15,Paramètres!$A$1:$I$89,3,0)*VLOOKUP('Données projet'!$B$15,Paramètres!$A$1:$I$89,5,0)</f>
        <v>-8.7434273154940449E-13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428.8489304403459</v>
      </c>
      <c r="EP158" s="60">
        <f t="shared" si="154"/>
        <v>247.01165577562966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-9.6633812063373625E-13</v>
      </c>
      <c r="FF158" s="18">
        <f>FE158*VLOOKUP('Données projet'!$B$16,Paramètres!$A$1:$I$89,3,0)*VLOOKUP('Données projet'!$B$16,Paramètres!$A$1:$I$89,5,0)</f>
        <v>-9.3464223027694966E-13</v>
      </c>
      <c r="FG158" s="14" t="e">
        <f t="shared" si="182"/>
        <v>#NUM!</v>
      </c>
      <c r="FH158" s="22" t="e">
        <f t="shared" si="183"/>
        <v>#NUM!</v>
      </c>
      <c r="FI158" s="60" t="e">
        <f t="shared" si="131"/>
        <v>#NUM!</v>
      </c>
      <c r="FJ158" s="60">
        <f ca="1">AVERAGE(OFFSET($FI$3,0,0,'Données projet'!$E$16+1,1))-AVERAGE(OFFSET($H$3,0,0,'Données projet'!$E$16+1,1))</f>
        <v>455.50822833641354</v>
      </c>
      <c r="FK158" s="60">
        <f t="shared" si="156"/>
        <v>261.14722581688039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 t="e">
        <f>N159*VLOOKUP('Données projet'!$B$9,Paramètres!$A$1:$I$89,3,0)*VLOOKUP('Données projet'!$B$9,Paramètres!$A$1:$I$89,5,0)</f>
        <v>#N/A</v>
      </c>
      <c r="P159" s="14" t="e">
        <f t="shared" si="141"/>
        <v>#N/A</v>
      </c>
      <c r="Q159" s="22" t="e">
        <f t="shared" si="162"/>
        <v>#N/A</v>
      </c>
      <c r="R159" s="60" t="e">
        <f t="shared" si="109"/>
        <v>#N/A</v>
      </c>
      <c r="S159" s="60" t="e">
        <f ca="1">AVERAGE(OFFSET($R$3,0,0,'Données projet'!$E$9+1,1))-AVERAGE(OFFSET($H$3,0,0,'Données projet'!$E$9+1,1))</f>
        <v>#N/A</v>
      </c>
      <c r="T159" s="60" t="e">
        <f t="shared" si="142"/>
        <v>#N/A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 t="e">
        <f>EXP(-LN(2)/35)*Z158+(1-EXP(-LN(2)/35))/(LN(2)/35)*V159*W159*VLOOKUP('Données projet'!$B$9,Paramètres!$A$1:$I$89,3,0)*0.475*44/12</f>
        <v>#N/A</v>
      </c>
      <c r="AA159" s="23" t="e">
        <f>EXP(-LN(2)/25)*AA158+(1-EXP(-LN(2)/25))/(LN(2)/25)*Calculateur!V159*Calculateur!X159*VLOOKUP('Données projet'!$B$9,Paramètres!$A$1:$I$89,3,0)*0.475*44/12</f>
        <v>#N/A</v>
      </c>
      <c r="AB159" s="23" t="e">
        <f>EXP(-LN(2)/2)*AB158+(1-EXP(-LN(2)/2))/(LN(2)/2)*V159*Y159*VLOOKUP('Données projet'!$B$9,Paramètres!$A$1:$I$89,3,0)*0.475*44/12</f>
        <v>#N/A</v>
      </c>
      <c r="AC159" s="24" t="e">
        <f t="shared" si="163"/>
        <v>#N/A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1.9863364286720756E-13</v>
      </c>
      <c r="AK159" s="14">
        <f t="shared" si="164"/>
        <v>2.7549360720371426E-12</v>
      </c>
      <c r="AL159" s="22">
        <f t="shared" si="165"/>
        <v>5.144133920125077E-12</v>
      </c>
      <c r="AM159" s="60">
        <f t="shared" si="113"/>
        <v>293.33333333333843</v>
      </c>
      <c r="AN159" s="60">
        <f ca="1">AVERAGE(OFFSET($AM$3,0,0,'Données projet'!$E$10+1,1))-AVERAGE(OFFSET($H$3,0,0,'Données projet'!$E$10+1,1))</f>
        <v>325.06345339097095</v>
      </c>
      <c r="AO159" s="60">
        <f t="shared" si="144"/>
        <v>318.90379036810754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0" t="e">
        <f t="shared" si="116"/>
        <v>#N/A</v>
      </c>
      <c r="BI159" s="60" t="e">
        <f ca="1">AVERAGE(OFFSET($BH$3,0,0,'Données projet'!$E$11+1,1))-AVERAGE(OFFSET($H$3,0,0,'Données projet'!$E$11+1,1))</f>
        <v>#N/A</v>
      </c>
      <c r="BJ159" s="60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0" t="e">
        <f t="shared" si="119"/>
        <v>#N/A</v>
      </c>
      <c r="CD159" s="60" t="e">
        <f ca="1">AVERAGE(OFFSET($CC$3,0,0,'Données projet'!$E$12+1,1))-AVERAGE(OFFSET($H$3,0,0,'Données projet'!$E$12+1,1))</f>
        <v>#N/A</v>
      </c>
      <c r="CE159" s="60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-8.4419298218563211E-13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415.50509041799154</v>
      </c>
      <c r="CZ159" s="60">
        <f t="shared" si="150"/>
        <v>239.93573789765657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-9.6633812063373625E-13</v>
      </c>
      <c r="DP159" s="18">
        <f>DO159*VLOOKUP('Données projet'!$B$14,Paramètres!$A$1:$I$89,3,0)*VLOOKUP('Données projet'!$B$14,Paramètres!$A$1:$I$89,5,0)</f>
        <v>-9.7986685432260874E-13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475.47920969424894</v>
      </c>
      <c r="DU159" s="60">
        <f t="shared" si="152"/>
        <v>271.73544012419364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-9.6633812063373625E-13</v>
      </c>
      <c r="EK159" s="18">
        <f>EJ159*VLOOKUP('Données projet'!$B$15,Paramètres!$A$1:$I$89,3,0)*VLOOKUP('Données projet'!$B$15,Paramètres!$A$1:$I$89,5,0)</f>
        <v>-8.7434273154940449E-13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428.8489304403459</v>
      </c>
      <c r="EP159" s="60">
        <f t="shared" si="154"/>
        <v>247.01165577562966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-9.6633812063373625E-13</v>
      </c>
      <c r="FF159" s="18">
        <f>FE159*VLOOKUP('Données projet'!$B$16,Paramètres!$A$1:$I$89,3,0)*VLOOKUP('Données projet'!$B$16,Paramètres!$A$1:$I$89,5,0)</f>
        <v>-9.3464223027694966E-13</v>
      </c>
      <c r="FG159" s="14" t="e">
        <f t="shared" si="182"/>
        <v>#NUM!</v>
      </c>
      <c r="FH159" s="22" t="e">
        <f t="shared" si="183"/>
        <v>#NUM!</v>
      </c>
      <c r="FI159" s="60" t="e">
        <f t="shared" si="131"/>
        <v>#NUM!</v>
      </c>
      <c r="FJ159" s="60">
        <f ca="1">AVERAGE(OFFSET($FI$3,0,0,'Données projet'!$E$16+1,1))-AVERAGE(OFFSET($H$3,0,0,'Données projet'!$E$16+1,1))</f>
        <v>455.50822833641354</v>
      </c>
      <c r="FK159" s="60">
        <f t="shared" si="156"/>
        <v>261.14722581688039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 t="e">
        <f>N160*VLOOKUP('Données projet'!$B$9,Paramètres!$A$1:$I$89,3,0)*VLOOKUP('Données projet'!$B$9,Paramètres!$A$1:$I$89,5,0)</f>
        <v>#N/A</v>
      </c>
      <c r="P160" s="14" t="e">
        <f t="shared" si="141"/>
        <v>#N/A</v>
      </c>
      <c r="Q160" s="22" t="e">
        <f t="shared" si="162"/>
        <v>#N/A</v>
      </c>
      <c r="R160" s="60" t="e">
        <f t="shared" si="109"/>
        <v>#N/A</v>
      </c>
      <c r="S160" s="60" t="e">
        <f ca="1">AVERAGE(OFFSET($R$3,0,0,'Données projet'!$E$9+1,1))-AVERAGE(OFFSET($H$3,0,0,'Données projet'!$E$9+1,1))</f>
        <v>#N/A</v>
      </c>
      <c r="T160" s="60" t="e">
        <f t="shared" si="142"/>
        <v>#N/A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 t="e">
        <f>EXP(-LN(2)/35)*Z159+(1-EXP(-LN(2)/35))/(LN(2)/35)*V160*W160*VLOOKUP('Données projet'!$B$9,Paramètres!$A$1:$I$89,3,0)*0.475*44/12</f>
        <v>#N/A</v>
      </c>
      <c r="AA160" s="23" t="e">
        <f>EXP(-LN(2)/25)*AA159+(1-EXP(-LN(2)/25))/(LN(2)/25)*Calculateur!V160*Calculateur!X160*VLOOKUP('Données projet'!$B$9,Paramètres!$A$1:$I$89,3,0)*0.475*44/12</f>
        <v>#N/A</v>
      </c>
      <c r="AB160" s="23" t="e">
        <f>EXP(-LN(2)/2)*AB159+(1-EXP(-LN(2)/2))/(LN(2)/2)*V160*Y160*VLOOKUP('Données projet'!$B$9,Paramètres!$A$1:$I$89,3,0)*0.475*44/12</f>
        <v>#N/A</v>
      </c>
      <c r="AC160" s="24" t="e">
        <f t="shared" si="163"/>
        <v>#N/A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1.9863364286720756E-13</v>
      </c>
      <c r="AK160" s="14">
        <f t="shared" si="164"/>
        <v>2.7549360720371426E-12</v>
      </c>
      <c r="AL160" s="22">
        <f t="shared" si="165"/>
        <v>5.144133920125077E-12</v>
      </c>
      <c r="AM160" s="60">
        <f t="shared" si="113"/>
        <v>293.33333333333843</v>
      </c>
      <c r="AN160" s="60">
        <f ca="1">AVERAGE(OFFSET($AM$3,0,0,'Données projet'!$E$10+1,1))-AVERAGE(OFFSET($H$3,0,0,'Données projet'!$E$10+1,1))</f>
        <v>325.06345339097095</v>
      </c>
      <c r="AO160" s="60">
        <f t="shared" si="144"/>
        <v>318.90379036810754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0" t="e">
        <f t="shared" si="116"/>
        <v>#N/A</v>
      </c>
      <c r="BI160" s="60" t="e">
        <f ca="1">AVERAGE(OFFSET($BH$3,0,0,'Données projet'!$E$11+1,1))-AVERAGE(OFFSET($H$3,0,0,'Données projet'!$E$11+1,1))</f>
        <v>#N/A</v>
      </c>
      <c r="BJ160" s="60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0" t="e">
        <f t="shared" si="119"/>
        <v>#N/A</v>
      </c>
      <c r="CD160" s="60" t="e">
        <f ca="1">AVERAGE(OFFSET($CC$3,0,0,'Données projet'!$E$12+1,1))-AVERAGE(OFFSET($H$3,0,0,'Données projet'!$E$12+1,1))</f>
        <v>#N/A</v>
      </c>
      <c r="CE160" s="60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-8.4419298218563211E-13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415.50509041799154</v>
      </c>
      <c r="CZ160" s="60">
        <f t="shared" si="150"/>
        <v>239.93573789765657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-9.6633812063373625E-13</v>
      </c>
      <c r="DP160" s="18">
        <f>DO160*VLOOKUP('Données projet'!$B$14,Paramètres!$A$1:$I$89,3,0)*VLOOKUP('Données projet'!$B$14,Paramètres!$A$1:$I$89,5,0)</f>
        <v>-9.7986685432260874E-13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475.47920969424894</v>
      </c>
      <c r="DU160" s="60">
        <f t="shared" si="152"/>
        <v>271.73544012419364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-9.6633812063373625E-13</v>
      </c>
      <c r="EK160" s="18">
        <f>EJ160*VLOOKUP('Données projet'!$B$15,Paramètres!$A$1:$I$89,3,0)*VLOOKUP('Données projet'!$B$15,Paramètres!$A$1:$I$89,5,0)</f>
        <v>-8.7434273154940449E-13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428.8489304403459</v>
      </c>
      <c r="EP160" s="60">
        <f t="shared" si="154"/>
        <v>247.01165577562966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-9.6633812063373625E-13</v>
      </c>
      <c r="FF160" s="18">
        <f>FE160*VLOOKUP('Données projet'!$B$16,Paramètres!$A$1:$I$89,3,0)*VLOOKUP('Données projet'!$B$16,Paramètres!$A$1:$I$89,5,0)</f>
        <v>-9.3464223027694966E-13</v>
      </c>
      <c r="FG160" s="14" t="e">
        <f t="shared" si="182"/>
        <v>#NUM!</v>
      </c>
      <c r="FH160" s="22" t="e">
        <f t="shared" si="183"/>
        <v>#NUM!</v>
      </c>
      <c r="FI160" s="60" t="e">
        <f t="shared" si="131"/>
        <v>#NUM!</v>
      </c>
      <c r="FJ160" s="60">
        <f ca="1">AVERAGE(OFFSET($FI$3,0,0,'Données projet'!$E$16+1,1))-AVERAGE(OFFSET($H$3,0,0,'Données projet'!$E$16+1,1))</f>
        <v>455.50822833641354</v>
      </c>
      <c r="FK160" s="60">
        <f t="shared" si="156"/>
        <v>261.14722581688039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 t="e">
        <f>N161*VLOOKUP('Données projet'!$B$9,Paramètres!$A$1:$I$89,3,0)*VLOOKUP('Données projet'!$B$9,Paramètres!$A$1:$I$89,5,0)</f>
        <v>#N/A</v>
      </c>
      <c r="P161" s="14" t="e">
        <f t="shared" si="141"/>
        <v>#N/A</v>
      </c>
      <c r="Q161" s="22" t="e">
        <f t="shared" si="162"/>
        <v>#N/A</v>
      </c>
      <c r="R161" s="60" t="e">
        <f t="shared" si="109"/>
        <v>#N/A</v>
      </c>
      <c r="S161" s="60" t="e">
        <f ca="1">AVERAGE(OFFSET($R$3,0,0,'Données projet'!$E$9+1,1))-AVERAGE(OFFSET($H$3,0,0,'Données projet'!$E$9+1,1))</f>
        <v>#N/A</v>
      </c>
      <c r="T161" s="60" t="e">
        <f t="shared" si="142"/>
        <v>#N/A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 t="e">
        <f>EXP(-LN(2)/35)*Z160+(1-EXP(-LN(2)/35))/(LN(2)/35)*V161*W161*VLOOKUP('Données projet'!$B$9,Paramètres!$A$1:$I$89,3,0)*0.475*44/12</f>
        <v>#N/A</v>
      </c>
      <c r="AA161" s="23" t="e">
        <f>EXP(-LN(2)/25)*AA160+(1-EXP(-LN(2)/25))/(LN(2)/25)*Calculateur!V161*Calculateur!X161*VLOOKUP('Données projet'!$B$9,Paramètres!$A$1:$I$89,3,0)*0.475*44/12</f>
        <v>#N/A</v>
      </c>
      <c r="AB161" s="23" t="e">
        <f>EXP(-LN(2)/2)*AB160+(1-EXP(-LN(2)/2))/(LN(2)/2)*V161*Y161*VLOOKUP('Données projet'!$B$9,Paramètres!$A$1:$I$89,3,0)*0.475*44/12</f>
        <v>#N/A</v>
      </c>
      <c r="AC161" s="24" t="e">
        <f t="shared" si="163"/>
        <v>#N/A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1.9863364286720756E-13</v>
      </c>
      <c r="AK161" s="14">
        <f t="shared" si="164"/>
        <v>2.7549360720371426E-12</v>
      </c>
      <c r="AL161" s="22">
        <f t="shared" si="165"/>
        <v>5.144133920125077E-12</v>
      </c>
      <c r="AM161" s="60">
        <f t="shared" si="113"/>
        <v>293.33333333333843</v>
      </c>
      <c r="AN161" s="60">
        <f ca="1">AVERAGE(OFFSET($AM$3,0,0,'Données projet'!$E$10+1,1))-AVERAGE(OFFSET($H$3,0,0,'Données projet'!$E$10+1,1))</f>
        <v>325.06345339097095</v>
      </c>
      <c r="AO161" s="60">
        <f t="shared" si="144"/>
        <v>318.90379036810754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0" t="e">
        <f t="shared" si="116"/>
        <v>#N/A</v>
      </c>
      <c r="BI161" s="60" t="e">
        <f ca="1">AVERAGE(OFFSET($BH$3,0,0,'Données projet'!$E$11+1,1))-AVERAGE(OFFSET($H$3,0,0,'Données projet'!$E$11+1,1))</f>
        <v>#N/A</v>
      </c>
      <c r="BJ161" s="60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0" t="e">
        <f t="shared" si="119"/>
        <v>#N/A</v>
      </c>
      <c r="CD161" s="60" t="e">
        <f ca="1">AVERAGE(OFFSET($CC$3,0,0,'Données projet'!$E$12+1,1))-AVERAGE(OFFSET($H$3,0,0,'Données projet'!$E$12+1,1))</f>
        <v>#N/A</v>
      </c>
      <c r="CE161" s="60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-8.4419298218563211E-13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415.50509041799154</v>
      </c>
      <c r="CZ161" s="60">
        <f t="shared" si="150"/>
        <v>239.93573789765657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-9.6633812063373625E-13</v>
      </c>
      <c r="DP161" s="18">
        <f>DO161*VLOOKUP('Données projet'!$B$14,Paramètres!$A$1:$I$89,3,0)*VLOOKUP('Données projet'!$B$14,Paramètres!$A$1:$I$89,5,0)</f>
        <v>-9.7986685432260874E-13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475.47920969424894</v>
      </c>
      <c r="DU161" s="60">
        <f t="shared" si="152"/>
        <v>271.73544012419364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-9.6633812063373625E-13</v>
      </c>
      <c r="EK161" s="18">
        <f>EJ161*VLOOKUP('Données projet'!$B$15,Paramètres!$A$1:$I$89,3,0)*VLOOKUP('Données projet'!$B$15,Paramètres!$A$1:$I$89,5,0)</f>
        <v>-8.7434273154940449E-13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428.8489304403459</v>
      </c>
      <c r="EP161" s="60">
        <f t="shared" si="154"/>
        <v>247.01165577562966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-9.6633812063373625E-13</v>
      </c>
      <c r="FF161" s="18">
        <f>FE161*VLOOKUP('Données projet'!$B$16,Paramètres!$A$1:$I$89,3,0)*VLOOKUP('Données projet'!$B$16,Paramètres!$A$1:$I$89,5,0)</f>
        <v>-9.3464223027694966E-13</v>
      </c>
      <c r="FG161" s="14" t="e">
        <f t="shared" si="182"/>
        <v>#NUM!</v>
      </c>
      <c r="FH161" s="22" t="e">
        <f t="shared" si="183"/>
        <v>#NUM!</v>
      </c>
      <c r="FI161" s="60" t="e">
        <f t="shared" si="131"/>
        <v>#NUM!</v>
      </c>
      <c r="FJ161" s="60">
        <f ca="1">AVERAGE(OFFSET($FI$3,0,0,'Données projet'!$E$16+1,1))-AVERAGE(OFFSET($H$3,0,0,'Données projet'!$E$16+1,1))</f>
        <v>455.50822833641354</v>
      </c>
      <c r="FK161" s="60">
        <f t="shared" si="156"/>
        <v>261.14722581688039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 t="e">
        <f>N162*VLOOKUP('Données projet'!$B$9,Paramètres!$A$1:$I$89,3,0)*VLOOKUP('Données projet'!$B$9,Paramètres!$A$1:$I$89,5,0)</f>
        <v>#N/A</v>
      </c>
      <c r="P162" s="14" t="e">
        <f t="shared" si="141"/>
        <v>#N/A</v>
      </c>
      <c r="Q162" s="22" t="e">
        <f t="shared" si="162"/>
        <v>#N/A</v>
      </c>
      <c r="R162" s="60" t="e">
        <f t="shared" si="109"/>
        <v>#N/A</v>
      </c>
      <c r="S162" s="60" t="e">
        <f ca="1">AVERAGE(OFFSET($R$3,0,0,'Données projet'!$E$9+1,1))-AVERAGE(OFFSET($H$3,0,0,'Données projet'!$E$9+1,1))</f>
        <v>#N/A</v>
      </c>
      <c r="T162" s="60" t="e">
        <f t="shared" si="142"/>
        <v>#N/A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 t="e">
        <f>EXP(-LN(2)/35)*Z161+(1-EXP(-LN(2)/35))/(LN(2)/35)*V162*W162*VLOOKUP('Données projet'!$B$9,Paramètres!$A$1:$I$89,3,0)*0.475*44/12</f>
        <v>#N/A</v>
      </c>
      <c r="AA162" s="23" t="e">
        <f>EXP(-LN(2)/25)*AA161+(1-EXP(-LN(2)/25))/(LN(2)/25)*Calculateur!V162*Calculateur!X162*VLOOKUP('Données projet'!$B$9,Paramètres!$A$1:$I$89,3,0)*0.475*44/12</f>
        <v>#N/A</v>
      </c>
      <c r="AB162" s="23" t="e">
        <f>EXP(-LN(2)/2)*AB161+(1-EXP(-LN(2)/2))/(LN(2)/2)*V162*Y162*VLOOKUP('Données projet'!$B$9,Paramètres!$A$1:$I$89,3,0)*0.475*44/12</f>
        <v>#N/A</v>
      </c>
      <c r="AC162" s="24" t="e">
        <f t="shared" si="163"/>
        <v>#N/A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1.9863364286720756E-13</v>
      </c>
      <c r="AK162" s="14">
        <f t="shared" si="164"/>
        <v>2.7549360720371426E-12</v>
      </c>
      <c r="AL162" s="22">
        <f t="shared" si="165"/>
        <v>5.144133920125077E-12</v>
      </c>
      <c r="AM162" s="60">
        <f t="shared" si="113"/>
        <v>293.33333333333843</v>
      </c>
      <c r="AN162" s="60">
        <f ca="1">AVERAGE(OFFSET($AM$3,0,0,'Données projet'!$E$10+1,1))-AVERAGE(OFFSET($H$3,0,0,'Données projet'!$E$10+1,1))</f>
        <v>325.06345339097095</v>
      </c>
      <c r="AO162" s="60">
        <f t="shared" si="144"/>
        <v>318.90379036810754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0" t="e">
        <f t="shared" si="116"/>
        <v>#N/A</v>
      </c>
      <c r="BI162" s="60" t="e">
        <f ca="1">AVERAGE(OFFSET($BH$3,0,0,'Données projet'!$E$11+1,1))-AVERAGE(OFFSET($H$3,0,0,'Données projet'!$E$11+1,1))</f>
        <v>#N/A</v>
      </c>
      <c r="BJ162" s="60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0" t="e">
        <f t="shared" si="119"/>
        <v>#N/A</v>
      </c>
      <c r="CD162" s="60" t="e">
        <f ca="1">AVERAGE(OFFSET($CC$3,0,0,'Données projet'!$E$12+1,1))-AVERAGE(OFFSET($H$3,0,0,'Données projet'!$E$12+1,1))</f>
        <v>#N/A</v>
      </c>
      <c r="CE162" s="60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-8.4419298218563211E-13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415.50509041799154</v>
      </c>
      <c r="CZ162" s="60">
        <f t="shared" si="150"/>
        <v>239.93573789765657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-9.6633812063373625E-13</v>
      </c>
      <c r="DP162" s="18">
        <f>DO162*VLOOKUP('Données projet'!$B$14,Paramètres!$A$1:$I$89,3,0)*VLOOKUP('Données projet'!$B$14,Paramètres!$A$1:$I$89,5,0)</f>
        <v>-9.7986685432260874E-13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475.47920969424894</v>
      </c>
      <c r="DU162" s="60">
        <f t="shared" si="152"/>
        <v>271.73544012419364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-9.6633812063373625E-13</v>
      </c>
      <c r="EK162" s="18">
        <f>EJ162*VLOOKUP('Données projet'!$B$15,Paramètres!$A$1:$I$89,3,0)*VLOOKUP('Données projet'!$B$15,Paramètres!$A$1:$I$89,5,0)</f>
        <v>-8.7434273154940449E-13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428.8489304403459</v>
      </c>
      <c r="EP162" s="60">
        <f t="shared" si="154"/>
        <v>247.01165577562966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-9.6633812063373625E-13</v>
      </c>
      <c r="FF162" s="18">
        <f>FE162*VLOOKUP('Données projet'!$B$16,Paramètres!$A$1:$I$89,3,0)*VLOOKUP('Données projet'!$B$16,Paramètres!$A$1:$I$89,5,0)</f>
        <v>-9.3464223027694966E-13</v>
      </c>
      <c r="FG162" s="14" t="e">
        <f t="shared" si="182"/>
        <v>#NUM!</v>
      </c>
      <c r="FH162" s="22" t="e">
        <f t="shared" si="183"/>
        <v>#NUM!</v>
      </c>
      <c r="FI162" s="60" t="e">
        <f t="shared" si="131"/>
        <v>#NUM!</v>
      </c>
      <c r="FJ162" s="60">
        <f ca="1">AVERAGE(OFFSET($FI$3,0,0,'Données projet'!$E$16+1,1))-AVERAGE(OFFSET($H$3,0,0,'Données projet'!$E$16+1,1))</f>
        <v>455.50822833641354</v>
      </c>
      <c r="FK162" s="60">
        <f t="shared" si="156"/>
        <v>261.14722581688039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 t="e">
        <f>N163*VLOOKUP('Données projet'!$B$9,Paramètres!$A$1:$I$89,3,0)*VLOOKUP('Données projet'!$B$9,Paramètres!$A$1:$I$89,5,0)</f>
        <v>#N/A</v>
      </c>
      <c r="P163" s="14" t="e">
        <f t="shared" si="141"/>
        <v>#N/A</v>
      </c>
      <c r="Q163" s="22" t="e">
        <f t="shared" si="162"/>
        <v>#N/A</v>
      </c>
      <c r="R163" s="60" t="e">
        <f t="shared" si="109"/>
        <v>#N/A</v>
      </c>
      <c r="S163" s="60" t="e">
        <f ca="1">AVERAGE(OFFSET($R$3,0,0,'Données projet'!$E$9+1,1))-AVERAGE(OFFSET($H$3,0,0,'Données projet'!$E$9+1,1))</f>
        <v>#N/A</v>
      </c>
      <c r="T163" s="60" t="e">
        <f t="shared" si="142"/>
        <v>#N/A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 t="e">
        <f>EXP(-LN(2)/35)*Z162+(1-EXP(-LN(2)/35))/(LN(2)/35)*V163*W163*VLOOKUP('Données projet'!$B$9,Paramètres!$A$1:$I$89,3,0)*0.475*44/12</f>
        <v>#N/A</v>
      </c>
      <c r="AA163" s="23" t="e">
        <f>EXP(-LN(2)/25)*AA162+(1-EXP(-LN(2)/25))/(LN(2)/25)*Calculateur!V163*Calculateur!X163*VLOOKUP('Données projet'!$B$9,Paramètres!$A$1:$I$89,3,0)*0.475*44/12</f>
        <v>#N/A</v>
      </c>
      <c r="AB163" s="23" t="e">
        <f>EXP(-LN(2)/2)*AB162+(1-EXP(-LN(2)/2))/(LN(2)/2)*V163*Y163*VLOOKUP('Données projet'!$B$9,Paramètres!$A$1:$I$89,3,0)*0.475*44/12</f>
        <v>#N/A</v>
      </c>
      <c r="AC163" s="24" t="e">
        <f t="shared" si="163"/>
        <v>#N/A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1.9863364286720756E-13</v>
      </c>
      <c r="AK163" s="14">
        <f t="shared" si="164"/>
        <v>2.7549360720371426E-12</v>
      </c>
      <c r="AL163" s="22">
        <f t="shared" si="165"/>
        <v>5.144133920125077E-12</v>
      </c>
      <c r="AM163" s="60">
        <f t="shared" si="113"/>
        <v>293.33333333333843</v>
      </c>
      <c r="AN163" s="60">
        <f ca="1">AVERAGE(OFFSET($AM$3,0,0,'Données projet'!$E$10+1,1))-AVERAGE(OFFSET($H$3,0,0,'Données projet'!$E$10+1,1))</f>
        <v>325.06345339097095</v>
      </c>
      <c r="AO163" s="60">
        <f t="shared" si="144"/>
        <v>318.90379036810754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0" t="e">
        <f t="shared" si="116"/>
        <v>#N/A</v>
      </c>
      <c r="BI163" s="60" t="e">
        <f ca="1">AVERAGE(OFFSET($BH$3,0,0,'Données projet'!$E$11+1,1))-AVERAGE(OFFSET($H$3,0,0,'Données projet'!$E$11+1,1))</f>
        <v>#N/A</v>
      </c>
      <c r="BJ163" s="60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0" t="e">
        <f t="shared" si="119"/>
        <v>#N/A</v>
      </c>
      <c r="CD163" s="60" t="e">
        <f ca="1">AVERAGE(OFFSET($CC$3,0,0,'Données projet'!$E$12+1,1))-AVERAGE(OFFSET($H$3,0,0,'Données projet'!$E$12+1,1))</f>
        <v>#N/A</v>
      </c>
      <c r="CE163" s="60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-8.4419298218563211E-13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415.50509041799154</v>
      </c>
      <c r="CZ163" s="60">
        <f t="shared" si="150"/>
        <v>239.93573789765657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-9.6633812063373625E-13</v>
      </c>
      <c r="DP163" s="18">
        <f>DO163*VLOOKUP('Données projet'!$B$14,Paramètres!$A$1:$I$89,3,0)*VLOOKUP('Données projet'!$B$14,Paramètres!$A$1:$I$89,5,0)</f>
        <v>-9.7986685432260874E-13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475.47920969424894</v>
      </c>
      <c r="DU163" s="60">
        <f t="shared" si="152"/>
        <v>271.73544012419364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-9.6633812063373625E-13</v>
      </c>
      <c r="EK163" s="18">
        <f>EJ163*VLOOKUP('Données projet'!$B$15,Paramètres!$A$1:$I$89,3,0)*VLOOKUP('Données projet'!$B$15,Paramètres!$A$1:$I$89,5,0)</f>
        <v>-8.7434273154940449E-13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428.8489304403459</v>
      </c>
      <c r="EP163" s="60">
        <f t="shared" si="154"/>
        <v>247.01165577562966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-9.6633812063373625E-13</v>
      </c>
      <c r="FF163" s="18">
        <f>FE163*VLOOKUP('Données projet'!$B$16,Paramètres!$A$1:$I$89,3,0)*VLOOKUP('Données projet'!$B$16,Paramètres!$A$1:$I$89,5,0)</f>
        <v>-9.3464223027694966E-13</v>
      </c>
      <c r="FG163" s="14" t="e">
        <f t="shared" si="182"/>
        <v>#NUM!</v>
      </c>
      <c r="FH163" s="22" t="e">
        <f t="shared" si="183"/>
        <v>#NUM!</v>
      </c>
      <c r="FI163" s="60" t="e">
        <f t="shared" si="131"/>
        <v>#NUM!</v>
      </c>
      <c r="FJ163" s="60">
        <f ca="1">AVERAGE(OFFSET($FI$3,0,0,'Données projet'!$E$16+1,1))-AVERAGE(OFFSET($H$3,0,0,'Données projet'!$E$16+1,1))</f>
        <v>455.50822833641354</v>
      </c>
      <c r="FK163" s="60">
        <f t="shared" si="156"/>
        <v>261.14722581688039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 t="e">
        <f>N164*VLOOKUP('Données projet'!$B$9,Paramètres!$A$1:$I$89,3,0)*VLOOKUP('Données projet'!$B$9,Paramètres!$A$1:$I$89,5,0)</f>
        <v>#N/A</v>
      </c>
      <c r="P164" s="14" t="e">
        <f t="shared" si="141"/>
        <v>#N/A</v>
      </c>
      <c r="Q164" s="22" t="e">
        <f t="shared" si="162"/>
        <v>#N/A</v>
      </c>
      <c r="R164" s="60" t="e">
        <f t="shared" si="109"/>
        <v>#N/A</v>
      </c>
      <c r="S164" s="60" t="e">
        <f ca="1">AVERAGE(OFFSET($R$3,0,0,'Données projet'!$E$9+1,1))-AVERAGE(OFFSET($H$3,0,0,'Données projet'!$E$9+1,1))</f>
        <v>#N/A</v>
      </c>
      <c r="T164" s="60" t="e">
        <f t="shared" si="142"/>
        <v>#N/A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 t="e">
        <f>EXP(-LN(2)/35)*Z163+(1-EXP(-LN(2)/35))/(LN(2)/35)*V164*W164*VLOOKUP('Données projet'!$B$9,Paramètres!$A$1:$I$89,3,0)*0.475*44/12</f>
        <v>#N/A</v>
      </c>
      <c r="AA164" s="23" t="e">
        <f>EXP(-LN(2)/25)*AA163+(1-EXP(-LN(2)/25))/(LN(2)/25)*Calculateur!V164*Calculateur!X164*VLOOKUP('Données projet'!$B$9,Paramètres!$A$1:$I$89,3,0)*0.475*44/12</f>
        <v>#N/A</v>
      </c>
      <c r="AB164" s="23" t="e">
        <f>EXP(-LN(2)/2)*AB163+(1-EXP(-LN(2)/2))/(LN(2)/2)*V164*Y164*VLOOKUP('Données projet'!$B$9,Paramètres!$A$1:$I$89,3,0)*0.475*44/12</f>
        <v>#N/A</v>
      </c>
      <c r="AC164" s="24" t="e">
        <f t="shared" si="163"/>
        <v>#N/A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1.9863364286720756E-13</v>
      </c>
      <c r="AK164" s="14">
        <f t="shared" si="164"/>
        <v>2.7549360720371426E-12</v>
      </c>
      <c r="AL164" s="22">
        <f t="shared" si="165"/>
        <v>5.144133920125077E-12</v>
      </c>
      <c r="AM164" s="60">
        <f t="shared" si="113"/>
        <v>293.33333333333843</v>
      </c>
      <c r="AN164" s="60">
        <f ca="1">AVERAGE(OFFSET($AM$3,0,0,'Données projet'!$E$10+1,1))-AVERAGE(OFFSET($H$3,0,0,'Données projet'!$E$10+1,1))</f>
        <v>325.06345339097095</v>
      </c>
      <c r="AO164" s="60">
        <f t="shared" si="144"/>
        <v>318.90379036810754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0" t="e">
        <f t="shared" si="116"/>
        <v>#N/A</v>
      </c>
      <c r="BI164" s="60" t="e">
        <f ca="1">AVERAGE(OFFSET($BH$3,0,0,'Données projet'!$E$11+1,1))-AVERAGE(OFFSET($H$3,0,0,'Données projet'!$E$11+1,1))</f>
        <v>#N/A</v>
      </c>
      <c r="BJ164" s="60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0" t="e">
        <f t="shared" si="119"/>
        <v>#N/A</v>
      </c>
      <c r="CD164" s="60" t="e">
        <f ca="1">AVERAGE(OFFSET($CC$3,0,0,'Données projet'!$E$12+1,1))-AVERAGE(OFFSET($H$3,0,0,'Données projet'!$E$12+1,1))</f>
        <v>#N/A</v>
      </c>
      <c r="CE164" s="60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-8.4419298218563211E-13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415.50509041799154</v>
      </c>
      <c r="CZ164" s="60">
        <f t="shared" si="150"/>
        <v>239.93573789765657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-9.6633812063373625E-13</v>
      </c>
      <c r="DP164" s="18">
        <f>DO164*VLOOKUP('Données projet'!$B$14,Paramètres!$A$1:$I$89,3,0)*VLOOKUP('Données projet'!$B$14,Paramètres!$A$1:$I$89,5,0)</f>
        <v>-9.7986685432260874E-13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475.47920969424894</v>
      </c>
      <c r="DU164" s="60">
        <f t="shared" si="152"/>
        <v>271.73544012419364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-9.6633812063373625E-13</v>
      </c>
      <c r="EK164" s="18">
        <f>EJ164*VLOOKUP('Données projet'!$B$15,Paramètres!$A$1:$I$89,3,0)*VLOOKUP('Données projet'!$B$15,Paramètres!$A$1:$I$89,5,0)</f>
        <v>-8.7434273154940449E-13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428.8489304403459</v>
      </c>
      <c r="EP164" s="60">
        <f t="shared" si="154"/>
        <v>247.01165577562966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-9.6633812063373625E-13</v>
      </c>
      <c r="FF164" s="18">
        <f>FE164*VLOOKUP('Données projet'!$B$16,Paramètres!$A$1:$I$89,3,0)*VLOOKUP('Données projet'!$B$16,Paramètres!$A$1:$I$89,5,0)</f>
        <v>-9.3464223027694966E-13</v>
      </c>
      <c r="FG164" s="14" t="e">
        <f t="shared" si="182"/>
        <v>#NUM!</v>
      </c>
      <c r="FH164" s="22" t="e">
        <f t="shared" si="183"/>
        <v>#NUM!</v>
      </c>
      <c r="FI164" s="60" t="e">
        <f t="shared" si="131"/>
        <v>#NUM!</v>
      </c>
      <c r="FJ164" s="60">
        <f ca="1">AVERAGE(OFFSET($FI$3,0,0,'Données projet'!$E$16+1,1))-AVERAGE(OFFSET($H$3,0,0,'Données projet'!$E$16+1,1))</f>
        <v>455.50822833641354</v>
      </c>
      <c r="FK164" s="60">
        <f t="shared" si="156"/>
        <v>261.14722581688039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 t="e">
        <f>N165*VLOOKUP('Données projet'!$B$9,Paramètres!$A$1:$I$89,3,0)*VLOOKUP('Données projet'!$B$9,Paramètres!$A$1:$I$89,5,0)</f>
        <v>#N/A</v>
      </c>
      <c r="P165" s="14" t="e">
        <f t="shared" si="141"/>
        <v>#N/A</v>
      </c>
      <c r="Q165" s="22" t="e">
        <f t="shared" si="162"/>
        <v>#N/A</v>
      </c>
      <c r="R165" s="60" t="e">
        <f t="shared" si="109"/>
        <v>#N/A</v>
      </c>
      <c r="S165" s="60" t="e">
        <f ca="1">AVERAGE(OFFSET($R$3,0,0,'Données projet'!$E$9+1,1))-AVERAGE(OFFSET($H$3,0,0,'Données projet'!$E$9+1,1))</f>
        <v>#N/A</v>
      </c>
      <c r="T165" s="60" t="e">
        <f t="shared" si="142"/>
        <v>#N/A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 t="e">
        <f>EXP(-LN(2)/35)*Z164+(1-EXP(-LN(2)/35))/(LN(2)/35)*V165*W165*VLOOKUP('Données projet'!$B$9,Paramètres!$A$1:$I$89,3,0)*0.475*44/12</f>
        <v>#N/A</v>
      </c>
      <c r="AA165" s="23" t="e">
        <f>EXP(-LN(2)/25)*AA164+(1-EXP(-LN(2)/25))/(LN(2)/25)*Calculateur!V165*Calculateur!X165*VLOOKUP('Données projet'!$B$9,Paramètres!$A$1:$I$89,3,0)*0.475*44/12</f>
        <v>#N/A</v>
      </c>
      <c r="AB165" s="23" t="e">
        <f>EXP(-LN(2)/2)*AB164+(1-EXP(-LN(2)/2))/(LN(2)/2)*V165*Y165*VLOOKUP('Données projet'!$B$9,Paramètres!$A$1:$I$89,3,0)*0.475*44/12</f>
        <v>#N/A</v>
      </c>
      <c r="AC165" s="24" t="e">
        <f t="shared" si="163"/>
        <v>#N/A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1.9863364286720756E-13</v>
      </c>
      <c r="AK165" s="14">
        <f t="shared" si="164"/>
        <v>2.7549360720371426E-12</v>
      </c>
      <c r="AL165" s="22">
        <f t="shared" si="165"/>
        <v>5.144133920125077E-12</v>
      </c>
      <c r="AM165" s="60">
        <f t="shared" si="113"/>
        <v>293.33333333333843</v>
      </c>
      <c r="AN165" s="60">
        <f ca="1">AVERAGE(OFFSET($AM$3,0,0,'Données projet'!$E$10+1,1))-AVERAGE(OFFSET($H$3,0,0,'Données projet'!$E$10+1,1))</f>
        <v>325.06345339097095</v>
      </c>
      <c r="AO165" s="60">
        <f t="shared" si="144"/>
        <v>318.90379036810754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0" t="e">
        <f t="shared" si="116"/>
        <v>#N/A</v>
      </c>
      <c r="BI165" s="60" t="e">
        <f ca="1">AVERAGE(OFFSET($BH$3,0,0,'Données projet'!$E$11+1,1))-AVERAGE(OFFSET($H$3,0,0,'Données projet'!$E$11+1,1))</f>
        <v>#N/A</v>
      </c>
      <c r="BJ165" s="60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0" t="e">
        <f t="shared" si="119"/>
        <v>#N/A</v>
      </c>
      <c r="CD165" s="60" t="e">
        <f ca="1">AVERAGE(OFFSET($CC$3,0,0,'Données projet'!$E$12+1,1))-AVERAGE(OFFSET($H$3,0,0,'Données projet'!$E$12+1,1))</f>
        <v>#N/A</v>
      </c>
      <c r="CE165" s="60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-8.4419298218563211E-13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415.50509041799154</v>
      </c>
      <c r="CZ165" s="60">
        <f t="shared" si="150"/>
        <v>239.93573789765657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-9.6633812063373625E-13</v>
      </c>
      <c r="DP165" s="18">
        <f>DO165*VLOOKUP('Données projet'!$B$14,Paramètres!$A$1:$I$89,3,0)*VLOOKUP('Données projet'!$B$14,Paramètres!$A$1:$I$89,5,0)</f>
        <v>-9.7986685432260874E-13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475.47920969424894</v>
      </c>
      <c r="DU165" s="60">
        <f t="shared" si="152"/>
        <v>271.73544012419364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-9.6633812063373625E-13</v>
      </c>
      <c r="EK165" s="18">
        <f>EJ165*VLOOKUP('Données projet'!$B$15,Paramètres!$A$1:$I$89,3,0)*VLOOKUP('Données projet'!$B$15,Paramètres!$A$1:$I$89,5,0)</f>
        <v>-8.7434273154940449E-13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428.8489304403459</v>
      </c>
      <c r="EP165" s="60">
        <f t="shared" si="154"/>
        <v>247.01165577562966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-9.6633812063373625E-13</v>
      </c>
      <c r="FF165" s="18">
        <f>FE165*VLOOKUP('Données projet'!$B$16,Paramètres!$A$1:$I$89,3,0)*VLOOKUP('Données projet'!$B$16,Paramètres!$A$1:$I$89,5,0)</f>
        <v>-9.3464223027694966E-13</v>
      </c>
      <c r="FG165" s="14" t="e">
        <f t="shared" si="182"/>
        <v>#NUM!</v>
      </c>
      <c r="FH165" s="22" t="e">
        <f t="shared" si="183"/>
        <v>#NUM!</v>
      </c>
      <c r="FI165" s="60" t="e">
        <f t="shared" si="131"/>
        <v>#NUM!</v>
      </c>
      <c r="FJ165" s="60">
        <f ca="1">AVERAGE(OFFSET($FI$3,0,0,'Données projet'!$E$16+1,1))-AVERAGE(OFFSET($H$3,0,0,'Données projet'!$E$16+1,1))</f>
        <v>455.50822833641354</v>
      </c>
      <c r="FK165" s="60">
        <f t="shared" si="156"/>
        <v>261.14722581688039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 t="e">
        <f>N166*VLOOKUP('Données projet'!$B$9,Paramètres!$A$1:$I$89,3,0)*VLOOKUP('Données projet'!$B$9,Paramètres!$A$1:$I$89,5,0)</f>
        <v>#N/A</v>
      </c>
      <c r="P166" s="14" t="e">
        <f t="shared" si="141"/>
        <v>#N/A</v>
      </c>
      <c r="Q166" s="22" t="e">
        <f t="shared" si="162"/>
        <v>#N/A</v>
      </c>
      <c r="R166" s="60" t="e">
        <f t="shared" si="109"/>
        <v>#N/A</v>
      </c>
      <c r="S166" s="60" t="e">
        <f ca="1">AVERAGE(OFFSET($R$3,0,0,'Données projet'!$E$9+1,1))-AVERAGE(OFFSET($H$3,0,0,'Données projet'!$E$9+1,1))</f>
        <v>#N/A</v>
      </c>
      <c r="T166" s="60" t="e">
        <f t="shared" si="142"/>
        <v>#N/A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 t="e">
        <f>EXP(-LN(2)/35)*Z165+(1-EXP(-LN(2)/35))/(LN(2)/35)*V166*W166*VLOOKUP('Données projet'!$B$9,Paramètres!$A$1:$I$89,3,0)*0.475*44/12</f>
        <v>#N/A</v>
      </c>
      <c r="AA166" s="23" t="e">
        <f>EXP(-LN(2)/25)*AA165+(1-EXP(-LN(2)/25))/(LN(2)/25)*Calculateur!V166*Calculateur!X166*VLOOKUP('Données projet'!$B$9,Paramètres!$A$1:$I$89,3,0)*0.475*44/12</f>
        <v>#N/A</v>
      </c>
      <c r="AB166" s="23" t="e">
        <f>EXP(-LN(2)/2)*AB165+(1-EXP(-LN(2)/2))/(LN(2)/2)*V166*Y166*VLOOKUP('Données projet'!$B$9,Paramètres!$A$1:$I$89,3,0)*0.475*44/12</f>
        <v>#N/A</v>
      </c>
      <c r="AC166" s="24" t="e">
        <f t="shared" si="163"/>
        <v>#N/A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1.9863364286720756E-13</v>
      </c>
      <c r="AK166" s="14">
        <f t="shared" si="164"/>
        <v>2.7549360720371426E-12</v>
      </c>
      <c r="AL166" s="22">
        <f t="shared" si="165"/>
        <v>5.144133920125077E-12</v>
      </c>
      <c r="AM166" s="60">
        <f t="shared" si="113"/>
        <v>293.33333333333843</v>
      </c>
      <c r="AN166" s="60">
        <f ca="1">AVERAGE(OFFSET($AM$3,0,0,'Données projet'!$E$10+1,1))-AVERAGE(OFFSET($H$3,0,0,'Données projet'!$E$10+1,1))</f>
        <v>325.06345339097095</v>
      </c>
      <c r="AO166" s="60">
        <f t="shared" si="144"/>
        <v>318.90379036810754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0" t="e">
        <f t="shared" si="116"/>
        <v>#N/A</v>
      </c>
      <c r="BI166" s="60" t="e">
        <f ca="1">AVERAGE(OFFSET($BH$3,0,0,'Données projet'!$E$11+1,1))-AVERAGE(OFFSET($H$3,0,0,'Données projet'!$E$11+1,1))</f>
        <v>#N/A</v>
      </c>
      <c r="BJ166" s="60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0" t="e">
        <f t="shared" si="119"/>
        <v>#N/A</v>
      </c>
      <c r="CD166" s="60" t="e">
        <f ca="1">AVERAGE(OFFSET($CC$3,0,0,'Données projet'!$E$12+1,1))-AVERAGE(OFFSET($H$3,0,0,'Données projet'!$E$12+1,1))</f>
        <v>#N/A</v>
      </c>
      <c r="CE166" s="60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-8.4419298218563211E-13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415.50509041799154</v>
      </c>
      <c r="CZ166" s="60">
        <f t="shared" si="150"/>
        <v>239.93573789765657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-9.6633812063373625E-13</v>
      </c>
      <c r="DP166" s="18">
        <f>DO166*VLOOKUP('Données projet'!$B$14,Paramètres!$A$1:$I$89,3,0)*VLOOKUP('Données projet'!$B$14,Paramètres!$A$1:$I$89,5,0)</f>
        <v>-9.7986685432260874E-13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475.47920969424894</v>
      </c>
      <c r="DU166" s="60">
        <f t="shared" si="152"/>
        <v>271.73544012419364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-9.6633812063373625E-13</v>
      </c>
      <c r="EK166" s="18">
        <f>EJ166*VLOOKUP('Données projet'!$B$15,Paramètres!$A$1:$I$89,3,0)*VLOOKUP('Données projet'!$B$15,Paramètres!$A$1:$I$89,5,0)</f>
        <v>-8.7434273154940449E-13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428.8489304403459</v>
      </c>
      <c r="EP166" s="60">
        <f t="shared" si="154"/>
        <v>247.01165577562966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-9.6633812063373625E-13</v>
      </c>
      <c r="FF166" s="18">
        <f>FE166*VLOOKUP('Données projet'!$B$16,Paramètres!$A$1:$I$89,3,0)*VLOOKUP('Données projet'!$B$16,Paramètres!$A$1:$I$89,5,0)</f>
        <v>-9.3464223027694966E-13</v>
      </c>
      <c r="FG166" s="14" t="e">
        <f t="shared" si="182"/>
        <v>#NUM!</v>
      </c>
      <c r="FH166" s="22" t="e">
        <f t="shared" si="183"/>
        <v>#NUM!</v>
      </c>
      <c r="FI166" s="60" t="e">
        <f t="shared" si="131"/>
        <v>#NUM!</v>
      </c>
      <c r="FJ166" s="60">
        <f ca="1">AVERAGE(OFFSET($FI$3,0,0,'Données projet'!$E$16+1,1))-AVERAGE(OFFSET($H$3,0,0,'Données projet'!$E$16+1,1))</f>
        <v>455.50822833641354</v>
      </c>
      <c r="FK166" s="60">
        <f t="shared" si="156"/>
        <v>261.14722581688039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 t="e">
        <f>N167*VLOOKUP('Données projet'!$B$9,Paramètres!$A$1:$I$89,3,0)*VLOOKUP('Données projet'!$B$9,Paramètres!$A$1:$I$89,5,0)</f>
        <v>#N/A</v>
      </c>
      <c r="P167" s="14" t="e">
        <f t="shared" si="141"/>
        <v>#N/A</v>
      </c>
      <c r="Q167" s="22" t="e">
        <f t="shared" si="162"/>
        <v>#N/A</v>
      </c>
      <c r="R167" s="60" t="e">
        <f t="shared" si="109"/>
        <v>#N/A</v>
      </c>
      <c r="S167" s="60" t="e">
        <f ca="1">AVERAGE(OFFSET($R$3,0,0,'Données projet'!$E$9+1,1))-AVERAGE(OFFSET($H$3,0,0,'Données projet'!$E$9+1,1))</f>
        <v>#N/A</v>
      </c>
      <c r="T167" s="60" t="e">
        <f t="shared" si="142"/>
        <v>#N/A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 t="e">
        <f>EXP(-LN(2)/35)*Z166+(1-EXP(-LN(2)/35))/(LN(2)/35)*V167*W167*VLOOKUP('Données projet'!$B$9,Paramètres!$A$1:$I$89,3,0)*0.475*44/12</f>
        <v>#N/A</v>
      </c>
      <c r="AA167" s="23" t="e">
        <f>EXP(-LN(2)/25)*AA166+(1-EXP(-LN(2)/25))/(LN(2)/25)*Calculateur!V167*Calculateur!X167*VLOOKUP('Données projet'!$B$9,Paramètres!$A$1:$I$89,3,0)*0.475*44/12</f>
        <v>#N/A</v>
      </c>
      <c r="AB167" s="23" t="e">
        <f>EXP(-LN(2)/2)*AB166+(1-EXP(-LN(2)/2))/(LN(2)/2)*V167*Y167*VLOOKUP('Données projet'!$B$9,Paramètres!$A$1:$I$89,3,0)*0.475*44/12</f>
        <v>#N/A</v>
      </c>
      <c r="AC167" s="24" t="e">
        <f t="shared" si="163"/>
        <v>#N/A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1.9863364286720756E-13</v>
      </c>
      <c r="AK167" s="14">
        <f t="shared" si="164"/>
        <v>2.7549360720371426E-12</v>
      </c>
      <c r="AL167" s="22">
        <f t="shared" si="165"/>
        <v>5.144133920125077E-12</v>
      </c>
      <c r="AM167" s="60">
        <f t="shared" si="113"/>
        <v>293.33333333333843</v>
      </c>
      <c r="AN167" s="60">
        <f ca="1">AVERAGE(OFFSET($AM$3,0,0,'Données projet'!$E$10+1,1))-AVERAGE(OFFSET($H$3,0,0,'Données projet'!$E$10+1,1))</f>
        <v>325.06345339097095</v>
      </c>
      <c r="AO167" s="60">
        <f t="shared" si="144"/>
        <v>318.90379036810754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0" t="e">
        <f t="shared" si="116"/>
        <v>#N/A</v>
      </c>
      <c r="BI167" s="60" t="e">
        <f ca="1">AVERAGE(OFFSET($BH$3,0,0,'Données projet'!$E$11+1,1))-AVERAGE(OFFSET($H$3,0,0,'Données projet'!$E$11+1,1))</f>
        <v>#N/A</v>
      </c>
      <c r="BJ167" s="60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0" t="e">
        <f t="shared" si="119"/>
        <v>#N/A</v>
      </c>
      <c r="CD167" s="60" t="e">
        <f ca="1">AVERAGE(OFFSET($CC$3,0,0,'Données projet'!$E$12+1,1))-AVERAGE(OFFSET($H$3,0,0,'Données projet'!$E$12+1,1))</f>
        <v>#N/A</v>
      </c>
      <c r="CE167" s="60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-8.4419298218563211E-13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415.50509041799154</v>
      </c>
      <c r="CZ167" s="60">
        <f t="shared" si="150"/>
        <v>239.93573789765657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-9.6633812063373625E-13</v>
      </c>
      <c r="DP167" s="18">
        <f>DO167*VLOOKUP('Données projet'!$B$14,Paramètres!$A$1:$I$89,3,0)*VLOOKUP('Données projet'!$B$14,Paramètres!$A$1:$I$89,5,0)</f>
        <v>-9.7986685432260874E-13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475.47920969424894</v>
      </c>
      <c r="DU167" s="60">
        <f t="shared" si="152"/>
        <v>271.73544012419364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-9.6633812063373625E-13</v>
      </c>
      <c r="EK167" s="18">
        <f>EJ167*VLOOKUP('Données projet'!$B$15,Paramètres!$A$1:$I$89,3,0)*VLOOKUP('Données projet'!$B$15,Paramètres!$A$1:$I$89,5,0)</f>
        <v>-8.7434273154940449E-13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428.8489304403459</v>
      </c>
      <c r="EP167" s="60">
        <f t="shared" si="154"/>
        <v>247.01165577562966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-9.6633812063373625E-13</v>
      </c>
      <c r="FF167" s="18">
        <f>FE167*VLOOKUP('Données projet'!$B$16,Paramètres!$A$1:$I$89,3,0)*VLOOKUP('Données projet'!$B$16,Paramètres!$A$1:$I$89,5,0)</f>
        <v>-9.3464223027694966E-13</v>
      </c>
      <c r="FG167" s="14" t="e">
        <f t="shared" si="182"/>
        <v>#NUM!</v>
      </c>
      <c r="FH167" s="22" t="e">
        <f t="shared" si="183"/>
        <v>#NUM!</v>
      </c>
      <c r="FI167" s="60" t="e">
        <f t="shared" si="131"/>
        <v>#NUM!</v>
      </c>
      <c r="FJ167" s="60">
        <f ca="1">AVERAGE(OFFSET($FI$3,0,0,'Données projet'!$E$16+1,1))-AVERAGE(OFFSET($H$3,0,0,'Données projet'!$E$16+1,1))</f>
        <v>455.50822833641354</v>
      </c>
      <c r="FK167" s="60">
        <f t="shared" si="156"/>
        <v>261.14722581688039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 t="e">
        <f>N168*VLOOKUP('Données projet'!$B$9,Paramètres!$A$1:$I$89,3,0)*VLOOKUP('Données projet'!$B$9,Paramètres!$A$1:$I$89,5,0)</f>
        <v>#N/A</v>
      </c>
      <c r="P168" s="14" t="e">
        <f t="shared" si="141"/>
        <v>#N/A</v>
      </c>
      <c r="Q168" s="22" t="e">
        <f t="shared" si="162"/>
        <v>#N/A</v>
      </c>
      <c r="R168" s="60" t="e">
        <f t="shared" si="109"/>
        <v>#N/A</v>
      </c>
      <c r="S168" s="60" t="e">
        <f ca="1">AVERAGE(OFFSET($R$3,0,0,'Données projet'!$E$9+1,1))-AVERAGE(OFFSET($H$3,0,0,'Données projet'!$E$9+1,1))</f>
        <v>#N/A</v>
      </c>
      <c r="T168" s="60" t="e">
        <f t="shared" si="142"/>
        <v>#N/A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 t="e">
        <f>EXP(-LN(2)/35)*Z167+(1-EXP(-LN(2)/35))/(LN(2)/35)*V168*W168*VLOOKUP('Données projet'!$B$9,Paramètres!$A$1:$I$89,3,0)*0.475*44/12</f>
        <v>#N/A</v>
      </c>
      <c r="AA168" s="23" t="e">
        <f>EXP(-LN(2)/25)*AA167+(1-EXP(-LN(2)/25))/(LN(2)/25)*Calculateur!V168*Calculateur!X168*VLOOKUP('Données projet'!$B$9,Paramètres!$A$1:$I$89,3,0)*0.475*44/12</f>
        <v>#N/A</v>
      </c>
      <c r="AB168" s="23" t="e">
        <f>EXP(-LN(2)/2)*AB167+(1-EXP(-LN(2)/2))/(LN(2)/2)*V168*Y168*VLOOKUP('Données projet'!$B$9,Paramètres!$A$1:$I$89,3,0)*0.475*44/12</f>
        <v>#N/A</v>
      </c>
      <c r="AC168" s="24" t="e">
        <f t="shared" si="163"/>
        <v>#N/A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1.9863364286720756E-13</v>
      </c>
      <c r="AK168" s="14">
        <f t="shared" si="164"/>
        <v>2.7549360720371426E-12</v>
      </c>
      <c r="AL168" s="22">
        <f t="shared" si="165"/>
        <v>5.144133920125077E-12</v>
      </c>
      <c r="AM168" s="60">
        <f t="shared" si="113"/>
        <v>293.33333333333843</v>
      </c>
      <c r="AN168" s="60">
        <f ca="1">AVERAGE(OFFSET($AM$3,0,0,'Données projet'!$E$10+1,1))-AVERAGE(OFFSET($H$3,0,0,'Données projet'!$E$10+1,1))</f>
        <v>325.06345339097095</v>
      </c>
      <c r="AO168" s="60">
        <f t="shared" si="144"/>
        <v>318.90379036810754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0" t="e">
        <f t="shared" si="116"/>
        <v>#N/A</v>
      </c>
      <c r="BI168" s="60" t="e">
        <f ca="1">AVERAGE(OFFSET($BH$3,0,0,'Données projet'!$E$11+1,1))-AVERAGE(OFFSET($H$3,0,0,'Données projet'!$E$11+1,1))</f>
        <v>#N/A</v>
      </c>
      <c r="BJ168" s="60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0" t="e">
        <f t="shared" si="119"/>
        <v>#N/A</v>
      </c>
      <c r="CD168" s="60" t="e">
        <f ca="1">AVERAGE(OFFSET($CC$3,0,0,'Données projet'!$E$12+1,1))-AVERAGE(OFFSET($H$3,0,0,'Données projet'!$E$12+1,1))</f>
        <v>#N/A</v>
      </c>
      <c r="CE168" s="60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-8.4419298218563211E-13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415.50509041799154</v>
      </c>
      <c r="CZ168" s="60">
        <f t="shared" si="150"/>
        <v>239.93573789765657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-9.6633812063373625E-13</v>
      </c>
      <c r="DP168" s="18">
        <f>DO168*VLOOKUP('Données projet'!$B$14,Paramètres!$A$1:$I$89,3,0)*VLOOKUP('Données projet'!$B$14,Paramètres!$A$1:$I$89,5,0)</f>
        <v>-9.7986685432260874E-13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475.47920969424894</v>
      </c>
      <c r="DU168" s="60">
        <f t="shared" si="152"/>
        <v>271.73544012419364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-9.6633812063373625E-13</v>
      </c>
      <c r="EK168" s="18">
        <f>EJ168*VLOOKUP('Données projet'!$B$15,Paramètres!$A$1:$I$89,3,0)*VLOOKUP('Données projet'!$B$15,Paramètres!$A$1:$I$89,5,0)</f>
        <v>-8.7434273154940449E-13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428.8489304403459</v>
      </c>
      <c r="EP168" s="60">
        <f t="shared" si="154"/>
        <v>247.01165577562966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-9.6633812063373625E-13</v>
      </c>
      <c r="FF168" s="18">
        <f>FE168*VLOOKUP('Données projet'!$B$16,Paramètres!$A$1:$I$89,3,0)*VLOOKUP('Données projet'!$B$16,Paramètres!$A$1:$I$89,5,0)</f>
        <v>-9.3464223027694966E-13</v>
      </c>
      <c r="FG168" s="14" t="e">
        <f t="shared" si="182"/>
        <v>#NUM!</v>
      </c>
      <c r="FH168" s="22" t="e">
        <f t="shared" si="183"/>
        <v>#NUM!</v>
      </c>
      <c r="FI168" s="60" t="e">
        <f t="shared" si="131"/>
        <v>#NUM!</v>
      </c>
      <c r="FJ168" s="60">
        <f ca="1">AVERAGE(OFFSET($FI$3,0,0,'Données projet'!$E$16+1,1))-AVERAGE(OFFSET($H$3,0,0,'Données projet'!$E$16+1,1))</f>
        <v>455.50822833641354</v>
      </c>
      <c r="FK168" s="60">
        <f t="shared" si="156"/>
        <v>261.14722581688039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 t="e">
        <f>N169*VLOOKUP('Données projet'!$B$9,Paramètres!$A$1:$I$89,3,0)*VLOOKUP('Données projet'!$B$9,Paramètres!$A$1:$I$89,5,0)</f>
        <v>#N/A</v>
      </c>
      <c r="P169" s="14" t="e">
        <f t="shared" si="141"/>
        <v>#N/A</v>
      </c>
      <c r="Q169" s="22" t="e">
        <f t="shared" si="162"/>
        <v>#N/A</v>
      </c>
      <c r="R169" s="60" t="e">
        <f t="shared" si="109"/>
        <v>#N/A</v>
      </c>
      <c r="S169" s="60" t="e">
        <f ca="1">AVERAGE(OFFSET($R$3,0,0,'Données projet'!$E$9+1,1))-AVERAGE(OFFSET($H$3,0,0,'Données projet'!$E$9+1,1))</f>
        <v>#N/A</v>
      </c>
      <c r="T169" s="60" t="e">
        <f t="shared" si="142"/>
        <v>#N/A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 t="e">
        <f>EXP(-LN(2)/35)*Z168+(1-EXP(-LN(2)/35))/(LN(2)/35)*V169*W169*VLOOKUP('Données projet'!$B$9,Paramètres!$A$1:$I$89,3,0)*0.475*44/12</f>
        <v>#N/A</v>
      </c>
      <c r="AA169" s="23" t="e">
        <f>EXP(-LN(2)/25)*AA168+(1-EXP(-LN(2)/25))/(LN(2)/25)*Calculateur!V169*Calculateur!X169*VLOOKUP('Données projet'!$B$9,Paramètres!$A$1:$I$89,3,0)*0.475*44/12</f>
        <v>#N/A</v>
      </c>
      <c r="AB169" s="23" t="e">
        <f>EXP(-LN(2)/2)*AB168+(1-EXP(-LN(2)/2))/(LN(2)/2)*V169*Y169*VLOOKUP('Données projet'!$B$9,Paramètres!$A$1:$I$89,3,0)*0.475*44/12</f>
        <v>#N/A</v>
      </c>
      <c r="AC169" s="24" t="e">
        <f t="shared" si="163"/>
        <v>#N/A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1.9863364286720756E-13</v>
      </c>
      <c r="AK169" s="14">
        <f t="shared" si="164"/>
        <v>2.7549360720371426E-12</v>
      </c>
      <c r="AL169" s="22">
        <f t="shared" si="165"/>
        <v>5.144133920125077E-12</v>
      </c>
      <c r="AM169" s="60">
        <f t="shared" si="113"/>
        <v>293.33333333333843</v>
      </c>
      <c r="AN169" s="60">
        <f ca="1">AVERAGE(OFFSET($AM$3,0,0,'Données projet'!$E$10+1,1))-AVERAGE(OFFSET($H$3,0,0,'Données projet'!$E$10+1,1))</f>
        <v>325.06345339097095</v>
      </c>
      <c r="AO169" s="60">
        <f t="shared" si="144"/>
        <v>318.90379036810754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0" t="e">
        <f t="shared" si="116"/>
        <v>#N/A</v>
      </c>
      <c r="BI169" s="60" t="e">
        <f ca="1">AVERAGE(OFFSET($BH$3,0,0,'Données projet'!$E$11+1,1))-AVERAGE(OFFSET($H$3,0,0,'Données projet'!$E$11+1,1))</f>
        <v>#N/A</v>
      </c>
      <c r="BJ169" s="60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0" t="e">
        <f t="shared" si="119"/>
        <v>#N/A</v>
      </c>
      <c r="CD169" s="60" t="e">
        <f ca="1">AVERAGE(OFFSET($CC$3,0,0,'Données projet'!$E$12+1,1))-AVERAGE(OFFSET($H$3,0,0,'Données projet'!$E$12+1,1))</f>
        <v>#N/A</v>
      </c>
      <c r="CE169" s="60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-8.4419298218563211E-13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415.50509041799154</v>
      </c>
      <c r="CZ169" s="60">
        <f t="shared" si="150"/>
        <v>239.93573789765657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-9.6633812063373625E-13</v>
      </c>
      <c r="DP169" s="18">
        <f>DO169*VLOOKUP('Données projet'!$B$14,Paramètres!$A$1:$I$89,3,0)*VLOOKUP('Données projet'!$B$14,Paramètres!$A$1:$I$89,5,0)</f>
        <v>-9.7986685432260874E-13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475.47920969424894</v>
      </c>
      <c r="DU169" s="60">
        <f t="shared" si="152"/>
        <v>271.73544012419364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-9.6633812063373625E-13</v>
      </c>
      <c r="EK169" s="18">
        <f>EJ169*VLOOKUP('Données projet'!$B$15,Paramètres!$A$1:$I$89,3,0)*VLOOKUP('Données projet'!$B$15,Paramètres!$A$1:$I$89,5,0)</f>
        <v>-8.7434273154940449E-13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428.8489304403459</v>
      </c>
      <c r="EP169" s="60">
        <f t="shared" si="154"/>
        <v>247.01165577562966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-9.6633812063373625E-13</v>
      </c>
      <c r="FF169" s="18">
        <f>FE169*VLOOKUP('Données projet'!$B$16,Paramètres!$A$1:$I$89,3,0)*VLOOKUP('Données projet'!$B$16,Paramètres!$A$1:$I$89,5,0)</f>
        <v>-9.3464223027694966E-13</v>
      </c>
      <c r="FG169" s="14" t="e">
        <f t="shared" si="182"/>
        <v>#NUM!</v>
      </c>
      <c r="FH169" s="22" t="e">
        <f t="shared" si="183"/>
        <v>#NUM!</v>
      </c>
      <c r="FI169" s="60" t="e">
        <f t="shared" si="131"/>
        <v>#NUM!</v>
      </c>
      <c r="FJ169" s="60">
        <f ca="1">AVERAGE(OFFSET($FI$3,0,0,'Données projet'!$E$16+1,1))-AVERAGE(OFFSET($H$3,0,0,'Données projet'!$E$16+1,1))</f>
        <v>455.50822833641354</v>
      </c>
      <c r="FK169" s="60">
        <f t="shared" si="156"/>
        <v>261.14722581688039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 t="e">
        <f>N170*VLOOKUP('Données projet'!$B$9,Paramètres!$A$1:$I$89,3,0)*VLOOKUP('Données projet'!$B$9,Paramètres!$A$1:$I$89,5,0)</f>
        <v>#N/A</v>
      </c>
      <c r="P170" s="14" t="e">
        <f t="shared" si="141"/>
        <v>#N/A</v>
      </c>
      <c r="Q170" s="22" t="e">
        <f t="shared" si="162"/>
        <v>#N/A</v>
      </c>
      <c r="R170" s="60" t="e">
        <f t="shared" si="109"/>
        <v>#N/A</v>
      </c>
      <c r="S170" s="60" t="e">
        <f ca="1">AVERAGE(OFFSET($R$3,0,0,'Données projet'!$E$9+1,1))-AVERAGE(OFFSET($H$3,0,0,'Données projet'!$E$9+1,1))</f>
        <v>#N/A</v>
      </c>
      <c r="T170" s="60" t="e">
        <f t="shared" si="142"/>
        <v>#N/A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 t="e">
        <f>EXP(-LN(2)/35)*Z169+(1-EXP(-LN(2)/35))/(LN(2)/35)*V170*W170*VLOOKUP('Données projet'!$B$9,Paramètres!$A$1:$I$89,3,0)*0.475*44/12</f>
        <v>#N/A</v>
      </c>
      <c r="AA170" s="23" t="e">
        <f>EXP(-LN(2)/25)*AA169+(1-EXP(-LN(2)/25))/(LN(2)/25)*Calculateur!V170*Calculateur!X170*VLOOKUP('Données projet'!$B$9,Paramètres!$A$1:$I$89,3,0)*0.475*44/12</f>
        <v>#N/A</v>
      </c>
      <c r="AB170" s="23" t="e">
        <f>EXP(-LN(2)/2)*AB169+(1-EXP(-LN(2)/2))/(LN(2)/2)*V170*Y170*VLOOKUP('Données projet'!$B$9,Paramètres!$A$1:$I$89,3,0)*0.475*44/12</f>
        <v>#N/A</v>
      </c>
      <c r="AC170" s="24" t="e">
        <f t="shared" si="163"/>
        <v>#N/A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1.9863364286720756E-13</v>
      </c>
      <c r="AK170" s="14">
        <f t="shared" si="164"/>
        <v>2.7549360720371426E-12</v>
      </c>
      <c r="AL170" s="22">
        <f t="shared" si="165"/>
        <v>5.144133920125077E-12</v>
      </c>
      <c r="AM170" s="60">
        <f t="shared" si="113"/>
        <v>293.33333333333843</v>
      </c>
      <c r="AN170" s="60">
        <f ca="1">AVERAGE(OFFSET($AM$3,0,0,'Données projet'!$E$10+1,1))-AVERAGE(OFFSET($H$3,0,0,'Données projet'!$E$10+1,1))</f>
        <v>325.06345339097095</v>
      </c>
      <c r="AO170" s="60">
        <f t="shared" si="144"/>
        <v>318.90379036810754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0" t="e">
        <f t="shared" si="116"/>
        <v>#N/A</v>
      </c>
      <c r="BI170" s="60" t="e">
        <f ca="1">AVERAGE(OFFSET($BH$3,0,0,'Données projet'!$E$11+1,1))-AVERAGE(OFFSET($H$3,0,0,'Données projet'!$E$11+1,1))</f>
        <v>#N/A</v>
      </c>
      <c r="BJ170" s="60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0" t="e">
        <f t="shared" si="119"/>
        <v>#N/A</v>
      </c>
      <c r="CD170" s="60" t="e">
        <f ca="1">AVERAGE(OFFSET($CC$3,0,0,'Données projet'!$E$12+1,1))-AVERAGE(OFFSET($H$3,0,0,'Données projet'!$E$12+1,1))</f>
        <v>#N/A</v>
      </c>
      <c r="CE170" s="60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-8.4419298218563211E-13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415.50509041799154</v>
      </c>
      <c r="CZ170" s="60">
        <f t="shared" si="150"/>
        <v>239.93573789765657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-9.6633812063373625E-13</v>
      </c>
      <c r="DP170" s="18">
        <f>DO170*VLOOKUP('Données projet'!$B$14,Paramètres!$A$1:$I$89,3,0)*VLOOKUP('Données projet'!$B$14,Paramètres!$A$1:$I$89,5,0)</f>
        <v>-9.7986685432260874E-13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475.47920969424894</v>
      </c>
      <c r="DU170" s="60">
        <f t="shared" si="152"/>
        <v>271.73544012419364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-9.6633812063373625E-13</v>
      </c>
      <c r="EK170" s="18">
        <f>EJ170*VLOOKUP('Données projet'!$B$15,Paramètres!$A$1:$I$89,3,0)*VLOOKUP('Données projet'!$B$15,Paramètres!$A$1:$I$89,5,0)</f>
        <v>-8.7434273154940449E-13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428.8489304403459</v>
      </c>
      <c r="EP170" s="60">
        <f t="shared" si="154"/>
        <v>247.01165577562966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-9.6633812063373625E-13</v>
      </c>
      <c r="FF170" s="18">
        <f>FE170*VLOOKUP('Données projet'!$B$16,Paramètres!$A$1:$I$89,3,0)*VLOOKUP('Données projet'!$B$16,Paramètres!$A$1:$I$89,5,0)</f>
        <v>-9.3464223027694966E-13</v>
      </c>
      <c r="FG170" s="14" t="e">
        <f t="shared" si="182"/>
        <v>#NUM!</v>
      </c>
      <c r="FH170" s="22" t="e">
        <f t="shared" si="183"/>
        <v>#NUM!</v>
      </c>
      <c r="FI170" s="60" t="e">
        <f t="shared" si="131"/>
        <v>#NUM!</v>
      </c>
      <c r="FJ170" s="60">
        <f ca="1">AVERAGE(OFFSET($FI$3,0,0,'Données projet'!$E$16+1,1))-AVERAGE(OFFSET($H$3,0,0,'Données projet'!$E$16+1,1))</f>
        <v>455.50822833641354</v>
      </c>
      <c r="FK170" s="60">
        <f t="shared" si="156"/>
        <v>261.14722581688039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 t="e">
        <f>N171*VLOOKUP('Données projet'!$B$9,Paramètres!$A$1:$I$89,3,0)*VLOOKUP('Données projet'!$B$9,Paramètres!$A$1:$I$89,5,0)</f>
        <v>#N/A</v>
      </c>
      <c r="P171" s="14" t="e">
        <f t="shared" si="141"/>
        <v>#N/A</v>
      </c>
      <c r="Q171" s="22" t="e">
        <f t="shared" si="162"/>
        <v>#N/A</v>
      </c>
      <c r="R171" s="60" t="e">
        <f t="shared" si="109"/>
        <v>#N/A</v>
      </c>
      <c r="S171" s="60" t="e">
        <f ca="1">AVERAGE(OFFSET($R$3,0,0,'Données projet'!$E$9+1,1))-AVERAGE(OFFSET($H$3,0,0,'Données projet'!$E$9+1,1))</f>
        <v>#N/A</v>
      </c>
      <c r="T171" s="60" t="e">
        <f t="shared" si="142"/>
        <v>#N/A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 t="e">
        <f>EXP(-LN(2)/35)*Z170+(1-EXP(-LN(2)/35))/(LN(2)/35)*V171*W171*VLOOKUP('Données projet'!$B$9,Paramètres!$A$1:$I$89,3,0)*0.475*44/12</f>
        <v>#N/A</v>
      </c>
      <c r="AA171" s="23" t="e">
        <f>EXP(-LN(2)/25)*AA170+(1-EXP(-LN(2)/25))/(LN(2)/25)*Calculateur!V171*Calculateur!X171*VLOOKUP('Données projet'!$B$9,Paramètres!$A$1:$I$89,3,0)*0.475*44/12</f>
        <v>#N/A</v>
      </c>
      <c r="AB171" s="23" t="e">
        <f>EXP(-LN(2)/2)*AB170+(1-EXP(-LN(2)/2))/(LN(2)/2)*V171*Y171*VLOOKUP('Données projet'!$B$9,Paramètres!$A$1:$I$89,3,0)*0.475*44/12</f>
        <v>#N/A</v>
      </c>
      <c r="AC171" s="24" t="e">
        <f t="shared" si="163"/>
        <v>#N/A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1.9863364286720756E-13</v>
      </c>
      <c r="AK171" s="14">
        <f t="shared" si="164"/>
        <v>2.7549360720371426E-12</v>
      </c>
      <c r="AL171" s="22">
        <f t="shared" si="165"/>
        <v>5.144133920125077E-12</v>
      </c>
      <c r="AM171" s="60">
        <f t="shared" si="113"/>
        <v>293.33333333333843</v>
      </c>
      <c r="AN171" s="60">
        <f ca="1">AVERAGE(OFFSET($AM$3,0,0,'Données projet'!$E$10+1,1))-AVERAGE(OFFSET($H$3,0,0,'Données projet'!$E$10+1,1))</f>
        <v>325.06345339097095</v>
      </c>
      <c r="AO171" s="60">
        <f t="shared" si="144"/>
        <v>318.90379036810754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0" t="e">
        <f t="shared" si="116"/>
        <v>#N/A</v>
      </c>
      <c r="BI171" s="60" t="e">
        <f ca="1">AVERAGE(OFFSET($BH$3,0,0,'Données projet'!$E$11+1,1))-AVERAGE(OFFSET($H$3,0,0,'Données projet'!$E$11+1,1))</f>
        <v>#N/A</v>
      </c>
      <c r="BJ171" s="60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0" t="e">
        <f t="shared" si="119"/>
        <v>#N/A</v>
      </c>
      <c r="CD171" s="60" t="e">
        <f ca="1">AVERAGE(OFFSET($CC$3,0,0,'Données projet'!$E$12+1,1))-AVERAGE(OFFSET($H$3,0,0,'Données projet'!$E$12+1,1))</f>
        <v>#N/A</v>
      </c>
      <c r="CE171" s="60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-8.4419298218563211E-13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415.50509041799154</v>
      </c>
      <c r="CZ171" s="60">
        <f t="shared" si="150"/>
        <v>239.93573789765657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-9.6633812063373625E-13</v>
      </c>
      <c r="DP171" s="18">
        <f>DO171*VLOOKUP('Données projet'!$B$14,Paramètres!$A$1:$I$89,3,0)*VLOOKUP('Données projet'!$B$14,Paramètres!$A$1:$I$89,5,0)</f>
        <v>-9.7986685432260874E-13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475.47920969424894</v>
      </c>
      <c r="DU171" s="60">
        <f t="shared" si="152"/>
        <v>271.73544012419364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-9.6633812063373625E-13</v>
      </c>
      <c r="EK171" s="18">
        <f>EJ171*VLOOKUP('Données projet'!$B$15,Paramètres!$A$1:$I$89,3,0)*VLOOKUP('Données projet'!$B$15,Paramètres!$A$1:$I$89,5,0)</f>
        <v>-8.7434273154940449E-13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428.8489304403459</v>
      </c>
      <c r="EP171" s="60">
        <f t="shared" si="154"/>
        <v>247.01165577562966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-9.6633812063373625E-13</v>
      </c>
      <c r="FF171" s="18">
        <f>FE171*VLOOKUP('Données projet'!$B$16,Paramètres!$A$1:$I$89,3,0)*VLOOKUP('Données projet'!$B$16,Paramètres!$A$1:$I$89,5,0)</f>
        <v>-9.3464223027694966E-13</v>
      </c>
      <c r="FG171" s="14" t="e">
        <f t="shared" si="182"/>
        <v>#NUM!</v>
      </c>
      <c r="FH171" s="22" t="e">
        <f t="shared" si="183"/>
        <v>#NUM!</v>
      </c>
      <c r="FI171" s="60" t="e">
        <f t="shared" si="131"/>
        <v>#NUM!</v>
      </c>
      <c r="FJ171" s="60">
        <f ca="1">AVERAGE(OFFSET($FI$3,0,0,'Données projet'!$E$16+1,1))-AVERAGE(OFFSET($H$3,0,0,'Données projet'!$E$16+1,1))</f>
        <v>455.50822833641354</v>
      </c>
      <c r="FK171" s="60">
        <f t="shared" si="156"/>
        <v>261.14722581688039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 t="e">
        <f>N172*VLOOKUP('Données projet'!$B$9,Paramètres!$A$1:$I$89,3,0)*VLOOKUP('Données projet'!$B$9,Paramètres!$A$1:$I$89,5,0)</f>
        <v>#N/A</v>
      </c>
      <c r="P172" s="14" t="e">
        <f t="shared" si="141"/>
        <v>#N/A</v>
      </c>
      <c r="Q172" s="22" t="e">
        <f t="shared" si="162"/>
        <v>#N/A</v>
      </c>
      <c r="R172" s="60" t="e">
        <f t="shared" si="109"/>
        <v>#N/A</v>
      </c>
      <c r="S172" s="60" t="e">
        <f ca="1">AVERAGE(OFFSET($R$3,0,0,'Données projet'!$E$9+1,1))-AVERAGE(OFFSET($H$3,0,0,'Données projet'!$E$9+1,1))</f>
        <v>#N/A</v>
      </c>
      <c r="T172" s="60" t="e">
        <f t="shared" si="142"/>
        <v>#N/A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 t="e">
        <f>EXP(-LN(2)/35)*Z171+(1-EXP(-LN(2)/35))/(LN(2)/35)*V172*W172*VLOOKUP('Données projet'!$B$9,Paramètres!$A$1:$I$89,3,0)*0.475*44/12</f>
        <v>#N/A</v>
      </c>
      <c r="AA172" s="23" t="e">
        <f>EXP(-LN(2)/25)*AA171+(1-EXP(-LN(2)/25))/(LN(2)/25)*Calculateur!V172*Calculateur!X172*VLOOKUP('Données projet'!$B$9,Paramètres!$A$1:$I$89,3,0)*0.475*44/12</f>
        <v>#N/A</v>
      </c>
      <c r="AB172" s="23" t="e">
        <f>EXP(-LN(2)/2)*AB171+(1-EXP(-LN(2)/2))/(LN(2)/2)*V172*Y172*VLOOKUP('Données projet'!$B$9,Paramètres!$A$1:$I$89,3,0)*0.475*44/12</f>
        <v>#N/A</v>
      </c>
      <c r="AC172" s="24" t="e">
        <f t="shared" si="163"/>
        <v>#N/A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1.9863364286720756E-13</v>
      </c>
      <c r="AK172" s="14">
        <f t="shared" si="164"/>
        <v>2.7549360720371426E-12</v>
      </c>
      <c r="AL172" s="22">
        <f t="shared" si="165"/>
        <v>5.144133920125077E-12</v>
      </c>
      <c r="AM172" s="60">
        <f t="shared" si="113"/>
        <v>293.33333333333843</v>
      </c>
      <c r="AN172" s="60">
        <f ca="1">AVERAGE(OFFSET($AM$3,0,0,'Données projet'!$E$10+1,1))-AVERAGE(OFFSET($H$3,0,0,'Données projet'!$E$10+1,1))</f>
        <v>325.06345339097095</v>
      </c>
      <c r="AO172" s="60">
        <f t="shared" si="144"/>
        <v>318.90379036810754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0" t="e">
        <f t="shared" si="116"/>
        <v>#N/A</v>
      </c>
      <c r="BI172" s="60" t="e">
        <f ca="1">AVERAGE(OFFSET($BH$3,0,0,'Données projet'!$E$11+1,1))-AVERAGE(OFFSET($H$3,0,0,'Données projet'!$E$11+1,1))</f>
        <v>#N/A</v>
      </c>
      <c r="BJ172" s="60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0" t="e">
        <f t="shared" si="119"/>
        <v>#N/A</v>
      </c>
      <c r="CD172" s="60" t="e">
        <f ca="1">AVERAGE(OFFSET($CC$3,0,0,'Données projet'!$E$12+1,1))-AVERAGE(OFFSET($H$3,0,0,'Données projet'!$E$12+1,1))</f>
        <v>#N/A</v>
      </c>
      <c r="CE172" s="60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-8.4419298218563211E-13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415.50509041799154</v>
      </c>
      <c r="CZ172" s="60">
        <f t="shared" si="150"/>
        <v>239.93573789765657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-9.6633812063373625E-13</v>
      </c>
      <c r="DP172" s="18">
        <f>DO172*VLOOKUP('Données projet'!$B$14,Paramètres!$A$1:$I$89,3,0)*VLOOKUP('Données projet'!$B$14,Paramètres!$A$1:$I$89,5,0)</f>
        <v>-9.7986685432260874E-13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475.47920969424894</v>
      </c>
      <c r="DU172" s="60">
        <f t="shared" si="152"/>
        <v>271.73544012419364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-9.6633812063373625E-13</v>
      </c>
      <c r="EK172" s="18">
        <f>EJ172*VLOOKUP('Données projet'!$B$15,Paramètres!$A$1:$I$89,3,0)*VLOOKUP('Données projet'!$B$15,Paramètres!$A$1:$I$89,5,0)</f>
        <v>-8.7434273154940449E-13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428.8489304403459</v>
      </c>
      <c r="EP172" s="60">
        <f t="shared" si="154"/>
        <v>247.01165577562966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-9.6633812063373625E-13</v>
      </c>
      <c r="FF172" s="18">
        <f>FE172*VLOOKUP('Données projet'!$B$16,Paramètres!$A$1:$I$89,3,0)*VLOOKUP('Données projet'!$B$16,Paramètres!$A$1:$I$89,5,0)</f>
        <v>-9.3464223027694966E-13</v>
      </c>
      <c r="FG172" s="14" t="e">
        <f t="shared" si="182"/>
        <v>#NUM!</v>
      </c>
      <c r="FH172" s="22" t="e">
        <f t="shared" si="183"/>
        <v>#NUM!</v>
      </c>
      <c r="FI172" s="60" t="e">
        <f t="shared" si="131"/>
        <v>#NUM!</v>
      </c>
      <c r="FJ172" s="60">
        <f ca="1">AVERAGE(OFFSET($FI$3,0,0,'Données projet'!$E$16+1,1))-AVERAGE(OFFSET($H$3,0,0,'Données projet'!$E$16+1,1))</f>
        <v>455.50822833641354</v>
      </c>
      <c r="FK172" s="60">
        <f t="shared" si="156"/>
        <v>261.14722581688039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 t="e">
        <f>N173*VLOOKUP('Données projet'!$B$9,Paramètres!$A$1:$I$89,3,0)*VLOOKUP('Données projet'!$B$9,Paramètres!$A$1:$I$89,5,0)</f>
        <v>#N/A</v>
      </c>
      <c r="P173" s="14" t="e">
        <f t="shared" si="141"/>
        <v>#N/A</v>
      </c>
      <c r="Q173" s="22" t="e">
        <f t="shared" si="162"/>
        <v>#N/A</v>
      </c>
      <c r="R173" s="60" t="e">
        <f t="shared" si="109"/>
        <v>#N/A</v>
      </c>
      <c r="S173" s="60" t="e">
        <f ca="1">AVERAGE(OFFSET($R$3,0,0,'Données projet'!$E$9+1,1))-AVERAGE(OFFSET($H$3,0,0,'Données projet'!$E$9+1,1))</f>
        <v>#N/A</v>
      </c>
      <c r="T173" s="60" t="e">
        <f t="shared" si="142"/>
        <v>#N/A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 t="e">
        <f>EXP(-LN(2)/35)*Z172+(1-EXP(-LN(2)/35))/(LN(2)/35)*V173*W173*VLOOKUP('Données projet'!$B$9,Paramètres!$A$1:$I$89,3,0)*0.475*44/12</f>
        <v>#N/A</v>
      </c>
      <c r="AA173" s="23" t="e">
        <f>EXP(-LN(2)/25)*AA172+(1-EXP(-LN(2)/25))/(LN(2)/25)*Calculateur!V173*Calculateur!X173*VLOOKUP('Données projet'!$B$9,Paramètres!$A$1:$I$89,3,0)*0.475*44/12</f>
        <v>#N/A</v>
      </c>
      <c r="AB173" s="23" t="e">
        <f>EXP(-LN(2)/2)*AB172+(1-EXP(-LN(2)/2))/(LN(2)/2)*V173*Y173*VLOOKUP('Données projet'!$B$9,Paramètres!$A$1:$I$89,3,0)*0.475*44/12</f>
        <v>#N/A</v>
      </c>
      <c r="AC173" s="24" t="e">
        <f t="shared" si="163"/>
        <v>#N/A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1.9863364286720756E-13</v>
      </c>
      <c r="AK173" s="14">
        <f t="shared" si="164"/>
        <v>2.7549360720371426E-12</v>
      </c>
      <c r="AL173" s="22">
        <f t="shared" si="165"/>
        <v>5.144133920125077E-12</v>
      </c>
      <c r="AM173" s="60">
        <f t="shared" si="113"/>
        <v>293.33333333333843</v>
      </c>
      <c r="AN173" s="60">
        <f ca="1">AVERAGE(OFFSET($AM$3,0,0,'Données projet'!$E$10+1,1))-AVERAGE(OFFSET($H$3,0,0,'Données projet'!$E$10+1,1))</f>
        <v>325.06345339097095</v>
      </c>
      <c r="AO173" s="60">
        <f t="shared" si="144"/>
        <v>318.90379036810754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0" t="e">
        <f t="shared" si="116"/>
        <v>#N/A</v>
      </c>
      <c r="BI173" s="60" t="e">
        <f ca="1">AVERAGE(OFFSET($BH$3,0,0,'Données projet'!$E$11+1,1))-AVERAGE(OFFSET($H$3,0,0,'Données projet'!$E$11+1,1))</f>
        <v>#N/A</v>
      </c>
      <c r="BJ173" s="60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0" t="e">
        <f t="shared" si="119"/>
        <v>#N/A</v>
      </c>
      <c r="CD173" s="60" t="e">
        <f ca="1">AVERAGE(OFFSET($CC$3,0,0,'Données projet'!$E$12+1,1))-AVERAGE(OFFSET($H$3,0,0,'Données projet'!$E$12+1,1))</f>
        <v>#N/A</v>
      </c>
      <c r="CE173" s="60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-8.4419298218563211E-13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415.50509041799154</v>
      </c>
      <c r="CZ173" s="60">
        <f t="shared" si="150"/>
        <v>239.93573789765657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-9.6633812063373625E-13</v>
      </c>
      <c r="DP173" s="18">
        <f>DO173*VLOOKUP('Données projet'!$B$14,Paramètres!$A$1:$I$89,3,0)*VLOOKUP('Données projet'!$B$14,Paramètres!$A$1:$I$89,5,0)</f>
        <v>-9.7986685432260874E-13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475.47920969424894</v>
      </c>
      <c r="DU173" s="60">
        <f t="shared" si="152"/>
        <v>271.73544012419364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-9.6633812063373625E-13</v>
      </c>
      <c r="EK173" s="18">
        <f>EJ173*VLOOKUP('Données projet'!$B$15,Paramètres!$A$1:$I$89,3,0)*VLOOKUP('Données projet'!$B$15,Paramètres!$A$1:$I$89,5,0)</f>
        <v>-8.7434273154940449E-13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428.8489304403459</v>
      </c>
      <c r="EP173" s="60">
        <f t="shared" si="154"/>
        <v>247.01165577562966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-9.6633812063373625E-13</v>
      </c>
      <c r="FF173" s="18">
        <f>FE173*VLOOKUP('Données projet'!$B$16,Paramètres!$A$1:$I$89,3,0)*VLOOKUP('Données projet'!$B$16,Paramètres!$A$1:$I$89,5,0)</f>
        <v>-9.3464223027694966E-13</v>
      </c>
      <c r="FG173" s="14" t="e">
        <f t="shared" si="182"/>
        <v>#NUM!</v>
      </c>
      <c r="FH173" s="22" t="e">
        <f t="shared" si="183"/>
        <v>#NUM!</v>
      </c>
      <c r="FI173" s="60" t="e">
        <f t="shared" si="131"/>
        <v>#NUM!</v>
      </c>
      <c r="FJ173" s="60">
        <f ca="1">AVERAGE(OFFSET($FI$3,0,0,'Données projet'!$E$16+1,1))-AVERAGE(OFFSET($H$3,0,0,'Données projet'!$E$16+1,1))</f>
        <v>455.50822833641354</v>
      </c>
      <c r="FK173" s="60">
        <f t="shared" si="156"/>
        <v>261.14722581688039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 t="e">
        <f>N174*VLOOKUP('Données projet'!$B$9,Paramètres!$A$1:$I$89,3,0)*VLOOKUP('Données projet'!$B$9,Paramètres!$A$1:$I$89,5,0)</f>
        <v>#N/A</v>
      </c>
      <c r="P174" s="14" t="e">
        <f t="shared" si="141"/>
        <v>#N/A</v>
      </c>
      <c r="Q174" s="22" t="e">
        <f t="shared" si="162"/>
        <v>#N/A</v>
      </c>
      <c r="R174" s="60" t="e">
        <f t="shared" si="109"/>
        <v>#N/A</v>
      </c>
      <c r="S174" s="60" t="e">
        <f ca="1">AVERAGE(OFFSET($R$3,0,0,'Données projet'!$E$9+1,1))-AVERAGE(OFFSET($H$3,0,0,'Données projet'!$E$9+1,1))</f>
        <v>#N/A</v>
      </c>
      <c r="T174" s="60" t="e">
        <f t="shared" si="142"/>
        <v>#N/A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 t="e">
        <f>EXP(-LN(2)/35)*Z173+(1-EXP(-LN(2)/35))/(LN(2)/35)*V174*W174*VLOOKUP('Données projet'!$B$9,Paramètres!$A$1:$I$89,3,0)*0.475*44/12</f>
        <v>#N/A</v>
      </c>
      <c r="AA174" s="23" t="e">
        <f>EXP(-LN(2)/25)*AA173+(1-EXP(-LN(2)/25))/(LN(2)/25)*Calculateur!V174*Calculateur!X174*VLOOKUP('Données projet'!$B$9,Paramètres!$A$1:$I$89,3,0)*0.475*44/12</f>
        <v>#N/A</v>
      </c>
      <c r="AB174" s="23" t="e">
        <f>EXP(-LN(2)/2)*AB173+(1-EXP(-LN(2)/2))/(LN(2)/2)*V174*Y174*VLOOKUP('Données projet'!$B$9,Paramètres!$A$1:$I$89,3,0)*0.475*44/12</f>
        <v>#N/A</v>
      </c>
      <c r="AC174" s="24" t="e">
        <f t="shared" si="163"/>
        <v>#N/A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1.9863364286720756E-13</v>
      </c>
      <c r="AK174" s="14">
        <f t="shared" si="164"/>
        <v>2.7549360720371426E-12</v>
      </c>
      <c r="AL174" s="22">
        <f t="shared" si="165"/>
        <v>5.144133920125077E-12</v>
      </c>
      <c r="AM174" s="60">
        <f t="shared" si="113"/>
        <v>293.33333333333843</v>
      </c>
      <c r="AN174" s="60">
        <f ca="1">AVERAGE(OFFSET($AM$3,0,0,'Données projet'!$E$10+1,1))-AVERAGE(OFFSET($H$3,0,0,'Données projet'!$E$10+1,1))</f>
        <v>325.06345339097095</v>
      </c>
      <c r="AO174" s="60">
        <f t="shared" si="144"/>
        <v>318.90379036810754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0" t="e">
        <f t="shared" si="116"/>
        <v>#N/A</v>
      </c>
      <c r="BI174" s="60" t="e">
        <f ca="1">AVERAGE(OFFSET($BH$3,0,0,'Données projet'!$E$11+1,1))-AVERAGE(OFFSET($H$3,0,0,'Données projet'!$E$11+1,1))</f>
        <v>#N/A</v>
      </c>
      <c r="BJ174" s="60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0" t="e">
        <f t="shared" si="119"/>
        <v>#N/A</v>
      </c>
      <c r="CD174" s="60" t="e">
        <f ca="1">AVERAGE(OFFSET($CC$3,0,0,'Données projet'!$E$12+1,1))-AVERAGE(OFFSET($H$3,0,0,'Données projet'!$E$12+1,1))</f>
        <v>#N/A</v>
      </c>
      <c r="CE174" s="60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-8.4419298218563211E-13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415.50509041799154</v>
      </c>
      <c r="CZ174" s="60">
        <f t="shared" si="150"/>
        <v>239.93573789765657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-9.6633812063373625E-13</v>
      </c>
      <c r="DP174" s="18">
        <f>DO174*VLOOKUP('Données projet'!$B$14,Paramètres!$A$1:$I$89,3,0)*VLOOKUP('Données projet'!$B$14,Paramètres!$A$1:$I$89,5,0)</f>
        <v>-9.7986685432260874E-13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475.47920969424894</v>
      </c>
      <c r="DU174" s="60">
        <f t="shared" si="152"/>
        <v>271.73544012419364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-9.6633812063373625E-13</v>
      </c>
      <c r="EK174" s="18">
        <f>EJ174*VLOOKUP('Données projet'!$B$15,Paramètres!$A$1:$I$89,3,0)*VLOOKUP('Données projet'!$B$15,Paramètres!$A$1:$I$89,5,0)</f>
        <v>-8.7434273154940449E-13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428.8489304403459</v>
      </c>
      <c r="EP174" s="60">
        <f t="shared" si="154"/>
        <v>247.01165577562966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-9.6633812063373625E-13</v>
      </c>
      <c r="FF174" s="18">
        <f>FE174*VLOOKUP('Données projet'!$B$16,Paramètres!$A$1:$I$89,3,0)*VLOOKUP('Données projet'!$B$16,Paramètres!$A$1:$I$89,5,0)</f>
        <v>-9.3464223027694966E-13</v>
      </c>
      <c r="FG174" s="14" t="e">
        <f t="shared" si="182"/>
        <v>#NUM!</v>
      </c>
      <c r="FH174" s="22" t="e">
        <f t="shared" si="183"/>
        <v>#NUM!</v>
      </c>
      <c r="FI174" s="60" t="e">
        <f t="shared" si="131"/>
        <v>#NUM!</v>
      </c>
      <c r="FJ174" s="60">
        <f ca="1">AVERAGE(OFFSET($FI$3,0,0,'Données projet'!$E$16+1,1))-AVERAGE(OFFSET($H$3,0,0,'Données projet'!$E$16+1,1))</f>
        <v>455.50822833641354</v>
      </c>
      <c r="FK174" s="60">
        <f t="shared" si="156"/>
        <v>261.14722581688039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 t="e">
        <f>N175*VLOOKUP('Données projet'!$B$9,Paramètres!$A$1:$I$89,3,0)*VLOOKUP('Données projet'!$B$9,Paramètres!$A$1:$I$89,5,0)</f>
        <v>#N/A</v>
      </c>
      <c r="P175" s="14" t="e">
        <f t="shared" si="141"/>
        <v>#N/A</v>
      </c>
      <c r="Q175" s="22" t="e">
        <f t="shared" si="162"/>
        <v>#N/A</v>
      </c>
      <c r="R175" s="60" t="e">
        <f t="shared" si="109"/>
        <v>#N/A</v>
      </c>
      <c r="S175" s="60" t="e">
        <f ca="1">AVERAGE(OFFSET($R$3,0,0,'Données projet'!$E$9+1,1))-AVERAGE(OFFSET($H$3,0,0,'Données projet'!$E$9+1,1))</f>
        <v>#N/A</v>
      </c>
      <c r="T175" s="60" t="e">
        <f t="shared" si="142"/>
        <v>#N/A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 t="e">
        <f>EXP(-LN(2)/35)*Z174+(1-EXP(-LN(2)/35))/(LN(2)/35)*V175*W175*VLOOKUP('Données projet'!$B$9,Paramètres!$A$1:$I$89,3,0)*0.475*44/12</f>
        <v>#N/A</v>
      </c>
      <c r="AA175" s="23" t="e">
        <f>EXP(-LN(2)/25)*AA174+(1-EXP(-LN(2)/25))/(LN(2)/25)*Calculateur!V175*Calculateur!X175*VLOOKUP('Données projet'!$B$9,Paramètres!$A$1:$I$89,3,0)*0.475*44/12</f>
        <v>#N/A</v>
      </c>
      <c r="AB175" s="23" t="e">
        <f>EXP(-LN(2)/2)*AB174+(1-EXP(-LN(2)/2))/(LN(2)/2)*V175*Y175*VLOOKUP('Données projet'!$B$9,Paramètres!$A$1:$I$89,3,0)*0.475*44/12</f>
        <v>#N/A</v>
      </c>
      <c r="AC175" s="24" t="e">
        <f t="shared" si="163"/>
        <v>#N/A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1.9863364286720756E-13</v>
      </c>
      <c r="AK175" s="14">
        <f t="shared" si="164"/>
        <v>2.7549360720371426E-12</v>
      </c>
      <c r="AL175" s="22">
        <f t="shared" si="165"/>
        <v>5.144133920125077E-12</v>
      </c>
      <c r="AM175" s="60">
        <f t="shared" si="113"/>
        <v>293.33333333333843</v>
      </c>
      <c r="AN175" s="60">
        <f ca="1">AVERAGE(OFFSET($AM$3,0,0,'Données projet'!$E$10+1,1))-AVERAGE(OFFSET($H$3,0,0,'Données projet'!$E$10+1,1))</f>
        <v>325.06345339097095</v>
      </c>
      <c r="AO175" s="60">
        <f t="shared" si="144"/>
        <v>318.90379036810754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0" t="e">
        <f t="shared" si="116"/>
        <v>#N/A</v>
      </c>
      <c r="BI175" s="60" t="e">
        <f ca="1">AVERAGE(OFFSET($BH$3,0,0,'Données projet'!$E$11+1,1))-AVERAGE(OFFSET($H$3,0,0,'Données projet'!$E$11+1,1))</f>
        <v>#N/A</v>
      </c>
      <c r="BJ175" s="60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0" t="e">
        <f t="shared" si="119"/>
        <v>#N/A</v>
      </c>
      <c r="CD175" s="60" t="e">
        <f ca="1">AVERAGE(OFFSET($CC$3,0,0,'Données projet'!$E$12+1,1))-AVERAGE(OFFSET($H$3,0,0,'Données projet'!$E$12+1,1))</f>
        <v>#N/A</v>
      </c>
      <c r="CE175" s="60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-8.4419298218563211E-13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415.50509041799154</v>
      </c>
      <c r="CZ175" s="60">
        <f t="shared" si="150"/>
        <v>239.93573789765657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-9.6633812063373625E-13</v>
      </c>
      <c r="DP175" s="18">
        <f>DO175*VLOOKUP('Données projet'!$B$14,Paramètres!$A$1:$I$89,3,0)*VLOOKUP('Données projet'!$B$14,Paramètres!$A$1:$I$89,5,0)</f>
        <v>-9.7986685432260874E-13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475.47920969424894</v>
      </c>
      <c r="DU175" s="60">
        <f t="shared" si="152"/>
        <v>271.73544012419364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-9.6633812063373625E-13</v>
      </c>
      <c r="EK175" s="18">
        <f>EJ175*VLOOKUP('Données projet'!$B$15,Paramètres!$A$1:$I$89,3,0)*VLOOKUP('Données projet'!$B$15,Paramètres!$A$1:$I$89,5,0)</f>
        <v>-8.7434273154940449E-13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428.8489304403459</v>
      </c>
      <c r="EP175" s="60">
        <f t="shared" si="154"/>
        <v>247.01165577562966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-9.6633812063373625E-13</v>
      </c>
      <c r="FF175" s="18">
        <f>FE175*VLOOKUP('Données projet'!$B$16,Paramètres!$A$1:$I$89,3,0)*VLOOKUP('Données projet'!$B$16,Paramètres!$A$1:$I$89,5,0)</f>
        <v>-9.3464223027694966E-13</v>
      </c>
      <c r="FG175" s="14" t="e">
        <f t="shared" si="182"/>
        <v>#NUM!</v>
      </c>
      <c r="FH175" s="22" t="e">
        <f t="shared" si="183"/>
        <v>#NUM!</v>
      </c>
      <c r="FI175" s="60" t="e">
        <f t="shared" si="131"/>
        <v>#NUM!</v>
      </c>
      <c r="FJ175" s="60">
        <f ca="1">AVERAGE(OFFSET($FI$3,0,0,'Données projet'!$E$16+1,1))-AVERAGE(OFFSET($H$3,0,0,'Données projet'!$E$16+1,1))</f>
        <v>455.50822833641354</v>
      </c>
      <c r="FK175" s="60">
        <f t="shared" si="156"/>
        <v>261.14722581688039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 t="e">
        <f>N176*VLOOKUP('Données projet'!$B$9,Paramètres!$A$1:$I$89,3,0)*VLOOKUP('Données projet'!$B$9,Paramètres!$A$1:$I$89,5,0)</f>
        <v>#N/A</v>
      </c>
      <c r="P176" s="14" t="e">
        <f t="shared" si="141"/>
        <v>#N/A</v>
      </c>
      <c r="Q176" s="22" t="e">
        <f t="shared" si="162"/>
        <v>#N/A</v>
      </c>
      <c r="R176" s="60" t="e">
        <f t="shared" si="109"/>
        <v>#N/A</v>
      </c>
      <c r="S176" s="60" t="e">
        <f ca="1">AVERAGE(OFFSET($R$3,0,0,'Données projet'!$E$9+1,1))-AVERAGE(OFFSET($H$3,0,0,'Données projet'!$E$9+1,1))</f>
        <v>#N/A</v>
      </c>
      <c r="T176" s="60" t="e">
        <f t="shared" si="142"/>
        <v>#N/A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 t="e">
        <f>EXP(-LN(2)/35)*Z175+(1-EXP(-LN(2)/35))/(LN(2)/35)*V176*W176*VLOOKUP('Données projet'!$B$9,Paramètres!$A$1:$I$89,3,0)*0.475*44/12</f>
        <v>#N/A</v>
      </c>
      <c r="AA176" s="23" t="e">
        <f>EXP(-LN(2)/25)*AA175+(1-EXP(-LN(2)/25))/(LN(2)/25)*Calculateur!V176*Calculateur!X176*VLOOKUP('Données projet'!$B$9,Paramètres!$A$1:$I$89,3,0)*0.475*44/12</f>
        <v>#N/A</v>
      </c>
      <c r="AB176" s="23" t="e">
        <f>EXP(-LN(2)/2)*AB175+(1-EXP(-LN(2)/2))/(LN(2)/2)*V176*Y176*VLOOKUP('Données projet'!$B$9,Paramètres!$A$1:$I$89,3,0)*0.475*44/12</f>
        <v>#N/A</v>
      </c>
      <c r="AC176" s="24" t="e">
        <f t="shared" si="163"/>
        <v>#N/A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1.9863364286720756E-13</v>
      </c>
      <c r="AK176" s="14">
        <f t="shared" si="164"/>
        <v>2.7549360720371426E-12</v>
      </c>
      <c r="AL176" s="22">
        <f t="shared" si="165"/>
        <v>5.144133920125077E-12</v>
      </c>
      <c r="AM176" s="60">
        <f t="shared" si="113"/>
        <v>293.33333333333843</v>
      </c>
      <c r="AN176" s="60">
        <f ca="1">AVERAGE(OFFSET($AM$3,0,0,'Données projet'!$E$10+1,1))-AVERAGE(OFFSET($H$3,0,0,'Données projet'!$E$10+1,1))</f>
        <v>325.06345339097095</v>
      </c>
      <c r="AO176" s="60">
        <f t="shared" si="144"/>
        <v>318.90379036810754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0" t="e">
        <f t="shared" si="116"/>
        <v>#N/A</v>
      </c>
      <c r="BI176" s="60" t="e">
        <f ca="1">AVERAGE(OFFSET($BH$3,0,0,'Données projet'!$E$11+1,1))-AVERAGE(OFFSET($H$3,0,0,'Données projet'!$E$11+1,1))</f>
        <v>#N/A</v>
      </c>
      <c r="BJ176" s="60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0" t="e">
        <f t="shared" si="119"/>
        <v>#N/A</v>
      </c>
      <c r="CD176" s="60" t="e">
        <f ca="1">AVERAGE(OFFSET($CC$3,0,0,'Données projet'!$E$12+1,1))-AVERAGE(OFFSET($H$3,0,0,'Données projet'!$E$12+1,1))</f>
        <v>#N/A</v>
      </c>
      <c r="CE176" s="60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-8.4419298218563211E-13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415.50509041799154</v>
      </c>
      <c r="CZ176" s="60">
        <f t="shared" si="150"/>
        <v>239.93573789765657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-9.6633812063373625E-13</v>
      </c>
      <c r="DP176" s="18">
        <f>DO176*VLOOKUP('Données projet'!$B$14,Paramètres!$A$1:$I$89,3,0)*VLOOKUP('Données projet'!$B$14,Paramètres!$A$1:$I$89,5,0)</f>
        <v>-9.7986685432260874E-13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475.47920969424894</v>
      </c>
      <c r="DU176" s="60">
        <f t="shared" si="152"/>
        <v>271.73544012419364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-9.6633812063373625E-13</v>
      </c>
      <c r="EK176" s="18">
        <f>EJ176*VLOOKUP('Données projet'!$B$15,Paramètres!$A$1:$I$89,3,0)*VLOOKUP('Données projet'!$B$15,Paramètres!$A$1:$I$89,5,0)</f>
        <v>-8.7434273154940449E-13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428.8489304403459</v>
      </c>
      <c r="EP176" s="60">
        <f t="shared" si="154"/>
        <v>247.01165577562966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-9.6633812063373625E-13</v>
      </c>
      <c r="FF176" s="18">
        <f>FE176*VLOOKUP('Données projet'!$B$16,Paramètres!$A$1:$I$89,3,0)*VLOOKUP('Données projet'!$B$16,Paramètres!$A$1:$I$89,5,0)</f>
        <v>-9.3464223027694966E-13</v>
      </c>
      <c r="FG176" s="14" t="e">
        <f t="shared" si="182"/>
        <v>#NUM!</v>
      </c>
      <c r="FH176" s="22" t="e">
        <f t="shared" si="183"/>
        <v>#NUM!</v>
      </c>
      <c r="FI176" s="60" t="e">
        <f t="shared" si="131"/>
        <v>#NUM!</v>
      </c>
      <c r="FJ176" s="60">
        <f ca="1">AVERAGE(OFFSET($FI$3,0,0,'Données projet'!$E$16+1,1))-AVERAGE(OFFSET($H$3,0,0,'Données projet'!$E$16+1,1))</f>
        <v>455.50822833641354</v>
      </c>
      <c r="FK176" s="60">
        <f t="shared" si="156"/>
        <v>261.14722581688039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 t="e">
        <f>N177*VLOOKUP('Données projet'!$B$9,Paramètres!$A$1:$I$89,3,0)*VLOOKUP('Données projet'!$B$9,Paramètres!$A$1:$I$89,5,0)</f>
        <v>#N/A</v>
      </c>
      <c r="P177" s="14" t="e">
        <f t="shared" si="141"/>
        <v>#N/A</v>
      </c>
      <c r="Q177" s="22" t="e">
        <f t="shared" si="162"/>
        <v>#N/A</v>
      </c>
      <c r="R177" s="60" t="e">
        <f t="shared" si="109"/>
        <v>#N/A</v>
      </c>
      <c r="S177" s="60" t="e">
        <f ca="1">AVERAGE(OFFSET($R$3,0,0,'Données projet'!$E$9+1,1))-AVERAGE(OFFSET($H$3,0,0,'Données projet'!$E$9+1,1))</f>
        <v>#N/A</v>
      </c>
      <c r="T177" s="60" t="e">
        <f t="shared" si="142"/>
        <v>#N/A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 t="e">
        <f>EXP(-LN(2)/35)*Z176+(1-EXP(-LN(2)/35))/(LN(2)/35)*V177*W177*VLOOKUP('Données projet'!$B$9,Paramètres!$A$1:$I$89,3,0)*0.475*44/12</f>
        <v>#N/A</v>
      </c>
      <c r="AA177" s="23" t="e">
        <f>EXP(-LN(2)/25)*AA176+(1-EXP(-LN(2)/25))/(LN(2)/25)*Calculateur!V177*Calculateur!X177*VLOOKUP('Données projet'!$B$9,Paramètres!$A$1:$I$89,3,0)*0.475*44/12</f>
        <v>#N/A</v>
      </c>
      <c r="AB177" s="23" t="e">
        <f>EXP(-LN(2)/2)*AB176+(1-EXP(-LN(2)/2))/(LN(2)/2)*V177*Y177*VLOOKUP('Données projet'!$B$9,Paramètres!$A$1:$I$89,3,0)*0.475*44/12</f>
        <v>#N/A</v>
      </c>
      <c r="AC177" s="24" t="e">
        <f t="shared" si="163"/>
        <v>#N/A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1.9863364286720756E-13</v>
      </c>
      <c r="AK177" s="14">
        <f t="shared" si="164"/>
        <v>2.7549360720371426E-12</v>
      </c>
      <c r="AL177" s="22">
        <f t="shared" si="165"/>
        <v>5.144133920125077E-12</v>
      </c>
      <c r="AM177" s="60">
        <f t="shared" si="113"/>
        <v>293.33333333333843</v>
      </c>
      <c r="AN177" s="60">
        <f ca="1">AVERAGE(OFFSET($AM$3,0,0,'Données projet'!$E$10+1,1))-AVERAGE(OFFSET($H$3,0,0,'Données projet'!$E$10+1,1))</f>
        <v>325.06345339097095</v>
      </c>
      <c r="AO177" s="60">
        <f t="shared" si="144"/>
        <v>318.90379036810754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0" t="e">
        <f t="shared" si="116"/>
        <v>#N/A</v>
      </c>
      <c r="BI177" s="60" t="e">
        <f ca="1">AVERAGE(OFFSET($BH$3,0,0,'Données projet'!$E$11+1,1))-AVERAGE(OFFSET($H$3,0,0,'Données projet'!$E$11+1,1))</f>
        <v>#N/A</v>
      </c>
      <c r="BJ177" s="60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0" t="e">
        <f t="shared" si="119"/>
        <v>#N/A</v>
      </c>
      <c r="CD177" s="60" t="e">
        <f ca="1">AVERAGE(OFFSET($CC$3,0,0,'Données projet'!$E$12+1,1))-AVERAGE(OFFSET($H$3,0,0,'Données projet'!$E$12+1,1))</f>
        <v>#N/A</v>
      </c>
      <c r="CE177" s="60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-8.4419298218563211E-13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415.50509041799154</v>
      </c>
      <c r="CZ177" s="60">
        <f t="shared" si="150"/>
        <v>239.93573789765657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-9.6633812063373625E-13</v>
      </c>
      <c r="DP177" s="18">
        <f>DO177*VLOOKUP('Données projet'!$B$14,Paramètres!$A$1:$I$89,3,0)*VLOOKUP('Données projet'!$B$14,Paramètres!$A$1:$I$89,5,0)</f>
        <v>-9.7986685432260874E-13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475.47920969424894</v>
      </c>
      <c r="DU177" s="60">
        <f t="shared" si="152"/>
        <v>271.73544012419364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-9.6633812063373625E-13</v>
      </c>
      <c r="EK177" s="18">
        <f>EJ177*VLOOKUP('Données projet'!$B$15,Paramètres!$A$1:$I$89,3,0)*VLOOKUP('Données projet'!$B$15,Paramètres!$A$1:$I$89,5,0)</f>
        <v>-8.7434273154940449E-13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428.8489304403459</v>
      </c>
      <c r="EP177" s="60">
        <f t="shared" si="154"/>
        <v>247.01165577562966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-9.6633812063373625E-13</v>
      </c>
      <c r="FF177" s="18">
        <f>FE177*VLOOKUP('Données projet'!$B$16,Paramètres!$A$1:$I$89,3,0)*VLOOKUP('Données projet'!$B$16,Paramètres!$A$1:$I$89,5,0)</f>
        <v>-9.3464223027694966E-13</v>
      </c>
      <c r="FG177" s="14" t="e">
        <f t="shared" si="182"/>
        <v>#NUM!</v>
      </c>
      <c r="FH177" s="22" t="e">
        <f t="shared" si="183"/>
        <v>#NUM!</v>
      </c>
      <c r="FI177" s="60" t="e">
        <f t="shared" si="131"/>
        <v>#NUM!</v>
      </c>
      <c r="FJ177" s="60">
        <f ca="1">AVERAGE(OFFSET($FI$3,0,0,'Données projet'!$E$16+1,1))-AVERAGE(OFFSET($H$3,0,0,'Données projet'!$E$16+1,1))</f>
        <v>455.50822833641354</v>
      </c>
      <c r="FK177" s="60">
        <f t="shared" si="156"/>
        <v>261.14722581688039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 t="e">
        <f>N178*VLOOKUP('Données projet'!$B$9,Paramètres!$A$1:$I$89,3,0)*VLOOKUP('Données projet'!$B$9,Paramètres!$A$1:$I$89,5,0)</f>
        <v>#N/A</v>
      </c>
      <c r="P178" s="14" t="e">
        <f t="shared" si="141"/>
        <v>#N/A</v>
      </c>
      <c r="Q178" s="22" t="e">
        <f t="shared" si="162"/>
        <v>#N/A</v>
      </c>
      <c r="R178" s="60" t="e">
        <f t="shared" si="109"/>
        <v>#N/A</v>
      </c>
      <c r="S178" s="60" t="e">
        <f ca="1">AVERAGE(OFFSET($R$3,0,0,'Données projet'!$E$9+1,1))-AVERAGE(OFFSET($H$3,0,0,'Données projet'!$E$9+1,1))</f>
        <v>#N/A</v>
      </c>
      <c r="T178" s="60" t="e">
        <f t="shared" si="142"/>
        <v>#N/A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 t="e">
        <f>EXP(-LN(2)/35)*Z177+(1-EXP(-LN(2)/35))/(LN(2)/35)*V178*W178*VLOOKUP('Données projet'!$B$9,Paramètres!$A$1:$I$89,3,0)*0.475*44/12</f>
        <v>#N/A</v>
      </c>
      <c r="AA178" s="23" t="e">
        <f>EXP(-LN(2)/25)*AA177+(1-EXP(-LN(2)/25))/(LN(2)/25)*Calculateur!V178*Calculateur!X178*VLOOKUP('Données projet'!$B$9,Paramètres!$A$1:$I$89,3,0)*0.475*44/12</f>
        <v>#N/A</v>
      </c>
      <c r="AB178" s="23" t="e">
        <f>EXP(-LN(2)/2)*AB177+(1-EXP(-LN(2)/2))/(LN(2)/2)*V178*Y178*VLOOKUP('Données projet'!$B$9,Paramètres!$A$1:$I$89,3,0)*0.475*44/12</f>
        <v>#N/A</v>
      </c>
      <c r="AC178" s="24" t="e">
        <f t="shared" si="163"/>
        <v>#N/A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1.9863364286720756E-13</v>
      </c>
      <c r="AK178" s="14">
        <f t="shared" si="164"/>
        <v>2.7549360720371426E-12</v>
      </c>
      <c r="AL178" s="22">
        <f t="shared" si="165"/>
        <v>5.144133920125077E-12</v>
      </c>
      <c r="AM178" s="60">
        <f t="shared" si="113"/>
        <v>293.33333333333843</v>
      </c>
      <c r="AN178" s="60">
        <f ca="1">AVERAGE(OFFSET($AM$3,0,0,'Données projet'!$E$10+1,1))-AVERAGE(OFFSET($H$3,0,0,'Données projet'!$E$10+1,1))</f>
        <v>325.06345339097095</v>
      </c>
      <c r="AO178" s="60">
        <f t="shared" si="144"/>
        <v>318.90379036810754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0" t="e">
        <f t="shared" si="116"/>
        <v>#N/A</v>
      </c>
      <c r="BI178" s="60" t="e">
        <f ca="1">AVERAGE(OFFSET($BH$3,0,0,'Données projet'!$E$11+1,1))-AVERAGE(OFFSET($H$3,0,0,'Données projet'!$E$11+1,1))</f>
        <v>#N/A</v>
      </c>
      <c r="BJ178" s="60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0" t="e">
        <f t="shared" si="119"/>
        <v>#N/A</v>
      </c>
      <c r="CD178" s="60" t="e">
        <f ca="1">AVERAGE(OFFSET($CC$3,0,0,'Données projet'!$E$12+1,1))-AVERAGE(OFFSET($H$3,0,0,'Données projet'!$E$12+1,1))</f>
        <v>#N/A</v>
      </c>
      <c r="CE178" s="60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-8.4419298218563211E-13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415.50509041799154</v>
      </c>
      <c r="CZ178" s="60">
        <f t="shared" si="150"/>
        <v>239.93573789765657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-9.6633812063373625E-13</v>
      </c>
      <c r="DP178" s="18">
        <f>DO178*VLOOKUP('Données projet'!$B$14,Paramètres!$A$1:$I$89,3,0)*VLOOKUP('Données projet'!$B$14,Paramètres!$A$1:$I$89,5,0)</f>
        <v>-9.7986685432260874E-13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475.47920969424894</v>
      </c>
      <c r="DU178" s="60">
        <f t="shared" si="152"/>
        <v>271.73544012419364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-9.6633812063373625E-13</v>
      </c>
      <c r="EK178" s="18">
        <f>EJ178*VLOOKUP('Données projet'!$B$15,Paramètres!$A$1:$I$89,3,0)*VLOOKUP('Données projet'!$B$15,Paramètres!$A$1:$I$89,5,0)</f>
        <v>-8.7434273154940449E-13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428.8489304403459</v>
      </c>
      <c r="EP178" s="60">
        <f t="shared" si="154"/>
        <v>247.01165577562966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-9.6633812063373625E-13</v>
      </c>
      <c r="FF178" s="18">
        <f>FE178*VLOOKUP('Données projet'!$B$16,Paramètres!$A$1:$I$89,3,0)*VLOOKUP('Données projet'!$B$16,Paramètres!$A$1:$I$89,5,0)</f>
        <v>-9.3464223027694966E-13</v>
      </c>
      <c r="FG178" s="14" t="e">
        <f t="shared" si="182"/>
        <v>#NUM!</v>
      </c>
      <c r="FH178" s="22" t="e">
        <f t="shared" si="183"/>
        <v>#NUM!</v>
      </c>
      <c r="FI178" s="60" t="e">
        <f t="shared" si="131"/>
        <v>#NUM!</v>
      </c>
      <c r="FJ178" s="60">
        <f ca="1">AVERAGE(OFFSET($FI$3,0,0,'Données projet'!$E$16+1,1))-AVERAGE(OFFSET($H$3,0,0,'Données projet'!$E$16+1,1))</f>
        <v>455.50822833641354</v>
      </c>
      <c r="FK178" s="60">
        <f t="shared" si="156"/>
        <v>261.14722581688039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 t="e">
        <f>N179*VLOOKUP('Données projet'!$B$9,Paramètres!$A$1:$I$89,3,0)*VLOOKUP('Données projet'!$B$9,Paramètres!$A$1:$I$89,5,0)</f>
        <v>#N/A</v>
      </c>
      <c r="P179" s="14" t="e">
        <f t="shared" si="141"/>
        <v>#N/A</v>
      </c>
      <c r="Q179" s="22" t="e">
        <f t="shared" si="162"/>
        <v>#N/A</v>
      </c>
      <c r="R179" s="60" t="e">
        <f t="shared" si="109"/>
        <v>#N/A</v>
      </c>
      <c r="S179" s="60" t="e">
        <f ca="1">AVERAGE(OFFSET($R$3,0,0,'Données projet'!$E$9+1,1))-AVERAGE(OFFSET($H$3,0,0,'Données projet'!$E$9+1,1))</f>
        <v>#N/A</v>
      </c>
      <c r="T179" s="60" t="e">
        <f t="shared" si="142"/>
        <v>#N/A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 t="e">
        <f>EXP(-LN(2)/35)*Z178+(1-EXP(-LN(2)/35))/(LN(2)/35)*V179*W179*VLOOKUP('Données projet'!$B$9,Paramètres!$A$1:$I$89,3,0)*0.475*44/12</f>
        <v>#N/A</v>
      </c>
      <c r="AA179" s="23" t="e">
        <f>EXP(-LN(2)/25)*AA178+(1-EXP(-LN(2)/25))/(LN(2)/25)*Calculateur!V179*Calculateur!X179*VLOOKUP('Données projet'!$B$9,Paramètres!$A$1:$I$89,3,0)*0.475*44/12</f>
        <v>#N/A</v>
      </c>
      <c r="AB179" s="23" t="e">
        <f>EXP(-LN(2)/2)*AB178+(1-EXP(-LN(2)/2))/(LN(2)/2)*V179*Y179*VLOOKUP('Données projet'!$B$9,Paramètres!$A$1:$I$89,3,0)*0.475*44/12</f>
        <v>#N/A</v>
      </c>
      <c r="AC179" s="24" t="e">
        <f t="shared" si="163"/>
        <v>#N/A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1.9863364286720756E-13</v>
      </c>
      <c r="AK179" s="14">
        <f t="shared" si="164"/>
        <v>2.7549360720371426E-12</v>
      </c>
      <c r="AL179" s="22">
        <f t="shared" si="165"/>
        <v>5.144133920125077E-12</v>
      </c>
      <c r="AM179" s="60">
        <f t="shared" si="113"/>
        <v>293.33333333333843</v>
      </c>
      <c r="AN179" s="60">
        <f ca="1">AVERAGE(OFFSET($AM$3,0,0,'Données projet'!$E$10+1,1))-AVERAGE(OFFSET($H$3,0,0,'Données projet'!$E$10+1,1))</f>
        <v>325.06345339097095</v>
      </c>
      <c r="AO179" s="60">
        <f t="shared" si="144"/>
        <v>318.90379036810754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0" t="e">
        <f t="shared" si="116"/>
        <v>#N/A</v>
      </c>
      <c r="BI179" s="60" t="e">
        <f ca="1">AVERAGE(OFFSET($BH$3,0,0,'Données projet'!$E$11+1,1))-AVERAGE(OFFSET($H$3,0,0,'Données projet'!$E$11+1,1))</f>
        <v>#N/A</v>
      </c>
      <c r="BJ179" s="60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0" t="e">
        <f t="shared" si="119"/>
        <v>#N/A</v>
      </c>
      <c r="CD179" s="60" t="e">
        <f ca="1">AVERAGE(OFFSET($CC$3,0,0,'Données projet'!$E$12+1,1))-AVERAGE(OFFSET($H$3,0,0,'Données projet'!$E$12+1,1))</f>
        <v>#N/A</v>
      </c>
      <c r="CE179" s="60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-8.4419298218563211E-13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415.50509041799154</v>
      </c>
      <c r="CZ179" s="60">
        <f t="shared" si="150"/>
        <v>239.93573789765657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-9.6633812063373625E-13</v>
      </c>
      <c r="DP179" s="18">
        <f>DO179*VLOOKUP('Données projet'!$B$14,Paramètres!$A$1:$I$89,3,0)*VLOOKUP('Données projet'!$B$14,Paramètres!$A$1:$I$89,5,0)</f>
        <v>-9.7986685432260874E-13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475.47920969424894</v>
      </c>
      <c r="DU179" s="60">
        <f t="shared" si="152"/>
        <v>271.73544012419364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-9.6633812063373625E-13</v>
      </c>
      <c r="EK179" s="18">
        <f>EJ179*VLOOKUP('Données projet'!$B$15,Paramètres!$A$1:$I$89,3,0)*VLOOKUP('Données projet'!$B$15,Paramètres!$A$1:$I$89,5,0)</f>
        <v>-8.7434273154940449E-13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428.8489304403459</v>
      </c>
      <c r="EP179" s="60">
        <f t="shared" si="154"/>
        <v>247.01165577562966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-9.6633812063373625E-13</v>
      </c>
      <c r="FF179" s="18">
        <f>FE179*VLOOKUP('Données projet'!$B$16,Paramètres!$A$1:$I$89,3,0)*VLOOKUP('Données projet'!$B$16,Paramètres!$A$1:$I$89,5,0)</f>
        <v>-9.3464223027694966E-13</v>
      </c>
      <c r="FG179" s="14" t="e">
        <f t="shared" si="182"/>
        <v>#NUM!</v>
      </c>
      <c r="FH179" s="22" t="e">
        <f t="shared" si="183"/>
        <v>#NUM!</v>
      </c>
      <c r="FI179" s="60" t="e">
        <f t="shared" si="131"/>
        <v>#NUM!</v>
      </c>
      <c r="FJ179" s="60">
        <f ca="1">AVERAGE(OFFSET($FI$3,0,0,'Données projet'!$E$16+1,1))-AVERAGE(OFFSET($H$3,0,0,'Données projet'!$E$16+1,1))</f>
        <v>455.50822833641354</v>
      </c>
      <c r="FK179" s="60">
        <f t="shared" si="156"/>
        <v>261.14722581688039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 t="e">
        <f>N180*VLOOKUP('Données projet'!$B$9,Paramètres!$A$1:$I$89,3,0)*VLOOKUP('Données projet'!$B$9,Paramètres!$A$1:$I$89,5,0)</f>
        <v>#N/A</v>
      </c>
      <c r="P180" s="14" t="e">
        <f t="shared" si="141"/>
        <v>#N/A</v>
      </c>
      <c r="Q180" s="22" t="e">
        <f t="shared" si="162"/>
        <v>#N/A</v>
      </c>
      <c r="R180" s="60" t="e">
        <f t="shared" si="109"/>
        <v>#N/A</v>
      </c>
      <c r="S180" s="60" t="e">
        <f ca="1">AVERAGE(OFFSET($R$3,0,0,'Données projet'!$E$9+1,1))-AVERAGE(OFFSET($H$3,0,0,'Données projet'!$E$9+1,1))</f>
        <v>#N/A</v>
      </c>
      <c r="T180" s="60" t="e">
        <f t="shared" si="142"/>
        <v>#N/A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 t="e">
        <f>EXP(-LN(2)/35)*Z179+(1-EXP(-LN(2)/35))/(LN(2)/35)*V180*W180*VLOOKUP('Données projet'!$B$9,Paramètres!$A$1:$I$89,3,0)*0.475*44/12</f>
        <v>#N/A</v>
      </c>
      <c r="AA180" s="23" t="e">
        <f>EXP(-LN(2)/25)*AA179+(1-EXP(-LN(2)/25))/(LN(2)/25)*Calculateur!V180*Calculateur!X180*VLOOKUP('Données projet'!$B$9,Paramètres!$A$1:$I$89,3,0)*0.475*44/12</f>
        <v>#N/A</v>
      </c>
      <c r="AB180" s="23" t="e">
        <f>EXP(-LN(2)/2)*AB179+(1-EXP(-LN(2)/2))/(LN(2)/2)*V180*Y180*VLOOKUP('Données projet'!$B$9,Paramètres!$A$1:$I$89,3,0)*0.475*44/12</f>
        <v>#N/A</v>
      </c>
      <c r="AC180" s="24" t="e">
        <f t="shared" si="163"/>
        <v>#N/A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1.9863364286720756E-13</v>
      </c>
      <c r="AK180" s="14">
        <f t="shared" si="164"/>
        <v>2.7549360720371426E-12</v>
      </c>
      <c r="AL180" s="22">
        <f t="shared" si="165"/>
        <v>5.144133920125077E-12</v>
      </c>
      <c r="AM180" s="60">
        <f t="shared" si="113"/>
        <v>293.33333333333843</v>
      </c>
      <c r="AN180" s="60">
        <f ca="1">AVERAGE(OFFSET($AM$3,0,0,'Données projet'!$E$10+1,1))-AVERAGE(OFFSET($H$3,0,0,'Données projet'!$E$10+1,1))</f>
        <v>325.06345339097095</v>
      </c>
      <c r="AO180" s="60">
        <f t="shared" si="144"/>
        <v>318.90379036810754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0" t="e">
        <f t="shared" si="116"/>
        <v>#N/A</v>
      </c>
      <c r="BI180" s="60" t="e">
        <f ca="1">AVERAGE(OFFSET($BH$3,0,0,'Données projet'!$E$11+1,1))-AVERAGE(OFFSET($H$3,0,0,'Données projet'!$E$11+1,1))</f>
        <v>#N/A</v>
      </c>
      <c r="BJ180" s="60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0" t="e">
        <f t="shared" si="119"/>
        <v>#N/A</v>
      </c>
      <c r="CD180" s="60" t="e">
        <f ca="1">AVERAGE(OFFSET($CC$3,0,0,'Données projet'!$E$12+1,1))-AVERAGE(OFFSET($H$3,0,0,'Données projet'!$E$12+1,1))</f>
        <v>#N/A</v>
      </c>
      <c r="CE180" s="60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-8.4419298218563211E-13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415.50509041799154</v>
      </c>
      <c r="CZ180" s="60">
        <f t="shared" si="150"/>
        <v>239.93573789765657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-9.6633812063373625E-13</v>
      </c>
      <c r="DP180" s="18">
        <f>DO180*VLOOKUP('Données projet'!$B$14,Paramètres!$A$1:$I$89,3,0)*VLOOKUP('Données projet'!$B$14,Paramètres!$A$1:$I$89,5,0)</f>
        <v>-9.7986685432260874E-13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475.47920969424894</v>
      </c>
      <c r="DU180" s="60">
        <f t="shared" si="152"/>
        <v>271.73544012419364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-9.6633812063373625E-13</v>
      </c>
      <c r="EK180" s="18">
        <f>EJ180*VLOOKUP('Données projet'!$B$15,Paramètres!$A$1:$I$89,3,0)*VLOOKUP('Données projet'!$B$15,Paramètres!$A$1:$I$89,5,0)</f>
        <v>-8.7434273154940449E-13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428.8489304403459</v>
      </c>
      <c r="EP180" s="60">
        <f t="shared" si="154"/>
        <v>247.01165577562966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-9.6633812063373625E-13</v>
      </c>
      <c r="FF180" s="18">
        <f>FE180*VLOOKUP('Données projet'!$B$16,Paramètres!$A$1:$I$89,3,0)*VLOOKUP('Données projet'!$B$16,Paramètres!$A$1:$I$89,5,0)</f>
        <v>-9.3464223027694966E-13</v>
      </c>
      <c r="FG180" s="14" t="e">
        <f t="shared" si="182"/>
        <v>#NUM!</v>
      </c>
      <c r="FH180" s="22" t="e">
        <f t="shared" si="183"/>
        <v>#NUM!</v>
      </c>
      <c r="FI180" s="60" t="e">
        <f t="shared" si="131"/>
        <v>#NUM!</v>
      </c>
      <c r="FJ180" s="60">
        <f ca="1">AVERAGE(OFFSET($FI$3,0,0,'Données projet'!$E$16+1,1))-AVERAGE(OFFSET($H$3,0,0,'Données projet'!$E$16+1,1))</f>
        <v>455.50822833641354</v>
      </c>
      <c r="FK180" s="60">
        <f t="shared" si="156"/>
        <v>261.14722581688039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 t="e">
        <f>N181*VLOOKUP('Données projet'!$B$9,Paramètres!$A$1:$I$89,3,0)*VLOOKUP('Données projet'!$B$9,Paramètres!$A$1:$I$89,5,0)</f>
        <v>#N/A</v>
      </c>
      <c r="P181" s="14" t="e">
        <f t="shared" si="141"/>
        <v>#N/A</v>
      </c>
      <c r="Q181" s="22" t="e">
        <f t="shared" si="162"/>
        <v>#N/A</v>
      </c>
      <c r="R181" s="60" t="e">
        <f t="shared" si="109"/>
        <v>#N/A</v>
      </c>
      <c r="S181" s="60" t="e">
        <f ca="1">AVERAGE(OFFSET($R$3,0,0,'Données projet'!$E$9+1,1))-AVERAGE(OFFSET($H$3,0,0,'Données projet'!$E$9+1,1))</f>
        <v>#N/A</v>
      </c>
      <c r="T181" s="60" t="e">
        <f t="shared" si="142"/>
        <v>#N/A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 t="e">
        <f>EXP(-LN(2)/35)*Z180+(1-EXP(-LN(2)/35))/(LN(2)/35)*V181*W181*VLOOKUP('Données projet'!$B$9,Paramètres!$A$1:$I$89,3,0)*0.475*44/12</f>
        <v>#N/A</v>
      </c>
      <c r="AA181" s="23" t="e">
        <f>EXP(-LN(2)/25)*AA180+(1-EXP(-LN(2)/25))/(LN(2)/25)*Calculateur!V181*Calculateur!X181*VLOOKUP('Données projet'!$B$9,Paramètres!$A$1:$I$89,3,0)*0.475*44/12</f>
        <v>#N/A</v>
      </c>
      <c r="AB181" s="23" t="e">
        <f>EXP(-LN(2)/2)*AB180+(1-EXP(-LN(2)/2))/(LN(2)/2)*V181*Y181*VLOOKUP('Données projet'!$B$9,Paramètres!$A$1:$I$89,3,0)*0.475*44/12</f>
        <v>#N/A</v>
      </c>
      <c r="AC181" s="24" t="e">
        <f t="shared" si="163"/>
        <v>#N/A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1.9863364286720756E-13</v>
      </c>
      <c r="AK181" s="14">
        <f t="shared" si="164"/>
        <v>2.7549360720371426E-12</v>
      </c>
      <c r="AL181" s="22">
        <f t="shared" si="165"/>
        <v>5.144133920125077E-12</v>
      </c>
      <c r="AM181" s="60">
        <f t="shared" si="113"/>
        <v>293.33333333333843</v>
      </c>
      <c r="AN181" s="60">
        <f ca="1">AVERAGE(OFFSET($AM$3,0,0,'Données projet'!$E$10+1,1))-AVERAGE(OFFSET($H$3,0,0,'Données projet'!$E$10+1,1))</f>
        <v>325.06345339097095</v>
      </c>
      <c r="AO181" s="60">
        <f t="shared" si="144"/>
        <v>318.90379036810754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0" t="e">
        <f t="shared" si="116"/>
        <v>#N/A</v>
      </c>
      <c r="BI181" s="60" t="e">
        <f ca="1">AVERAGE(OFFSET($BH$3,0,0,'Données projet'!$E$11+1,1))-AVERAGE(OFFSET($H$3,0,0,'Données projet'!$E$11+1,1))</f>
        <v>#N/A</v>
      </c>
      <c r="BJ181" s="60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0" t="e">
        <f t="shared" si="119"/>
        <v>#N/A</v>
      </c>
      <c r="CD181" s="60" t="e">
        <f ca="1">AVERAGE(OFFSET($CC$3,0,0,'Données projet'!$E$12+1,1))-AVERAGE(OFFSET($H$3,0,0,'Données projet'!$E$12+1,1))</f>
        <v>#N/A</v>
      </c>
      <c r="CE181" s="60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-8.4419298218563211E-13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415.50509041799154</v>
      </c>
      <c r="CZ181" s="60">
        <f t="shared" si="150"/>
        <v>239.93573789765657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-9.6633812063373625E-13</v>
      </c>
      <c r="DP181" s="18">
        <f>DO181*VLOOKUP('Données projet'!$B$14,Paramètres!$A$1:$I$89,3,0)*VLOOKUP('Données projet'!$B$14,Paramètres!$A$1:$I$89,5,0)</f>
        <v>-9.7986685432260874E-13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475.47920969424894</v>
      </c>
      <c r="DU181" s="60">
        <f t="shared" si="152"/>
        <v>271.73544012419364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-9.6633812063373625E-13</v>
      </c>
      <c r="EK181" s="18">
        <f>EJ181*VLOOKUP('Données projet'!$B$15,Paramètres!$A$1:$I$89,3,0)*VLOOKUP('Données projet'!$B$15,Paramètres!$A$1:$I$89,5,0)</f>
        <v>-8.7434273154940449E-13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428.8489304403459</v>
      </c>
      <c r="EP181" s="60">
        <f t="shared" si="154"/>
        <v>247.01165577562966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-9.6633812063373625E-13</v>
      </c>
      <c r="FF181" s="18">
        <f>FE181*VLOOKUP('Données projet'!$B$16,Paramètres!$A$1:$I$89,3,0)*VLOOKUP('Données projet'!$B$16,Paramètres!$A$1:$I$89,5,0)</f>
        <v>-9.3464223027694966E-13</v>
      </c>
      <c r="FG181" s="14" t="e">
        <f t="shared" si="182"/>
        <v>#NUM!</v>
      </c>
      <c r="FH181" s="22" t="e">
        <f t="shared" si="183"/>
        <v>#NUM!</v>
      </c>
      <c r="FI181" s="60" t="e">
        <f t="shared" si="131"/>
        <v>#NUM!</v>
      </c>
      <c r="FJ181" s="60">
        <f ca="1">AVERAGE(OFFSET($FI$3,0,0,'Données projet'!$E$16+1,1))-AVERAGE(OFFSET($H$3,0,0,'Données projet'!$E$16+1,1))</f>
        <v>455.50822833641354</v>
      </c>
      <c r="FK181" s="60">
        <f t="shared" si="156"/>
        <v>261.14722581688039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 t="e">
        <f>N182*VLOOKUP('Données projet'!$B$9,Paramètres!$A$1:$I$89,3,0)*VLOOKUP('Données projet'!$B$9,Paramètres!$A$1:$I$89,5,0)</f>
        <v>#N/A</v>
      </c>
      <c r="P182" s="14" t="e">
        <f t="shared" si="141"/>
        <v>#N/A</v>
      </c>
      <c r="Q182" s="22" t="e">
        <f t="shared" si="162"/>
        <v>#N/A</v>
      </c>
      <c r="R182" s="60" t="e">
        <f t="shared" si="109"/>
        <v>#N/A</v>
      </c>
      <c r="S182" s="60" t="e">
        <f ca="1">AVERAGE(OFFSET($R$3,0,0,'Données projet'!$E$9+1,1))-AVERAGE(OFFSET($H$3,0,0,'Données projet'!$E$9+1,1))</f>
        <v>#N/A</v>
      </c>
      <c r="T182" s="60" t="e">
        <f t="shared" si="142"/>
        <v>#N/A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 t="e">
        <f>EXP(-LN(2)/35)*Z181+(1-EXP(-LN(2)/35))/(LN(2)/35)*V182*W182*VLOOKUP('Données projet'!$B$9,Paramètres!$A$1:$I$89,3,0)*0.475*44/12</f>
        <v>#N/A</v>
      </c>
      <c r="AA182" s="23" t="e">
        <f>EXP(-LN(2)/25)*AA181+(1-EXP(-LN(2)/25))/(LN(2)/25)*Calculateur!V182*Calculateur!X182*VLOOKUP('Données projet'!$B$9,Paramètres!$A$1:$I$89,3,0)*0.475*44/12</f>
        <v>#N/A</v>
      </c>
      <c r="AB182" s="23" t="e">
        <f>EXP(-LN(2)/2)*AB181+(1-EXP(-LN(2)/2))/(LN(2)/2)*V182*Y182*VLOOKUP('Données projet'!$B$9,Paramètres!$A$1:$I$89,3,0)*0.475*44/12</f>
        <v>#N/A</v>
      </c>
      <c r="AC182" s="24" t="e">
        <f t="shared" si="163"/>
        <v>#N/A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1.9863364286720756E-13</v>
      </c>
      <c r="AK182" s="14">
        <f t="shared" si="164"/>
        <v>2.7549360720371426E-12</v>
      </c>
      <c r="AL182" s="22">
        <f t="shared" si="165"/>
        <v>5.144133920125077E-12</v>
      </c>
      <c r="AM182" s="60">
        <f t="shared" si="113"/>
        <v>293.33333333333843</v>
      </c>
      <c r="AN182" s="60">
        <f ca="1">AVERAGE(OFFSET($AM$3,0,0,'Données projet'!$E$10+1,1))-AVERAGE(OFFSET($H$3,0,0,'Données projet'!$E$10+1,1))</f>
        <v>325.06345339097095</v>
      </c>
      <c r="AO182" s="60">
        <f t="shared" si="144"/>
        <v>318.90379036810754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0" t="e">
        <f t="shared" si="116"/>
        <v>#N/A</v>
      </c>
      <c r="BI182" s="60" t="e">
        <f ca="1">AVERAGE(OFFSET($BH$3,0,0,'Données projet'!$E$11+1,1))-AVERAGE(OFFSET($H$3,0,0,'Données projet'!$E$11+1,1))</f>
        <v>#N/A</v>
      </c>
      <c r="BJ182" s="60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0" t="e">
        <f t="shared" si="119"/>
        <v>#N/A</v>
      </c>
      <c r="CD182" s="60" t="e">
        <f ca="1">AVERAGE(OFFSET($CC$3,0,0,'Données projet'!$E$12+1,1))-AVERAGE(OFFSET($H$3,0,0,'Données projet'!$E$12+1,1))</f>
        <v>#N/A</v>
      </c>
      <c r="CE182" s="60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-8.4419298218563211E-13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415.50509041799154</v>
      </c>
      <c r="CZ182" s="60">
        <f t="shared" si="150"/>
        <v>239.93573789765657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-9.6633812063373625E-13</v>
      </c>
      <c r="DP182" s="18">
        <f>DO182*VLOOKUP('Données projet'!$B$14,Paramètres!$A$1:$I$89,3,0)*VLOOKUP('Données projet'!$B$14,Paramètres!$A$1:$I$89,5,0)</f>
        <v>-9.7986685432260874E-13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475.47920969424894</v>
      </c>
      <c r="DU182" s="60">
        <f t="shared" si="152"/>
        <v>271.73544012419364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-9.6633812063373625E-13</v>
      </c>
      <c r="EK182" s="18">
        <f>EJ182*VLOOKUP('Données projet'!$B$15,Paramètres!$A$1:$I$89,3,0)*VLOOKUP('Données projet'!$B$15,Paramètres!$A$1:$I$89,5,0)</f>
        <v>-8.7434273154940449E-13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428.8489304403459</v>
      </c>
      <c r="EP182" s="60">
        <f t="shared" si="154"/>
        <v>247.01165577562966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-9.6633812063373625E-13</v>
      </c>
      <c r="FF182" s="18">
        <f>FE182*VLOOKUP('Données projet'!$B$16,Paramètres!$A$1:$I$89,3,0)*VLOOKUP('Données projet'!$B$16,Paramètres!$A$1:$I$89,5,0)</f>
        <v>-9.3464223027694966E-13</v>
      </c>
      <c r="FG182" s="14" t="e">
        <f t="shared" si="182"/>
        <v>#NUM!</v>
      </c>
      <c r="FH182" s="22" t="e">
        <f t="shared" si="183"/>
        <v>#NUM!</v>
      </c>
      <c r="FI182" s="60" t="e">
        <f t="shared" si="131"/>
        <v>#NUM!</v>
      </c>
      <c r="FJ182" s="60">
        <f ca="1">AVERAGE(OFFSET($FI$3,0,0,'Données projet'!$E$16+1,1))-AVERAGE(OFFSET($H$3,0,0,'Données projet'!$E$16+1,1))</f>
        <v>455.50822833641354</v>
      </c>
      <c r="FK182" s="60">
        <f t="shared" si="156"/>
        <v>261.14722581688039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 t="e">
        <f>N183*VLOOKUP('Données projet'!$B$9,Paramètres!$A$1:$I$89,3,0)*VLOOKUP('Données projet'!$B$9,Paramètres!$A$1:$I$89,5,0)</f>
        <v>#N/A</v>
      </c>
      <c r="P183" s="14" t="e">
        <f t="shared" si="141"/>
        <v>#N/A</v>
      </c>
      <c r="Q183" s="22" t="e">
        <f t="shared" si="162"/>
        <v>#N/A</v>
      </c>
      <c r="R183" s="60" t="e">
        <f t="shared" si="109"/>
        <v>#N/A</v>
      </c>
      <c r="S183" s="60" t="e">
        <f ca="1">AVERAGE(OFFSET($R$3,0,0,'Données projet'!$E$9+1,1))-AVERAGE(OFFSET($H$3,0,0,'Données projet'!$E$9+1,1))</f>
        <v>#N/A</v>
      </c>
      <c r="T183" s="60" t="e">
        <f t="shared" si="142"/>
        <v>#N/A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 t="e">
        <f>EXP(-LN(2)/35)*Z182+(1-EXP(-LN(2)/35))/(LN(2)/35)*V183*W183*VLOOKUP('Données projet'!$B$9,Paramètres!$A$1:$I$89,3,0)*0.475*44/12</f>
        <v>#N/A</v>
      </c>
      <c r="AA183" s="23" t="e">
        <f>EXP(-LN(2)/25)*AA182+(1-EXP(-LN(2)/25))/(LN(2)/25)*Calculateur!V183*Calculateur!X183*VLOOKUP('Données projet'!$B$9,Paramètres!$A$1:$I$89,3,0)*0.475*44/12</f>
        <v>#N/A</v>
      </c>
      <c r="AB183" s="23" t="e">
        <f>EXP(-LN(2)/2)*AB182+(1-EXP(-LN(2)/2))/(LN(2)/2)*V183*Y183*VLOOKUP('Données projet'!$B$9,Paramètres!$A$1:$I$89,3,0)*0.475*44/12</f>
        <v>#N/A</v>
      </c>
      <c r="AC183" s="24" t="e">
        <f t="shared" si="163"/>
        <v>#N/A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1.9863364286720756E-13</v>
      </c>
      <c r="AK183" s="14">
        <f t="shared" si="164"/>
        <v>2.7549360720371426E-12</v>
      </c>
      <c r="AL183" s="22">
        <f t="shared" si="165"/>
        <v>5.144133920125077E-12</v>
      </c>
      <c r="AM183" s="60">
        <f t="shared" si="113"/>
        <v>293.33333333333843</v>
      </c>
      <c r="AN183" s="60">
        <f ca="1">AVERAGE(OFFSET($AM$3,0,0,'Données projet'!$E$10+1,1))-AVERAGE(OFFSET($H$3,0,0,'Données projet'!$E$10+1,1))</f>
        <v>325.06345339097095</v>
      </c>
      <c r="AO183" s="60">
        <f t="shared" si="144"/>
        <v>318.90379036810754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0" t="e">
        <f t="shared" si="116"/>
        <v>#N/A</v>
      </c>
      <c r="BI183" s="60" t="e">
        <f ca="1">AVERAGE(OFFSET($BH$3,0,0,'Données projet'!$E$11+1,1))-AVERAGE(OFFSET($H$3,0,0,'Données projet'!$E$11+1,1))</f>
        <v>#N/A</v>
      </c>
      <c r="BJ183" s="60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0" t="e">
        <f t="shared" si="119"/>
        <v>#N/A</v>
      </c>
      <c r="CD183" s="60" t="e">
        <f ca="1">AVERAGE(OFFSET($CC$3,0,0,'Données projet'!$E$12+1,1))-AVERAGE(OFFSET($H$3,0,0,'Données projet'!$E$12+1,1))</f>
        <v>#N/A</v>
      </c>
      <c r="CE183" s="60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-8.4419298218563211E-13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415.50509041799154</v>
      </c>
      <c r="CZ183" s="60">
        <f t="shared" si="150"/>
        <v>239.93573789765657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-9.6633812063373625E-13</v>
      </c>
      <c r="DP183" s="18">
        <f>DO183*VLOOKUP('Données projet'!$B$14,Paramètres!$A$1:$I$89,3,0)*VLOOKUP('Données projet'!$B$14,Paramètres!$A$1:$I$89,5,0)</f>
        <v>-9.7986685432260874E-13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475.47920969424894</v>
      </c>
      <c r="DU183" s="60">
        <f t="shared" si="152"/>
        <v>271.73544012419364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-9.6633812063373625E-13</v>
      </c>
      <c r="EK183" s="18">
        <f>EJ183*VLOOKUP('Données projet'!$B$15,Paramètres!$A$1:$I$89,3,0)*VLOOKUP('Données projet'!$B$15,Paramètres!$A$1:$I$89,5,0)</f>
        <v>-8.7434273154940449E-13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428.8489304403459</v>
      </c>
      <c r="EP183" s="60">
        <f t="shared" si="154"/>
        <v>247.01165577562966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-9.6633812063373625E-13</v>
      </c>
      <c r="FF183" s="18">
        <f>FE183*VLOOKUP('Données projet'!$B$16,Paramètres!$A$1:$I$89,3,0)*VLOOKUP('Données projet'!$B$16,Paramètres!$A$1:$I$89,5,0)</f>
        <v>-9.3464223027694966E-13</v>
      </c>
      <c r="FG183" s="14" t="e">
        <f t="shared" si="182"/>
        <v>#NUM!</v>
      </c>
      <c r="FH183" s="22" t="e">
        <f t="shared" si="183"/>
        <v>#NUM!</v>
      </c>
      <c r="FI183" s="60" t="e">
        <f t="shared" si="131"/>
        <v>#NUM!</v>
      </c>
      <c r="FJ183" s="60">
        <f ca="1">AVERAGE(OFFSET($FI$3,0,0,'Données projet'!$E$16+1,1))-AVERAGE(OFFSET($H$3,0,0,'Données projet'!$E$16+1,1))</f>
        <v>455.50822833641354</v>
      </c>
      <c r="FK183" s="60">
        <f t="shared" si="156"/>
        <v>261.14722581688039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 t="e">
        <f>N184*VLOOKUP('Données projet'!$B$9,Paramètres!$A$1:$I$89,3,0)*VLOOKUP('Données projet'!$B$9,Paramètres!$A$1:$I$89,5,0)</f>
        <v>#N/A</v>
      </c>
      <c r="P184" s="14" t="e">
        <f t="shared" si="141"/>
        <v>#N/A</v>
      </c>
      <c r="Q184" s="22" t="e">
        <f t="shared" si="162"/>
        <v>#N/A</v>
      </c>
      <c r="R184" s="60" t="e">
        <f t="shared" si="109"/>
        <v>#N/A</v>
      </c>
      <c r="S184" s="60" t="e">
        <f ca="1">AVERAGE(OFFSET($R$3,0,0,'Données projet'!$E$9+1,1))-AVERAGE(OFFSET($H$3,0,0,'Données projet'!$E$9+1,1))</f>
        <v>#N/A</v>
      </c>
      <c r="T184" s="60" t="e">
        <f t="shared" si="142"/>
        <v>#N/A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 t="e">
        <f>EXP(-LN(2)/35)*Z183+(1-EXP(-LN(2)/35))/(LN(2)/35)*V184*W184*VLOOKUP('Données projet'!$B$9,Paramètres!$A$1:$I$89,3,0)*0.475*44/12</f>
        <v>#N/A</v>
      </c>
      <c r="AA184" s="23" t="e">
        <f>EXP(-LN(2)/25)*AA183+(1-EXP(-LN(2)/25))/(LN(2)/25)*Calculateur!V184*Calculateur!X184*VLOOKUP('Données projet'!$B$9,Paramètres!$A$1:$I$89,3,0)*0.475*44/12</f>
        <v>#N/A</v>
      </c>
      <c r="AB184" s="23" t="e">
        <f>EXP(-LN(2)/2)*AB183+(1-EXP(-LN(2)/2))/(LN(2)/2)*V184*Y184*VLOOKUP('Données projet'!$B$9,Paramètres!$A$1:$I$89,3,0)*0.475*44/12</f>
        <v>#N/A</v>
      </c>
      <c r="AC184" s="24" t="e">
        <f t="shared" si="163"/>
        <v>#N/A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1.9863364286720756E-13</v>
      </c>
      <c r="AK184" s="14">
        <f t="shared" si="164"/>
        <v>2.7549360720371426E-12</v>
      </c>
      <c r="AL184" s="22">
        <f t="shared" si="165"/>
        <v>5.144133920125077E-12</v>
      </c>
      <c r="AM184" s="60">
        <f t="shared" si="113"/>
        <v>293.33333333333843</v>
      </c>
      <c r="AN184" s="60">
        <f ca="1">AVERAGE(OFFSET($AM$3,0,0,'Données projet'!$E$10+1,1))-AVERAGE(OFFSET($H$3,0,0,'Données projet'!$E$10+1,1))</f>
        <v>325.06345339097095</v>
      </c>
      <c r="AO184" s="60">
        <f t="shared" si="144"/>
        <v>318.90379036810754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0" t="e">
        <f t="shared" si="116"/>
        <v>#N/A</v>
      </c>
      <c r="BI184" s="60" t="e">
        <f ca="1">AVERAGE(OFFSET($BH$3,0,0,'Données projet'!$E$11+1,1))-AVERAGE(OFFSET($H$3,0,0,'Données projet'!$E$11+1,1))</f>
        <v>#N/A</v>
      </c>
      <c r="BJ184" s="60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0" t="e">
        <f t="shared" si="119"/>
        <v>#N/A</v>
      </c>
      <c r="CD184" s="60" t="e">
        <f ca="1">AVERAGE(OFFSET($CC$3,0,0,'Données projet'!$E$12+1,1))-AVERAGE(OFFSET($H$3,0,0,'Données projet'!$E$12+1,1))</f>
        <v>#N/A</v>
      </c>
      <c r="CE184" s="60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-8.4419298218563211E-13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415.50509041799154</v>
      </c>
      <c r="CZ184" s="60">
        <f t="shared" si="150"/>
        <v>239.93573789765657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-9.6633812063373625E-13</v>
      </c>
      <c r="DP184" s="18">
        <f>DO184*VLOOKUP('Données projet'!$B$14,Paramètres!$A$1:$I$89,3,0)*VLOOKUP('Données projet'!$B$14,Paramètres!$A$1:$I$89,5,0)</f>
        <v>-9.7986685432260874E-13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475.47920969424894</v>
      </c>
      <c r="DU184" s="60">
        <f t="shared" si="152"/>
        <v>271.73544012419364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-9.6633812063373625E-13</v>
      </c>
      <c r="EK184" s="18">
        <f>EJ184*VLOOKUP('Données projet'!$B$15,Paramètres!$A$1:$I$89,3,0)*VLOOKUP('Données projet'!$B$15,Paramètres!$A$1:$I$89,5,0)</f>
        <v>-8.7434273154940449E-13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428.8489304403459</v>
      </c>
      <c r="EP184" s="60">
        <f t="shared" si="154"/>
        <v>247.01165577562966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-9.6633812063373625E-13</v>
      </c>
      <c r="FF184" s="18">
        <f>FE184*VLOOKUP('Données projet'!$B$16,Paramètres!$A$1:$I$89,3,0)*VLOOKUP('Données projet'!$B$16,Paramètres!$A$1:$I$89,5,0)</f>
        <v>-9.3464223027694966E-13</v>
      </c>
      <c r="FG184" s="14" t="e">
        <f t="shared" si="182"/>
        <v>#NUM!</v>
      </c>
      <c r="FH184" s="22" t="e">
        <f t="shared" si="183"/>
        <v>#NUM!</v>
      </c>
      <c r="FI184" s="60" t="e">
        <f t="shared" si="131"/>
        <v>#NUM!</v>
      </c>
      <c r="FJ184" s="60">
        <f ca="1">AVERAGE(OFFSET($FI$3,0,0,'Données projet'!$E$16+1,1))-AVERAGE(OFFSET($H$3,0,0,'Données projet'!$E$16+1,1))</f>
        <v>455.50822833641354</v>
      </c>
      <c r="FK184" s="60">
        <f t="shared" si="156"/>
        <v>261.14722581688039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 t="e">
        <f>N185*VLOOKUP('Données projet'!$B$9,Paramètres!$A$1:$I$89,3,0)*VLOOKUP('Données projet'!$B$9,Paramètres!$A$1:$I$89,5,0)</f>
        <v>#N/A</v>
      </c>
      <c r="P185" s="14" t="e">
        <f t="shared" si="141"/>
        <v>#N/A</v>
      </c>
      <c r="Q185" s="22" t="e">
        <f t="shared" si="162"/>
        <v>#N/A</v>
      </c>
      <c r="R185" s="60" t="e">
        <f t="shared" si="109"/>
        <v>#N/A</v>
      </c>
      <c r="S185" s="60" t="e">
        <f ca="1">AVERAGE(OFFSET($R$3,0,0,'Données projet'!$E$9+1,1))-AVERAGE(OFFSET($H$3,0,0,'Données projet'!$E$9+1,1))</f>
        <v>#N/A</v>
      </c>
      <c r="T185" s="60" t="e">
        <f t="shared" si="142"/>
        <v>#N/A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 t="e">
        <f>EXP(-LN(2)/35)*Z184+(1-EXP(-LN(2)/35))/(LN(2)/35)*V185*W185*VLOOKUP('Données projet'!$B$9,Paramètres!$A$1:$I$89,3,0)*0.475*44/12</f>
        <v>#N/A</v>
      </c>
      <c r="AA185" s="23" t="e">
        <f>EXP(-LN(2)/25)*AA184+(1-EXP(-LN(2)/25))/(LN(2)/25)*Calculateur!V185*Calculateur!X185*VLOOKUP('Données projet'!$B$9,Paramètres!$A$1:$I$89,3,0)*0.475*44/12</f>
        <v>#N/A</v>
      </c>
      <c r="AB185" s="23" t="e">
        <f>EXP(-LN(2)/2)*AB184+(1-EXP(-LN(2)/2))/(LN(2)/2)*V185*Y185*VLOOKUP('Données projet'!$B$9,Paramètres!$A$1:$I$89,3,0)*0.475*44/12</f>
        <v>#N/A</v>
      </c>
      <c r="AC185" s="24" t="e">
        <f t="shared" si="163"/>
        <v>#N/A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1.9863364286720756E-13</v>
      </c>
      <c r="AK185" s="14">
        <f t="shared" si="164"/>
        <v>2.7549360720371426E-12</v>
      </c>
      <c r="AL185" s="22">
        <f t="shared" si="165"/>
        <v>5.144133920125077E-12</v>
      </c>
      <c r="AM185" s="60">
        <f t="shared" si="113"/>
        <v>293.33333333333843</v>
      </c>
      <c r="AN185" s="60">
        <f ca="1">AVERAGE(OFFSET($AM$3,0,0,'Données projet'!$E$10+1,1))-AVERAGE(OFFSET($H$3,0,0,'Données projet'!$E$10+1,1))</f>
        <v>325.06345339097095</v>
      </c>
      <c r="AO185" s="60">
        <f t="shared" si="144"/>
        <v>318.90379036810754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0" t="e">
        <f t="shared" si="116"/>
        <v>#N/A</v>
      </c>
      <c r="BI185" s="60" t="e">
        <f ca="1">AVERAGE(OFFSET($BH$3,0,0,'Données projet'!$E$11+1,1))-AVERAGE(OFFSET($H$3,0,0,'Données projet'!$E$11+1,1))</f>
        <v>#N/A</v>
      </c>
      <c r="BJ185" s="60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0" t="e">
        <f t="shared" si="119"/>
        <v>#N/A</v>
      </c>
      <c r="CD185" s="60" t="e">
        <f ca="1">AVERAGE(OFFSET($CC$3,0,0,'Données projet'!$E$12+1,1))-AVERAGE(OFFSET($H$3,0,0,'Données projet'!$E$12+1,1))</f>
        <v>#N/A</v>
      </c>
      <c r="CE185" s="60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-8.4419298218563211E-13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415.50509041799154</v>
      </c>
      <c r="CZ185" s="60">
        <f t="shared" si="150"/>
        <v>239.93573789765657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-9.6633812063373625E-13</v>
      </c>
      <c r="DP185" s="18">
        <f>DO185*VLOOKUP('Données projet'!$B$14,Paramètres!$A$1:$I$89,3,0)*VLOOKUP('Données projet'!$B$14,Paramètres!$A$1:$I$89,5,0)</f>
        <v>-9.7986685432260874E-13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475.47920969424894</v>
      </c>
      <c r="DU185" s="60">
        <f t="shared" si="152"/>
        <v>271.73544012419364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-9.6633812063373625E-13</v>
      </c>
      <c r="EK185" s="18">
        <f>EJ185*VLOOKUP('Données projet'!$B$15,Paramètres!$A$1:$I$89,3,0)*VLOOKUP('Données projet'!$B$15,Paramètres!$A$1:$I$89,5,0)</f>
        <v>-8.7434273154940449E-13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428.8489304403459</v>
      </c>
      <c r="EP185" s="60">
        <f t="shared" si="154"/>
        <v>247.01165577562966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-9.6633812063373625E-13</v>
      </c>
      <c r="FF185" s="18">
        <f>FE185*VLOOKUP('Données projet'!$B$16,Paramètres!$A$1:$I$89,3,0)*VLOOKUP('Données projet'!$B$16,Paramètres!$A$1:$I$89,5,0)</f>
        <v>-9.3464223027694966E-13</v>
      </c>
      <c r="FG185" s="14" t="e">
        <f t="shared" si="182"/>
        <v>#NUM!</v>
      </c>
      <c r="FH185" s="22" t="e">
        <f t="shared" si="183"/>
        <v>#NUM!</v>
      </c>
      <c r="FI185" s="60" t="e">
        <f t="shared" si="131"/>
        <v>#NUM!</v>
      </c>
      <c r="FJ185" s="60">
        <f ca="1">AVERAGE(OFFSET($FI$3,0,0,'Données projet'!$E$16+1,1))-AVERAGE(OFFSET($H$3,0,0,'Données projet'!$E$16+1,1))</f>
        <v>455.50822833641354</v>
      </c>
      <c r="FK185" s="60">
        <f t="shared" si="156"/>
        <v>261.14722581688039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 t="e">
        <f>N186*VLOOKUP('Données projet'!$B$9,Paramètres!$A$1:$I$89,3,0)*VLOOKUP('Données projet'!$B$9,Paramètres!$A$1:$I$89,5,0)</f>
        <v>#N/A</v>
      </c>
      <c r="P186" s="14" t="e">
        <f t="shared" si="141"/>
        <v>#N/A</v>
      </c>
      <c r="Q186" s="22" t="e">
        <f t="shared" si="162"/>
        <v>#N/A</v>
      </c>
      <c r="R186" s="60" t="e">
        <f t="shared" si="109"/>
        <v>#N/A</v>
      </c>
      <c r="S186" s="60" t="e">
        <f ca="1">AVERAGE(OFFSET($R$3,0,0,'Données projet'!$E$9+1,1))-AVERAGE(OFFSET($H$3,0,0,'Données projet'!$E$9+1,1))</f>
        <v>#N/A</v>
      </c>
      <c r="T186" s="60" t="e">
        <f t="shared" si="142"/>
        <v>#N/A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 t="e">
        <f>EXP(-LN(2)/35)*Z185+(1-EXP(-LN(2)/35))/(LN(2)/35)*V186*W186*VLOOKUP('Données projet'!$B$9,Paramètres!$A$1:$I$89,3,0)*0.475*44/12</f>
        <v>#N/A</v>
      </c>
      <c r="AA186" s="23" t="e">
        <f>EXP(-LN(2)/25)*AA185+(1-EXP(-LN(2)/25))/(LN(2)/25)*Calculateur!V186*Calculateur!X186*VLOOKUP('Données projet'!$B$9,Paramètres!$A$1:$I$89,3,0)*0.475*44/12</f>
        <v>#N/A</v>
      </c>
      <c r="AB186" s="23" t="e">
        <f>EXP(-LN(2)/2)*AB185+(1-EXP(-LN(2)/2))/(LN(2)/2)*V186*Y186*VLOOKUP('Données projet'!$B$9,Paramètres!$A$1:$I$89,3,0)*0.475*44/12</f>
        <v>#N/A</v>
      </c>
      <c r="AC186" s="24" t="e">
        <f t="shared" si="163"/>
        <v>#N/A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1.9863364286720756E-13</v>
      </c>
      <c r="AK186" s="14">
        <f t="shared" si="164"/>
        <v>2.7549360720371426E-12</v>
      </c>
      <c r="AL186" s="22">
        <f t="shared" si="165"/>
        <v>5.144133920125077E-12</v>
      </c>
      <c r="AM186" s="60">
        <f t="shared" si="113"/>
        <v>293.33333333333843</v>
      </c>
      <c r="AN186" s="60">
        <f ca="1">AVERAGE(OFFSET($AM$3,0,0,'Données projet'!$E$10+1,1))-AVERAGE(OFFSET($H$3,0,0,'Données projet'!$E$10+1,1))</f>
        <v>325.06345339097095</v>
      </c>
      <c r="AO186" s="60">
        <f t="shared" si="144"/>
        <v>318.90379036810754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0" t="e">
        <f t="shared" si="116"/>
        <v>#N/A</v>
      </c>
      <c r="BI186" s="60" t="e">
        <f ca="1">AVERAGE(OFFSET($BH$3,0,0,'Données projet'!$E$11+1,1))-AVERAGE(OFFSET($H$3,0,0,'Données projet'!$E$11+1,1))</f>
        <v>#N/A</v>
      </c>
      <c r="BJ186" s="60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0" t="e">
        <f t="shared" si="119"/>
        <v>#N/A</v>
      </c>
      <c r="CD186" s="60" t="e">
        <f ca="1">AVERAGE(OFFSET($CC$3,0,0,'Données projet'!$E$12+1,1))-AVERAGE(OFFSET($H$3,0,0,'Données projet'!$E$12+1,1))</f>
        <v>#N/A</v>
      </c>
      <c r="CE186" s="60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-8.4419298218563211E-13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415.50509041799154</v>
      </c>
      <c r="CZ186" s="60">
        <f t="shared" si="150"/>
        <v>239.93573789765657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-9.6633812063373625E-13</v>
      </c>
      <c r="DP186" s="18">
        <f>DO186*VLOOKUP('Données projet'!$B$14,Paramètres!$A$1:$I$89,3,0)*VLOOKUP('Données projet'!$B$14,Paramètres!$A$1:$I$89,5,0)</f>
        <v>-9.7986685432260874E-13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475.47920969424894</v>
      </c>
      <c r="DU186" s="60">
        <f t="shared" si="152"/>
        <v>271.73544012419364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-9.6633812063373625E-13</v>
      </c>
      <c r="EK186" s="18">
        <f>EJ186*VLOOKUP('Données projet'!$B$15,Paramètres!$A$1:$I$89,3,0)*VLOOKUP('Données projet'!$B$15,Paramètres!$A$1:$I$89,5,0)</f>
        <v>-8.7434273154940449E-13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428.8489304403459</v>
      </c>
      <c r="EP186" s="60">
        <f t="shared" si="154"/>
        <v>247.01165577562966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-9.6633812063373625E-13</v>
      </c>
      <c r="FF186" s="18">
        <f>FE186*VLOOKUP('Données projet'!$B$16,Paramètres!$A$1:$I$89,3,0)*VLOOKUP('Données projet'!$B$16,Paramètres!$A$1:$I$89,5,0)</f>
        <v>-9.3464223027694966E-13</v>
      </c>
      <c r="FG186" s="14" t="e">
        <f t="shared" si="182"/>
        <v>#NUM!</v>
      </c>
      <c r="FH186" s="22" t="e">
        <f t="shared" si="183"/>
        <v>#NUM!</v>
      </c>
      <c r="FI186" s="60" t="e">
        <f t="shared" si="131"/>
        <v>#NUM!</v>
      </c>
      <c r="FJ186" s="60">
        <f ca="1">AVERAGE(OFFSET($FI$3,0,0,'Données projet'!$E$16+1,1))-AVERAGE(OFFSET($H$3,0,0,'Données projet'!$E$16+1,1))</f>
        <v>455.50822833641354</v>
      </c>
      <c r="FK186" s="60">
        <f t="shared" si="156"/>
        <v>261.14722581688039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 t="e">
        <f>N187*VLOOKUP('Données projet'!$B$9,Paramètres!$A$1:$I$89,3,0)*VLOOKUP('Données projet'!$B$9,Paramètres!$A$1:$I$89,5,0)</f>
        <v>#N/A</v>
      </c>
      <c r="P187" s="14" t="e">
        <f t="shared" si="141"/>
        <v>#N/A</v>
      </c>
      <c r="Q187" s="22" t="e">
        <f t="shared" si="162"/>
        <v>#N/A</v>
      </c>
      <c r="R187" s="60" t="e">
        <f t="shared" si="109"/>
        <v>#N/A</v>
      </c>
      <c r="S187" s="60" t="e">
        <f ca="1">AVERAGE(OFFSET($R$3,0,0,'Données projet'!$E$9+1,1))-AVERAGE(OFFSET($H$3,0,0,'Données projet'!$E$9+1,1))</f>
        <v>#N/A</v>
      </c>
      <c r="T187" s="60" t="e">
        <f t="shared" si="142"/>
        <v>#N/A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 t="e">
        <f>EXP(-LN(2)/35)*Z186+(1-EXP(-LN(2)/35))/(LN(2)/35)*V187*W187*VLOOKUP('Données projet'!$B$9,Paramètres!$A$1:$I$89,3,0)*0.475*44/12</f>
        <v>#N/A</v>
      </c>
      <c r="AA187" s="23" t="e">
        <f>EXP(-LN(2)/25)*AA186+(1-EXP(-LN(2)/25))/(LN(2)/25)*Calculateur!V187*Calculateur!X187*VLOOKUP('Données projet'!$B$9,Paramètres!$A$1:$I$89,3,0)*0.475*44/12</f>
        <v>#N/A</v>
      </c>
      <c r="AB187" s="23" t="e">
        <f>EXP(-LN(2)/2)*AB186+(1-EXP(-LN(2)/2))/(LN(2)/2)*V187*Y187*VLOOKUP('Données projet'!$B$9,Paramètres!$A$1:$I$89,3,0)*0.475*44/12</f>
        <v>#N/A</v>
      </c>
      <c r="AC187" s="24" t="e">
        <f t="shared" si="163"/>
        <v>#N/A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1.9863364286720756E-13</v>
      </c>
      <c r="AK187" s="14">
        <f t="shared" si="164"/>
        <v>2.7549360720371426E-12</v>
      </c>
      <c r="AL187" s="22">
        <f t="shared" si="165"/>
        <v>5.144133920125077E-12</v>
      </c>
      <c r="AM187" s="60">
        <f t="shared" si="113"/>
        <v>293.33333333333843</v>
      </c>
      <c r="AN187" s="60">
        <f ca="1">AVERAGE(OFFSET($AM$3,0,0,'Données projet'!$E$10+1,1))-AVERAGE(OFFSET($H$3,0,0,'Données projet'!$E$10+1,1))</f>
        <v>325.06345339097095</v>
      </c>
      <c r="AO187" s="60">
        <f t="shared" si="144"/>
        <v>318.90379036810754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0" t="e">
        <f t="shared" si="116"/>
        <v>#N/A</v>
      </c>
      <c r="BI187" s="60" t="e">
        <f ca="1">AVERAGE(OFFSET($BH$3,0,0,'Données projet'!$E$11+1,1))-AVERAGE(OFFSET($H$3,0,0,'Données projet'!$E$11+1,1))</f>
        <v>#N/A</v>
      </c>
      <c r="BJ187" s="60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0" t="e">
        <f t="shared" si="119"/>
        <v>#N/A</v>
      </c>
      <c r="CD187" s="60" t="e">
        <f ca="1">AVERAGE(OFFSET($CC$3,0,0,'Données projet'!$E$12+1,1))-AVERAGE(OFFSET($H$3,0,0,'Données projet'!$E$12+1,1))</f>
        <v>#N/A</v>
      </c>
      <c r="CE187" s="60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-8.4419298218563211E-13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415.50509041799154</v>
      </c>
      <c r="CZ187" s="60">
        <f t="shared" si="150"/>
        <v>239.93573789765657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-9.6633812063373625E-13</v>
      </c>
      <c r="DP187" s="18">
        <f>DO187*VLOOKUP('Données projet'!$B$14,Paramètres!$A$1:$I$89,3,0)*VLOOKUP('Données projet'!$B$14,Paramètres!$A$1:$I$89,5,0)</f>
        <v>-9.7986685432260874E-13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475.47920969424894</v>
      </c>
      <c r="DU187" s="60">
        <f t="shared" si="152"/>
        <v>271.73544012419364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-9.6633812063373625E-13</v>
      </c>
      <c r="EK187" s="18">
        <f>EJ187*VLOOKUP('Données projet'!$B$15,Paramètres!$A$1:$I$89,3,0)*VLOOKUP('Données projet'!$B$15,Paramètres!$A$1:$I$89,5,0)</f>
        <v>-8.7434273154940449E-13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428.8489304403459</v>
      </c>
      <c r="EP187" s="60">
        <f t="shared" si="154"/>
        <v>247.01165577562966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-9.6633812063373625E-13</v>
      </c>
      <c r="FF187" s="18">
        <f>FE187*VLOOKUP('Données projet'!$B$16,Paramètres!$A$1:$I$89,3,0)*VLOOKUP('Données projet'!$B$16,Paramètres!$A$1:$I$89,5,0)</f>
        <v>-9.3464223027694966E-13</v>
      </c>
      <c r="FG187" s="14" t="e">
        <f t="shared" si="182"/>
        <v>#NUM!</v>
      </c>
      <c r="FH187" s="22" t="e">
        <f t="shared" si="183"/>
        <v>#NUM!</v>
      </c>
      <c r="FI187" s="60" t="e">
        <f t="shared" si="131"/>
        <v>#NUM!</v>
      </c>
      <c r="FJ187" s="60">
        <f ca="1">AVERAGE(OFFSET($FI$3,0,0,'Données projet'!$E$16+1,1))-AVERAGE(OFFSET($H$3,0,0,'Données projet'!$E$16+1,1))</f>
        <v>455.50822833641354</v>
      </c>
      <c r="FK187" s="60">
        <f t="shared" si="156"/>
        <v>261.14722581688039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 t="e">
        <f>N188*VLOOKUP('Données projet'!$B$9,Paramètres!$A$1:$I$89,3,0)*VLOOKUP('Données projet'!$B$9,Paramètres!$A$1:$I$89,5,0)</f>
        <v>#N/A</v>
      </c>
      <c r="P188" s="14" t="e">
        <f t="shared" si="141"/>
        <v>#N/A</v>
      </c>
      <c r="Q188" s="22" t="e">
        <f t="shared" si="162"/>
        <v>#N/A</v>
      </c>
      <c r="R188" s="60" t="e">
        <f t="shared" si="109"/>
        <v>#N/A</v>
      </c>
      <c r="S188" s="60" t="e">
        <f ca="1">AVERAGE(OFFSET($R$3,0,0,'Données projet'!$E$9+1,1))-AVERAGE(OFFSET($H$3,0,0,'Données projet'!$E$9+1,1))</f>
        <v>#N/A</v>
      </c>
      <c r="T188" s="60" t="e">
        <f t="shared" si="142"/>
        <v>#N/A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 t="e">
        <f>EXP(-LN(2)/35)*Z187+(1-EXP(-LN(2)/35))/(LN(2)/35)*V188*W188*VLOOKUP('Données projet'!$B$9,Paramètres!$A$1:$I$89,3,0)*0.475*44/12</f>
        <v>#N/A</v>
      </c>
      <c r="AA188" s="23" t="e">
        <f>EXP(-LN(2)/25)*AA187+(1-EXP(-LN(2)/25))/(LN(2)/25)*Calculateur!V188*Calculateur!X188*VLOOKUP('Données projet'!$B$9,Paramètres!$A$1:$I$89,3,0)*0.475*44/12</f>
        <v>#N/A</v>
      </c>
      <c r="AB188" s="23" t="e">
        <f>EXP(-LN(2)/2)*AB187+(1-EXP(-LN(2)/2))/(LN(2)/2)*V188*Y188*VLOOKUP('Données projet'!$B$9,Paramètres!$A$1:$I$89,3,0)*0.475*44/12</f>
        <v>#N/A</v>
      </c>
      <c r="AC188" s="24" t="e">
        <f t="shared" si="163"/>
        <v>#N/A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1.9863364286720756E-13</v>
      </c>
      <c r="AK188" s="14">
        <f t="shared" si="164"/>
        <v>2.7549360720371426E-12</v>
      </c>
      <c r="AL188" s="22">
        <f t="shared" si="165"/>
        <v>5.144133920125077E-12</v>
      </c>
      <c r="AM188" s="60">
        <f t="shared" si="113"/>
        <v>293.33333333333843</v>
      </c>
      <c r="AN188" s="60">
        <f ca="1">AVERAGE(OFFSET($AM$3,0,0,'Données projet'!$E$10+1,1))-AVERAGE(OFFSET($H$3,0,0,'Données projet'!$E$10+1,1))</f>
        <v>325.06345339097095</v>
      </c>
      <c r="AO188" s="60">
        <f t="shared" si="144"/>
        <v>318.90379036810754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0" t="e">
        <f t="shared" si="116"/>
        <v>#N/A</v>
      </c>
      <c r="BI188" s="60" t="e">
        <f ca="1">AVERAGE(OFFSET($BH$3,0,0,'Données projet'!$E$11+1,1))-AVERAGE(OFFSET($H$3,0,0,'Données projet'!$E$11+1,1))</f>
        <v>#N/A</v>
      </c>
      <c r="BJ188" s="60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0" t="e">
        <f t="shared" si="119"/>
        <v>#N/A</v>
      </c>
      <c r="CD188" s="60" t="e">
        <f ca="1">AVERAGE(OFFSET($CC$3,0,0,'Données projet'!$E$12+1,1))-AVERAGE(OFFSET($H$3,0,0,'Données projet'!$E$12+1,1))</f>
        <v>#N/A</v>
      </c>
      <c r="CE188" s="60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-8.4419298218563211E-13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415.50509041799154</v>
      </c>
      <c r="CZ188" s="60">
        <f t="shared" si="150"/>
        <v>239.93573789765657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-9.6633812063373625E-13</v>
      </c>
      <c r="DP188" s="18">
        <f>DO188*VLOOKUP('Données projet'!$B$14,Paramètres!$A$1:$I$89,3,0)*VLOOKUP('Données projet'!$B$14,Paramètres!$A$1:$I$89,5,0)</f>
        <v>-9.7986685432260874E-13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475.47920969424894</v>
      </c>
      <c r="DU188" s="60">
        <f t="shared" si="152"/>
        <v>271.73544012419364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-9.6633812063373625E-13</v>
      </c>
      <c r="EK188" s="18">
        <f>EJ188*VLOOKUP('Données projet'!$B$15,Paramètres!$A$1:$I$89,3,0)*VLOOKUP('Données projet'!$B$15,Paramètres!$A$1:$I$89,5,0)</f>
        <v>-8.7434273154940449E-13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428.8489304403459</v>
      </c>
      <c r="EP188" s="60">
        <f t="shared" si="154"/>
        <v>247.01165577562966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-9.6633812063373625E-13</v>
      </c>
      <c r="FF188" s="18">
        <f>FE188*VLOOKUP('Données projet'!$B$16,Paramètres!$A$1:$I$89,3,0)*VLOOKUP('Données projet'!$B$16,Paramètres!$A$1:$I$89,5,0)</f>
        <v>-9.3464223027694966E-13</v>
      </c>
      <c r="FG188" s="14" t="e">
        <f t="shared" si="182"/>
        <v>#NUM!</v>
      </c>
      <c r="FH188" s="22" t="e">
        <f t="shared" si="183"/>
        <v>#NUM!</v>
      </c>
      <c r="FI188" s="60" t="e">
        <f t="shared" si="131"/>
        <v>#NUM!</v>
      </c>
      <c r="FJ188" s="60">
        <f ca="1">AVERAGE(OFFSET($FI$3,0,0,'Données projet'!$E$16+1,1))-AVERAGE(OFFSET($H$3,0,0,'Données projet'!$E$16+1,1))</f>
        <v>455.50822833641354</v>
      </c>
      <c r="FK188" s="60">
        <f t="shared" si="156"/>
        <v>261.14722581688039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 t="e">
        <f>N189*VLOOKUP('Données projet'!$B$9,Paramètres!$A$1:$I$89,3,0)*VLOOKUP('Données projet'!$B$9,Paramètres!$A$1:$I$89,5,0)</f>
        <v>#N/A</v>
      </c>
      <c r="P189" s="14" t="e">
        <f t="shared" si="141"/>
        <v>#N/A</v>
      </c>
      <c r="Q189" s="22" t="e">
        <f t="shared" si="162"/>
        <v>#N/A</v>
      </c>
      <c r="R189" s="60" t="e">
        <f t="shared" si="109"/>
        <v>#N/A</v>
      </c>
      <c r="S189" s="60" t="e">
        <f ca="1">AVERAGE(OFFSET($R$3,0,0,'Données projet'!$E$9+1,1))-AVERAGE(OFFSET($H$3,0,0,'Données projet'!$E$9+1,1))</f>
        <v>#N/A</v>
      </c>
      <c r="T189" s="60" t="e">
        <f t="shared" si="142"/>
        <v>#N/A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 t="e">
        <f>EXP(-LN(2)/35)*Z188+(1-EXP(-LN(2)/35))/(LN(2)/35)*V189*W189*VLOOKUP('Données projet'!$B$9,Paramètres!$A$1:$I$89,3,0)*0.475*44/12</f>
        <v>#N/A</v>
      </c>
      <c r="AA189" s="23" t="e">
        <f>EXP(-LN(2)/25)*AA188+(1-EXP(-LN(2)/25))/(LN(2)/25)*Calculateur!V189*Calculateur!X189*VLOOKUP('Données projet'!$B$9,Paramètres!$A$1:$I$89,3,0)*0.475*44/12</f>
        <v>#N/A</v>
      </c>
      <c r="AB189" s="23" t="e">
        <f>EXP(-LN(2)/2)*AB188+(1-EXP(-LN(2)/2))/(LN(2)/2)*V189*Y189*VLOOKUP('Données projet'!$B$9,Paramètres!$A$1:$I$89,3,0)*0.475*44/12</f>
        <v>#N/A</v>
      </c>
      <c r="AC189" s="24" t="e">
        <f t="shared" si="163"/>
        <v>#N/A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1.9863364286720756E-13</v>
      </c>
      <c r="AK189" s="14">
        <f t="shared" si="164"/>
        <v>2.7549360720371426E-12</v>
      </c>
      <c r="AL189" s="22">
        <f t="shared" si="165"/>
        <v>5.144133920125077E-12</v>
      </c>
      <c r="AM189" s="60">
        <f t="shared" si="113"/>
        <v>293.33333333333843</v>
      </c>
      <c r="AN189" s="60">
        <f ca="1">AVERAGE(OFFSET($AM$3,0,0,'Données projet'!$E$10+1,1))-AVERAGE(OFFSET($H$3,0,0,'Données projet'!$E$10+1,1))</f>
        <v>325.06345339097095</v>
      </c>
      <c r="AO189" s="60">
        <f t="shared" si="144"/>
        <v>318.90379036810754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0" t="e">
        <f t="shared" si="116"/>
        <v>#N/A</v>
      </c>
      <c r="BI189" s="60" t="e">
        <f ca="1">AVERAGE(OFFSET($BH$3,0,0,'Données projet'!$E$11+1,1))-AVERAGE(OFFSET($H$3,0,0,'Données projet'!$E$11+1,1))</f>
        <v>#N/A</v>
      </c>
      <c r="BJ189" s="60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0" t="e">
        <f t="shared" si="119"/>
        <v>#N/A</v>
      </c>
      <c r="CD189" s="60" t="e">
        <f ca="1">AVERAGE(OFFSET($CC$3,0,0,'Données projet'!$E$12+1,1))-AVERAGE(OFFSET($H$3,0,0,'Données projet'!$E$12+1,1))</f>
        <v>#N/A</v>
      </c>
      <c r="CE189" s="60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-8.4419298218563211E-13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415.50509041799154</v>
      </c>
      <c r="CZ189" s="60">
        <f t="shared" si="150"/>
        <v>239.93573789765657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-9.6633812063373625E-13</v>
      </c>
      <c r="DP189" s="18">
        <f>DO189*VLOOKUP('Données projet'!$B$14,Paramètres!$A$1:$I$89,3,0)*VLOOKUP('Données projet'!$B$14,Paramètres!$A$1:$I$89,5,0)</f>
        <v>-9.7986685432260874E-13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475.47920969424894</v>
      </c>
      <c r="DU189" s="60">
        <f t="shared" si="152"/>
        <v>271.73544012419364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-9.6633812063373625E-13</v>
      </c>
      <c r="EK189" s="18">
        <f>EJ189*VLOOKUP('Données projet'!$B$15,Paramètres!$A$1:$I$89,3,0)*VLOOKUP('Données projet'!$B$15,Paramètres!$A$1:$I$89,5,0)</f>
        <v>-8.7434273154940449E-13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428.8489304403459</v>
      </c>
      <c r="EP189" s="60">
        <f t="shared" si="154"/>
        <v>247.01165577562966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-9.6633812063373625E-13</v>
      </c>
      <c r="FF189" s="18">
        <f>FE189*VLOOKUP('Données projet'!$B$16,Paramètres!$A$1:$I$89,3,0)*VLOOKUP('Données projet'!$B$16,Paramètres!$A$1:$I$89,5,0)</f>
        <v>-9.3464223027694966E-13</v>
      </c>
      <c r="FG189" s="14" t="e">
        <f t="shared" si="182"/>
        <v>#NUM!</v>
      </c>
      <c r="FH189" s="22" t="e">
        <f t="shared" si="183"/>
        <v>#NUM!</v>
      </c>
      <c r="FI189" s="60" t="e">
        <f t="shared" si="131"/>
        <v>#NUM!</v>
      </c>
      <c r="FJ189" s="60">
        <f ca="1">AVERAGE(OFFSET($FI$3,0,0,'Données projet'!$E$16+1,1))-AVERAGE(OFFSET($H$3,0,0,'Données projet'!$E$16+1,1))</f>
        <v>455.50822833641354</v>
      </c>
      <c r="FK189" s="60">
        <f t="shared" si="156"/>
        <v>261.14722581688039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 t="e">
        <f>N190*VLOOKUP('Données projet'!$B$9,Paramètres!$A$1:$I$89,3,0)*VLOOKUP('Données projet'!$B$9,Paramètres!$A$1:$I$89,5,0)</f>
        <v>#N/A</v>
      </c>
      <c r="P190" s="14" t="e">
        <f t="shared" si="141"/>
        <v>#N/A</v>
      </c>
      <c r="Q190" s="22" t="e">
        <f t="shared" si="162"/>
        <v>#N/A</v>
      </c>
      <c r="R190" s="60" t="e">
        <f t="shared" si="109"/>
        <v>#N/A</v>
      </c>
      <c r="S190" s="60" t="e">
        <f ca="1">AVERAGE(OFFSET($R$3,0,0,'Données projet'!$E$9+1,1))-AVERAGE(OFFSET($H$3,0,0,'Données projet'!$E$9+1,1))</f>
        <v>#N/A</v>
      </c>
      <c r="T190" s="60" t="e">
        <f t="shared" si="142"/>
        <v>#N/A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 t="e">
        <f>EXP(-LN(2)/35)*Z189+(1-EXP(-LN(2)/35))/(LN(2)/35)*V190*W190*VLOOKUP('Données projet'!$B$9,Paramètres!$A$1:$I$89,3,0)*0.475*44/12</f>
        <v>#N/A</v>
      </c>
      <c r="AA190" s="23" t="e">
        <f>EXP(-LN(2)/25)*AA189+(1-EXP(-LN(2)/25))/(LN(2)/25)*Calculateur!V190*Calculateur!X190*VLOOKUP('Données projet'!$B$9,Paramètres!$A$1:$I$89,3,0)*0.475*44/12</f>
        <v>#N/A</v>
      </c>
      <c r="AB190" s="23" t="e">
        <f>EXP(-LN(2)/2)*AB189+(1-EXP(-LN(2)/2))/(LN(2)/2)*V190*Y190*VLOOKUP('Données projet'!$B$9,Paramètres!$A$1:$I$89,3,0)*0.475*44/12</f>
        <v>#N/A</v>
      </c>
      <c r="AC190" s="24" t="e">
        <f t="shared" si="163"/>
        <v>#N/A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1.9863364286720756E-13</v>
      </c>
      <c r="AK190" s="14">
        <f t="shared" si="164"/>
        <v>2.7549360720371426E-12</v>
      </c>
      <c r="AL190" s="22">
        <f t="shared" si="165"/>
        <v>5.144133920125077E-12</v>
      </c>
      <c r="AM190" s="60">
        <f t="shared" si="113"/>
        <v>293.33333333333843</v>
      </c>
      <c r="AN190" s="60">
        <f ca="1">AVERAGE(OFFSET($AM$3,0,0,'Données projet'!$E$10+1,1))-AVERAGE(OFFSET($H$3,0,0,'Données projet'!$E$10+1,1))</f>
        <v>325.06345339097095</v>
      </c>
      <c r="AO190" s="60">
        <f t="shared" si="144"/>
        <v>318.90379036810754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0" t="e">
        <f t="shared" si="116"/>
        <v>#N/A</v>
      </c>
      <c r="BI190" s="60" t="e">
        <f ca="1">AVERAGE(OFFSET($BH$3,0,0,'Données projet'!$E$11+1,1))-AVERAGE(OFFSET($H$3,0,0,'Données projet'!$E$11+1,1))</f>
        <v>#N/A</v>
      </c>
      <c r="BJ190" s="60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0" t="e">
        <f t="shared" si="119"/>
        <v>#N/A</v>
      </c>
      <c r="CD190" s="60" t="e">
        <f ca="1">AVERAGE(OFFSET($CC$3,0,0,'Données projet'!$E$12+1,1))-AVERAGE(OFFSET($H$3,0,0,'Données projet'!$E$12+1,1))</f>
        <v>#N/A</v>
      </c>
      <c r="CE190" s="60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-8.4419298218563211E-13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415.50509041799154</v>
      </c>
      <c r="CZ190" s="60">
        <f t="shared" si="150"/>
        <v>239.93573789765657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-9.6633812063373625E-13</v>
      </c>
      <c r="DP190" s="18">
        <f>DO190*VLOOKUP('Données projet'!$B$14,Paramètres!$A$1:$I$89,3,0)*VLOOKUP('Données projet'!$B$14,Paramètres!$A$1:$I$89,5,0)</f>
        <v>-9.7986685432260874E-13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475.47920969424894</v>
      </c>
      <c r="DU190" s="60">
        <f t="shared" si="152"/>
        <v>271.73544012419364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-9.6633812063373625E-13</v>
      </c>
      <c r="EK190" s="18">
        <f>EJ190*VLOOKUP('Données projet'!$B$15,Paramètres!$A$1:$I$89,3,0)*VLOOKUP('Données projet'!$B$15,Paramètres!$A$1:$I$89,5,0)</f>
        <v>-8.7434273154940449E-13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428.8489304403459</v>
      </c>
      <c r="EP190" s="60">
        <f t="shared" si="154"/>
        <v>247.01165577562966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-9.6633812063373625E-13</v>
      </c>
      <c r="FF190" s="18">
        <f>FE190*VLOOKUP('Données projet'!$B$16,Paramètres!$A$1:$I$89,3,0)*VLOOKUP('Données projet'!$B$16,Paramètres!$A$1:$I$89,5,0)</f>
        <v>-9.3464223027694966E-13</v>
      </c>
      <c r="FG190" s="14" t="e">
        <f t="shared" si="182"/>
        <v>#NUM!</v>
      </c>
      <c r="FH190" s="22" t="e">
        <f t="shared" si="183"/>
        <v>#NUM!</v>
      </c>
      <c r="FI190" s="60" t="e">
        <f t="shared" si="131"/>
        <v>#NUM!</v>
      </c>
      <c r="FJ190" s="60">
        <f ca="1">AVERAGE(OFFSET($FI$3,0,0,'Données projet'!$E$16+1,1))-AVERAGE(OFFSET($H$3,0,0,'Données projet'!$E$16+1,1))</f>
        <v>455.50822833641354</v>
      </c>
      <c r="FK190" s="60">
        <f t="shared" si="156"/>
        <v>261.14722581688039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 t="e">
        <f>N191*VLOOKUP('Données projet'!$B$9,Paramètres!$A$1:$I$89,3,0)*VLOOKUP('Données projet'!$B$9,Paramètres!$A$1:$I$89,5,0)</f>
        <v>#N/A</v>
      </c>
      <c r="P191" s="14" t="e">
        <f t="shared" si="141"/>
        <v>#N/A</v>
      </c>
      <c r="Q191" s="22" t="e">
        <f t="shared" si="162"/>
        <v>#N/A</v>
      </c>
      <c r="R191" s="60" t="e">
        <f t="shared" si="109"/>
        <v>#N/A</v>
      </c>
      <c r="S191" s="60" t="e">
        <f ca="1">AVERAGE(OFFSET($R$3,0,0,'Données projet'!$E$9+1,1))-AVERAGE(OFFSET($H$3,0,0,'Données projet'!$E$9+1,1))</f>
        <v>#N/A</v>
      </c>
      <c r="T191" s="60" t="e">
        <f t="shared" si="142"/>
        <v>#N/A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 t="e">
        <f>EXP(-LN(2)/35)*Z190+(1-EXP(-LN(2)/35))/(LN(2)/35)*V191*W191*VLOOKUP('Données projet'!$B$9,Paramètres!$A$1:$I$89,3,0)*0.475*44/12</f>
        <v>#N/A</v>
      </c>
      <c r="AA191" s="23" t="e">
        <f>EXP(-LN(2)/25)*AA190+(1-EXP(-LN(2)/25))/(LN(2)/25)*Calculateur!V191*Calculateur!X191*VLOOKUP('Données projet'!$B$9,Paramètres!$A$1:$I$89,3,0)*0.475*44/12</f>
        <v>#N/A</v>
      </c>
      <c r="AB191" s="23" t="e">
        <f>EXP(-LN(2)/2)*AB190+(1-EXP(-LN(2)/2))/(LN(2)/2)*V191*Y191*VLOOKUP('Données projet'!$B$9,Paramètres!$A$1:$I$89,3,0)*0.475*44/12</f>
        <v>#N/A</v>
      </c>
      <c r="AC191" s="24" t="e">
        <f t="shared" si="163"/>
        <v>#N/A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1.9863364286720756E-13</v>
      </c>
      <c r="AK191" s="14">
        <f t="shared" si="164"/>
        <v>2.7549360720371426E-12</v>
      </c>
      <c r="AL191" s="22">
        <f t="shared" si="165"/>
        <v>5.144133920125077E-12</v>
      </c>
      <c r="AM191" s="60">
        <f t="shared" si="113"/>
        <v>293.33333333333843</v>
      </c>
      <c r="AN191" s="60">
        <f ca="1">AVERAGE(OFFSET($AM$3,0,0,'Données projet'!$E$10+1,1))-AVERAGE(OFFSET($H$3,0,0,'Données projet'!$E$10+1,1))</f>
        <v>325.06345339097095</v>
      </c>
      <c r="AO191" s="60">
        <f t="shared" si="144"/>
        <v>318.90379036810754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0" t="e">
        <f t="shared" si="116"/>
        <v>#N/A</v>
      </c>
      <c r="BI191" s="60" t="e">
        <f ca="1">AVERAGE(OFFSET($BH$3,0,0,'Données projet'!$E$11+1,1))-AVERAGE(OFFSET($H$3,0,0,'Données projet'!$E$11+1,1))</f>
        <v>#N/A</v>
      </c>
      <c r="BJ191" s="60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0" t="e">
        <f t="shared" si="119"/>
        <v>#N/A</v>
      </c>
      <c r="CD191" s="60" t="e">
        <f ca="1">AVERAGE(OFFSET($CC$3,0,0,'Données projet'!$E$12+1,1))-AVERAGE(OFFSET($H$3,0,0,'Données projet'!$E$12+1,1))</f>
        <v>#N/A</v>
      </c>
      <c r="CE191" s="60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-8.4419298218563211E-13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415.50509041799154</v>
      </c>
      <c r="CZ191" s="60">
        <f t="shared" si="150"/>
        <v>239.93573789765657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-9.6633812063373625E-13</v>
      </c>
      <c r="DP191" s="18">
        <f>DO191*VLOOKUP('Données projet'!$B$14,Paramètres!$A$1:$I$89,3,0)*VLOOKUP('Données projet'!$B$14,Paramètres!$A$1:$I$89,5,0)</f>
        <v>-9.7986685432260874E-13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475.47920969424894</v>
      </c>
      <c r="DU191" s="60">
        <f t="shared" si="152"/>
        <v>271.73544012419364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-9.6633812063373625E-13</v>
      </c>
      <c r="EK191" s="18">
        <f>EJ191*VLOOKUP('Données projet'!$B$15,Paramètres!$A$1:$I$89,3,0)*VLOOKUP('Données projet'!$B$15,Paramètres!$A$1:$I$89,5,0)</f>
        <v>-8.7434273154940449E-13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428.8489304403459</v>
      </c>
      <c r="EP191" s="60">
        <f t="shared" si="154"/>
        <v>247.01165577562966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-9.6633812063373625E-13</v>
      </c>
      <c r="FF191" s="18">
        <f>FE191*VLOOKUP('Données projet'!$B$16,Paramètres!$A$1:$I$89,3,0)*VLOOKUP('Données projet'!$B$16,Paramètres!$A$1:$I$89,5,0)</f>
        <v>-9.3464223027694966E-13</v>
      </c>
      <c r="FG191" s="14" t="e">
        <f t="shared" si="182"/>
        <v>#NUM!</v>
      </c>
      <c r="FH191" s="22" t="e">
        <f t="shared" si="183"/>
        <v>#NUM!</v>
      </c>
      <c r="FI191" s="60" t="e">
        <f t="shared" si="131"/>
        <v>#NUM!</v>
      </c>
      <c r="FJ191" s="60">
        <f ca="1">AVERAGE(OFFSET($FI$3,0,0,'Données projet'!$E$16+1,1))-AVERAGE(OFFSET($H$3,0,0,'Données projet'!$E$16+1,1))</f>
        <v>455.50822833641354</v>
      </c>
      <c r="FK191" s="60">
        <f t="shared" si="156"/>
        <v>261.14722581688039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 t="e">
        <f>N192*VLOOKUP('Données projet'!$B$9,Paramètres!$A$1:$I$89,3,0)*VLOOKUP('Données projet'!$B$9,Paramètres!$A$1:$I$89,5,0)</f>
        <v>#N/A</v>
      </c>
      <c r="P192" s="14" t="e">
        <f t="shared" si="141"/>
        <v>#N/A</v>
      </c>
      <c r="Q192" s="22" t="e">
        <f t="shared" si="162"/>
        <v>#N/A</v>
      </c>
      <c r="R192" s="60" t="e">
        <f t="shared" si="109"/>
        <v>#N/A</v>
      </c>
      <c r="S192" s="60" t="e">
        <f ca="1">AVERAGE(OFFSET($R$3,0,0,'Données projet'!$E$9+1,1))-AVERAGE(OFFSET($H$3,0,0,'Données projet'!$E$9+1,1))</f>
        <v>#N/A</v>
      </c>
      <c r="T192" s="60" t="e">
        <f t="shared" si="142"/>
        <v>#N/A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 t="e">
        <f>EXP(-LN(2)/35)*Z191+(1-EXP(-LN(2)/35))/(LN(2)/35)*V192*W192*VLOOKUP('Données projet'!$B$9,Paramètres!$A$1:$I$89,3,0)*0.475*44/12</f>
        <v>#N/A</v>
      </c>
      <c r="AA192" s="23" t="e">
        <f>EXP(-LN(2)/25)*AA191+(1-EXP(-LN(2)/25))/(LN(2)/25)*Calculateur!V192*Calculateur!X192*VLOOKUP('Données projet'!$B$9,Paramètres!$A$1:$I$89,3,0)*0.475*44/12</f>
        <v>#N/A</v>
      </c>
      <c r="AB192" s="23" t="e">
        <f>EXP(-LN(2)/2)*AB191+(1-EXP(-LN(2)/2))/(LN(2)/2)*V192*Y192*VLOOKUP('Données projet'!$B$9,Paramètres!$A$1:$I$89,3,0)*0.475*44/12</f>
        <v>#N/A</v>
      </c>
      <c r="AC192" s="24" t="e">
        <f t="shared" si="163"/>
        <v>#N/A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1.9863364286720756E-13</v>
      </c>
      <c r="AK192" s="14">
        <f t="shared" si="164"/>
        <v>2.7549360720371426E-12</v>
      </c>
      <c r="AL192" s="22">
        <f t="shared" si="165"/>
        <v>5.144133920125077E-12</v>
      </c>
      <c r="AM192" s="60">
        <f t="shared" si="113"/>
        <v>293.33333333333843</v>
      </c>
      <c r="AN192" s="60">
        <f ca="1">AVERAGE(OFFSET($AM$3,0,0,'Données projet'!$E$10+1,1))-AVERAGE(OFFSET($H$3,0,0,'Données projet'!$E$10+1,1))</f>
        <v>325.06345339097095</v>
      </c>
      <c r="AO192" s="60">
        <f t="shared" si="144"/>
        <v>318.90379036810754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0" t="e">
        <f t="shared" si="116"/>
        <v>#N/A</v>
      </c>
      <c r="BI192" s="60" t="e">
        <f ca="1">AVERAGE(OFFSET($BH$3,0,0,'Données projet'!$E$11+1,1))-AVERAGE(OFFSET($H$3,0,0,'Données projet'!$E$11+1,1))</f>
        <v>#N/A</v>
      </c>
      <c r="BJ192" s="60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0" t="e">
        <f t="shared" si="119"/>
        <v>#N/A</v>
      </c>
      <c r="CD192" s="60" t="e">
        <f ca="1">AVERAGE(OFFSET($CC$3,0,0,'Données projet'!$E$12+1,1))-AVERAGE(OFFSET($H$3,0,0,'Données projet'!$E$12+1,1))</f>
        <v>#N/A</v>
      </c>
      <c r="CE192" s="60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-8.4419298218563211E-13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415.50509041799154</v>
      </c>
      <c r="CZ192" s="60">
        <f t="shared" si="150"/>
        <v>239.93573789765657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-9.6633812063373625E-13</v>
      </c>
      <c r="DP192" s="18">
        <f>DO192*VLOOKUP('Données projet'!$B$14,Paramètres!$A$1:$I$89,3,0)*VLOOKUP('Données projet'!$B$14,Paramètres!$A$1:$I$89,5,0)</f>
        <v>-9.7986685432260874E-13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475.47920969424894</v>
      </c>
      <c r="DU192" s="60">
        <f t="shared" si="152"/>
        <v>271.73544012419364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-9.6633812063373625E-13</v>
      </c>
      <c r="EK192" s="18">
        <f>EJ192*VLOOKUP('Données projet'!$B$15,Paramètres!$A$1:$I$89,3,0)*VLOOKUP('Données projet'!$B$15,Paramètres!$A$1:$I$89,5,0)</f>
        <v>-8.7434273154940449E-13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428.8489304403459</v>
      </c>
      <c r="EP192" s="60">
        <f t="shared" si="154"/>
        <v>247.01165577562966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-9.6633812063373625E-13</v>
      </c>
      <c r="FF192" s="18">
        <f>FE192*VLOOKUP('Données projet'!$B$16,Paramètres!$A$1:$I$89,3,0)*VLOOKUP('Données projet'!$B$16,Paramètres!$A$1:$I$89,5,0)</f>
        <v>-9.3464223027694966E-13</v>
      </c>
      <c r="FG192" s="14" t="e">
        <f t="shared" si="182"/>
        <v>#NUM!</v>
      </c>
      <c r="FH192" s="22" t="e">
        <f t="shared" si="183"/>
        <v>#NUM!</v>
      </c>
      <c r="FI192" s="60" t="e">
        <f t="shared" si="131"/>
        <v>#NUM!</v>
      </c>
      <c r="FJ192" s="60">
        <f ca="1">AVERAGE(OFFSET($FI$3,0,0,'Données projet'!$E$16+1,1))-AVERAGE(OFFSET($H$3,0,0,'Données projet'!$E$16+1,1))</f>
        <v>455.50822833641354</v>
      </c>
      <c r="FK192" s="60">
        <f t="shared" si="156"/>
        <v>261.14722581688039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 t="e">
        <f>N193*VLOOKUP('Données projet'!$B$9,Paramètres!$A$1:$I$89,3,0)*VLOOKUP('Données projet'!$B$9,Paramètres!$A$1:$I$89,5,0)</f>
        <v>#N/A</v>
      </c>
      <c r="P193" s="14" t="e">
        <f t="shared" si="141"/>
        <v>#N/A</v>
      </c>
      <c r="Q193" s="22" t="e">
        <f t="shared" si="162"/>
        <v>#N/A</v>
      </c>
      <c r="R193" s="60" t="e">
        <f t="shared" si="109"/>
        <v>#N/A</v>
      </c>
      <c r="S193" s="60" t="e">
        <f ca="1">AVERAGE(OFFSET($R$3,0,0,'Données projet'!$E$9+1,1))-AVERAGE(OFFSET($H$3,0,0,'Données projet'!$E$9+1,1))</f>
        <v>#N/A</v>
      </c>
      <c r="T193" s="60" t="e">
        <f t="shared" si="142"/>
        <v>#N/A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 t="e">
        <f>EXP(-LN(2)/35)*Z192+(1-EXP(-LN(2)/35))/(LN(2)/35)*V193*W193*VLOOKUP('Données projet'!$B$9,Paramètres!$A$1:$I$89,3,0)*0.475*44/12</f>
        <v>#N/A</v>
      </c>
      <c r="AA193" s="23" t="e">
        <f>EXP(-LN(2)/25)*AA192+(1-EXP(-LN(2)/25))/(LN(2)/25)*Calculateur!V193*Calculateur!X193*VLOOKUP('Données projet'!$B$9,Paramètres!$A$1:$I$89,3,0)*0.475*44/12</f>
        <v>#N/A</v>
      </c>
      <c r="AB193" s="23" t="e">
        <f>EXP(-LN(2)/2)*AB192+(1-EXP(-LN(2)/2))/(LN(2)/2)*V193*Y193*VLOOKUP('Données projet'!$B$9,Paramètres!$A$1:$I$89,3,0)*0.475*44/12</f>
        <v>#N/A</v>
      </c>
      <c r="AC193" s="24" t="e">
        <f t="shared" si="163"/>
        <v>#N/A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1.9863364286720756E-13</v>
      </c>
      <c r="AK193" s="14">
        <f t="shared" si="164"/>
        <v>2.7549360720371426E-12</v>
      </c>
      <c r="AL193" s="22">
        <f t="shared" si="165"/>
        <v>5.144133920125077E-12</v>
      </c>
      <c r="AM193" s="60">
        <f t="shared" si="113"/>
        <v>293.33333333333843</v>
      </c>
      <c r="AN193" s="60">
        <f ca="1">AVERAGE(OFFSET($AM$3,0,0,'Données projet'!$E$10+1,1))-AVERAGE(OFFSET($H$3,0,0,'Données projet'!$E$10+1,1))</f>
        <v>325.06345339097095</v>
      </c>
      <c r="AO193" s="60">
        <f t="shared" si="144"/>
        <v>318.90379036810754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0" t="e">
        <f t="shared" si="116"/>
        <v>#N/A</v>
      </c>
      <c r="BI193" s="60" t="e">
        <f ca="1">AVERAGE(OFFSET($BH$3,0,0,'Données projet'!$E$11+1,1))-AVERAGE(OFFSET($H$3,0,0,'Données projet'!$E$11+1,1))</f>
        <v>#N/A</v>
      </c>
      <c r="BJ193" s="60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0" t="e">
        <f t="shared" si="119"/>
        <v>#N/A</v>
      </c>
      <c r="CD193" s="60" t="e">
        <f ca="1">AVERAGE(OFFSET($CC$3,0,0,'Données projet'!$E$12+1,1))-AVERAGE(OFFSET($H$3,0,0,'Données projet'!$E$12+1,1))</f>
        <v>#N/A</v>
      </c>
      <c r="CE193" s="60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-8.4419298218563211E-13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415.50509041799154</v>
      </c>
      <c r="CZ193" s="60">
        <f t="shared" si="150"/>
        <v>239.93573789765657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-9.6633812063373625E-13</v>
      </c>
      <c r="DP193" s="18">
        <f>DO193*VLOOKUP('Données projet'!$B$14,Paramètres!$A$1:$I$89,3,0)*VLOOKUP('Données projet'!$B$14,Paramètres!$A$1:$I$89,5,0)</f>
        <v>-9.7986685432260874E-13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475.47920969424894</v>
      </c>
      <c r="DU193" s="60">
        <f t="shared" si="152"/>
        <v>271.73544012419364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-9.6633812063373625E-13</v>
      </c>
      <c r="EK193" s="18">
        <f>EJ193*VLOOKUP('Données projet'!$B$15,Paramètres!$A$1:$I$89,3,0)*VLOOKUP('Données projet'!$B$15,Paramètres!$A$1:$I$89,5,0)</f>
        <v>-8.7434273154940449E-13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428.8489304403459</v>
      </c>
      <c r="EP193" s="60">
        <f t="shared" si="154"/>
        <v>247.01165577562966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-9.6633812063373625E-13</v>
      </c>
      <c r="FF193" s="18">
        <f>FE193*VLOOKUP('Données projet'!$B$16,Paramètres!$A$1:$I$89,3,0)*VLOOKUP('Données projet'!$B$16,Paramètres!$A$1:$I$89,5,0)</f>
        <v>-9.3464223027694966E-13</v>
      </c>
      <c r="FG193" s="14" t="e">
        <f t="shared" si="182"/>
        <v>#NUM!</v>
      </c>
      <c r="FH193" s="22" t="e">
        <f t="shared" si="183"/>
        <v>#NUM!</v>
      </c>
      <c r="FI193" s="60" t="e">
        <f t="shared" si="131"/>
        <v>#NUM!</v>
      </c>
      <c r="FJ193" s="60">
        <f ca="1">AVERAGE(OFFSET($FI$3,0,0,'Données projet'!$E$16+1,1))-AVERAGE(OFFSET($H$3,0,0,'Données projet'!$E$16+1,1))</f>
        <v>455.50822833641354</v>
      </c>
      <c r="FK193" s="60">
        <f t="shared" si="156"/>
        <v>261.14722581688039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 t="e">
        <f>N194*VLOOKUP('Données projet'!$B$9,Paramètres!$A$1:$I$89,3,0)*VLOOKUP('Données projet'!$B$9,Paramètres!$A$1:$I$89,5,0)</f>
        <v>#N/A</v>
      </c>
      <c r="P194" s="14" t="e">
        <f t="shared" si="141"/>
        <v>#N/A</v>
      </c>
      <c r="Q194" s="22" t="e">
        <f t="shared" si="162"/>
        <v>#N/A</v>
      </c>
      <c r="R194" s="60" t="e">
        <f t="shared" si="109"/>
        <v>#N/A</v>
      </c>
      <c r="S194" s="60" t="e">
        <f ca="1">AVERAGE(OFFSET($R$3,0,0,'Données projet'!$E$9+1,1))-AVERAGE(OFFSET($H$3,0,0,'Données projet'!$E$9+1,1))</f>
        <v>#N/A</v>
      </c>
      <c r="T194" s="60" t="e">
        <f t="shared" si="142"/>
        <v>#N/A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 t="e">
        <f>EXP(-LN(2)/35)*Z193+(1-EXP(-LN(2)/35))/(LN(2)/35)*V194*W194*VLOOKUP('Données projet'!$B$9,Paramètres!$A$1:$I$89,3,0)*0.475*44/12</f>
        <v>#N/A</v>
      </c>
      <c r="AA194" s="23" t="e">
        <f>EXP(-LN(2)/25)*AA193+(1-EXP(-LN(2)/25))/(LN(2)/25)*Calculateur!V194*Calculateur!X194*VLOOKUP('Données projet'!$B$9,Paramètres!$A$1:$I$89,3,0)*0.475*44/12</f>
        <v>#N/A</v>
      </c>
      <c r="AB194" s="23" t="e">
        <f>EXP(-LN(2)/2)*AB193+(1-EXP(-LN(2)/2))/(LN(2)/2)*V194*Y194*VLOOKUP('Données projet'!$B$9,Paramètres!$A$1:$I$89,3,0)*0.475*44/12</f>
        <v>#N/A</v>
      </c>
      <c r="AC194" s="24" t="e">
        <f t="shared" si="163"/>
        <v>#N/A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1.9863364286720756E-13</v>
      </c>
      <c r="AK194" s="14">
        <f t="shared" si="164"/>
        <v>2.7549360720371426E-12</v>
      </c>
      <c r="AL194" s="22">
        <f t="shared" si="165"/>
        <v>5.144133920125077E-12</v>
      </c>
      <c r="AM194" s="60">
        <f t="shared" si="113"/>
        <v>293.33333333333843</v>
      </c>
      <c r="AN194" s="60">
        <f ca="1">AVERAGE(OFFSET($AM$3,0,0,'Données projet'!$E$10+1,1))-AVERAGE(OFFSET($H$3,0,0,'Données projet'!$E$10+1,1))</f>
        <v>325.06345339097095</v>
      </c>
      <c r="AO194" s="60">
        <f t="shared" si="144"/>
        <v>318.90379036810754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0" t="e">
        <f t="shared" si="116"/>
        <v>#N/A</v>
      </c>
      <c r="BI194" s="60" t="e">
        <f ca="1">AVERAGE(OFFSET($BH$3,0,0,'Données projet'!$E$11+1,1))-AVERAGE(OFFSET($H$3,0,0,'Données projet'!$E$11+1,1))</f>
        <v>#N/A</v>
      </c>
      <c r="BJ194" s="60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0" t="e">
        <f t="shared" si="119"/>
        <v>#N/A</v>
      </c>
      <c r="CD194" s="60" t="e">
        <f ca="1">AVERAGE(OFFSET($CC$3,0,0,'Données projet'!$E$12+1,1))-AVERAGE(OFFSET($H$3,0,0,'Données projet'!$E$12+1,1))</f>
        <v>#N/A</v>
      </c>
      <c r="CE194" s="60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-8.4419298218563211E-13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415.50509041799154</v>
      </c>
      <c r="CZ194" s="60">
        <f t="shared" si="150"/>
        <v>239.93573789765657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-9.6633812063373625E-13</v>
      </c>
      <c r="DP194" s="18">
        <f>DO194*VLOOKUP('Données projet'!$B$14,Paramètres!$A$1:$I$89,3,0)*VLOOKUP('Données projet'!$B$14,Paramètres!$A$1:$I$89,5,0)</f>
        <v>-9.7986685432260874E-13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475.47920969424894</v>
      </c>
      <c r="DU194" s="60">
        <f t="shared" si="152"/>
        <v>271.73544012419364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-9.6633812063373625E-13</v>
      </c>
      <c r="EK194" s="18">
        <f>EJ194*VLOOKUP('Données projet'!$B$15,Paramètres!$A$1:$I$89,3,0)*VLOOKUP('Données projet'!$B$15,Paramètres!$A$1:$I$89,5,0)</f>
        <v>-8.7434273154940449E-13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428.8489304403459</v>
      </c>
      <c r="EP194" s="60">
        <f t="shared" si="154"/>
        <v>247.01165577562966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-9.6633812063373625E-13</v>
      </c>
      <c r="FF194" s="18">
        <f>FE194*VLOOKUP('Données projet'!$B$16,Paramètres!$A$1:$I$89,3,0)*VLOOKUP('Données projet'!$B$16,Paramètres!$A$1:$I$89,5,0)</f>
        <v>-9.3464223027694966E-13</v>
      </c>
      <c r="FG194" s="14" t="e">
        <f t="shared" si="182"/>
        <v>#NUM!</v>
      </c>
      <c r="FH194" s="22" t="e">
        <f t="shared" si="183"/>
        <v>#NUM!</v>
      </c>
      <c r="FI194" s="60" t="e">
        <f t="shared" si="131"/>
        <v>#NUM!</v>
      </c>
      <c r="FJ194" s="60">
        <f ca="1">AVERAGE(OFFSET($FI$3,0,0,'Données projet'!$E$16+1,1))-AVERAGE(OFFSET($H$3,0,0,'Données projet'!$E$16+1,1))</f>
        <v>455.50822833641354</v>
      </c>
      <c r="FK194" s="60">
        <f t="shared" si="156"/>
        <v>261.14722581688039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 t="e">
        <f>N195*VLOOKUP('Données projet'!$B$9,Paramètres!$A$1:$I$89,3,0)*VLOOKUP('Données projet'!$B$9,Paramètres!$A$1:$I$89,5,0)</f>
        <v>#N/A</v>
      </c>
      <c r="P195" s="14" t="e">
        <f t="shared" si="141"/>
        <v>#N/A</v>
      </c>
      <c r="Q195" s="22" t="e">
        <f t="shared" si="162"/>
        <v>#N/A</v>
      </c>
      <c r="R195" s="60" t="e">
        <f t="shared" ref="R195:R203" si="191">Q195+(I195+J195)*44/12</f>
        <v>#N/A</v>
      </c>
      <c r="S195" s="60" t="e">
        <f ca="1">AVERAGE(OFFSET($R$3,0,0,'Données projet'!$E$9+1,1))-AVERAGE(OFFSET($H$3,0,0,'Données projet'!$E$9+1,1))</f>
        <v>#N/A</v>
      </c>
      <c r="T195" s="60" t="e">
        <f t="shared" si="142"/>
        <v>#N/A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 t="e">
        <f>EXP(-LN(2)/35)*Z194+(1-EXP(-LN(2)/35))/(LN(2)/35)*V195*W195*VLOOKUP('Données projet'!$B$9,Paramètres!$A$1:$I$89,3,0)*0.475*44/12</f>
        <v>#N/A</v>
      </c>
      <c r="AA195" s="23" t="e">
        <f>EXP(-LN(2)/25)*AA194+(1-EXP(-LN(2)/25))/(LN(2)/25)*Calculateur!V195*Calculateur!X195*VLOOKUP('Données projet'!$B$9,Paramètres!$A$1:$I$89,3,0)*0.475*44/12</f>
        <v>#N/A</v>
      </c>
      <c r="AB195" s="23" t="e">
        <f>EXP(-LN(2)/2)*AB194+(1-EXP(-LN(2)/2))/(LN(2)/2)*V195*Y195*VLOOKUP('Données projet'!$B$9,Paramètres!$A$1:$I$89,3,0)*0.475*44/12</f>
        <v>#N/A</v>
      </c>
      <c r="AC195" s="24" t="e">
        <f t="shared" si="163"/>
        <v>#N/A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1.9863364286720756E-13</v>
      </c>
      <c r="AK195" s="14">
        <f t="shared" si="164"/>
        <v>2.7549360720371426E-12</v>
      </c>
      <c r="AL195" s="22">
        <f t="shared" si="165"/>
        <v>5.144133920125077E-12</v>
      </c>
      <c r="AM195" s="60">
        <f t="shared" si="113"/>
        <v>293.33333333333843</v>
      </c>
      <c r="AN195" s="60">
        <f ca="1">AVERAGE(OFFSET($AM$3,0,0,'Données projet'!$E$10+1,1))-AVERAGE(OFFSET($H$3,0,0,'Données projet'!$E$10+1,1))</f>
        <v>325.06345339097095</v>
      </c>
      <c r="AO195" s="60">
        <f t="shared" si="144"/>
        <v>318.90379036810754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0" t="e">
        <f t="shared" si="116"/>
        <v>#N/A</v>
      </c>
      <c r="BI195" s="60" t="e">
        <f ca="1">AVERAGE(OFFSET($BH$3,0,0,'Données projet'!$E$11+1,1))-AVERAGE(OFFSET($H$3,0,0,'Données projet'!$E$11+1,1))</f>
        <v>#N/A</v>
      </c>
      <c r="BJ195" s="60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0" t="e">
        <f t="shared" si="119"/>
        <v>#N/A</v>
      </c>
      <c r="CD195" s="60" t="e">
        <f ca="1">AVERAGE(OFFSET($CC$3,0,0,'Données projet'!$E$12+1,1))-AVERAGE(OFFSET($H$3,0,0,'Données projet'!$E$12+1,1))</f>
        <v>#N/A</v>
      </c>
      <c r="CE195" s="60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-8.4419298218563211E-13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415.50509041799154</v>
      </c>
      <c r="CZ195" s="60">
        <f t="shared" si="150"/>
        <v>239.93573789765657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-9.6633812063373625E-13</v>
      </c>
      <c r="DP195" s="18">
        <f>DO195*VLOOKUP('Données projet'!$B$14,Paramètres!$A$1:$I$89,3,0)*VLOOKUP('Données projet'!$B$14,Paramètres!$A$1:$I$89,5,0)</f>
        <v>-9.7986685432260874E-13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475.47920969424894</v>
      </c>
      <c r="DU195" s="60">
        <f t="shared" si="152"/>
        <v>271.73544012419364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-9.6633812063373625E-13</v>
      </c>
      <c r="EK195" s="18">
        <f>EJ195*VLOOKUP('Données projet'!$B$15,Paramètres!$A$1:$I$89,3,0)*VLOOKUP('Données projet'!$B$15,Paramètres!$A$1:$I$89,5,0)</f>
        <v>-8.7434273154940449E-13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428.8489304403459</v>
      </c>
      <c r="EP195" s="60">
        <f t="shared" si="154"/>
        <v>247.01165577562966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-9.6633812063373625E-13</v>
      </c>
      <c r="FF195" s="18">
        <f>FE195*VLOOKUP('Données projet'!$B$16,Paramètres!$A$1:$I$89,3,0)*VLOOKUP('Données projet'!$B$16,Paramètres!$A$1:$I$89,5,0)</f>
        <v>-9.3464223027694966E-13</v>
      </c>
      <c r="FG195" s="14" t="e">
        <f t="shared" si="182"/>
        <v>#NUM!</v>
      </c>
      <c r="FH195" s="22" t="e">
        <f t="shared" si="183"/>
        <v>#NUM!</v>
      </c>
      <c r="FI195" s="60" t="e">
        <f t="shared" si="131"/>
        <v>#NUM!</v>
      </c>
      <c r="FJ195" s="60">
        <f ca="1">AVERAGE(OFFSET($FI$3,0,0,'Données projet'!$E$16+1,1))-AVERAGE(OFFSET($H$3,0,0,'Données projet'!$E$16+1,1))</f>
        <v>455.50822833641354</v>
      </c>
      <c r="FK195" s="60">
        <f t="shared" si="156"/>
        <v>261.14722581688039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 t="e">
        <f>N196*VLOOKUP('Données projet'!$B$9,Paramètres!$A$1:$I$89,3,0)*VLOOKUP('Données projet'!$B$9,Paramètres!$A$1:$I$89,5,0)</f>
        <v>#N/A</v>
      </c>
      <c r="P196" s="14" t="e">
        <f t="shared" si="141"/>
        <v>#N/A</v>
      </c>
      <c r="Q196" s="22" t="e">
        <f t="shared" si="162"/>
        <v>#N/A</v>
      </c>
      <c r="R196" s="60" t="e">
        <f t="shared" si="191"/>
        <v>#N/A</v>
      </c>
      <c r="S196" s="60" t="e">
        <f ca="1">AVERAGE(OFFSET($R$3,0,0,'Données projet'!$E$9+1,1))-AVERAGE(OFFSET($H$3,0,0,'Données projet'!$E$9+1,1))</f>
        <v>#N/A</v>
      </c>
      <c r="T196" s="60" t="e">
        <f t="shared" si="142"/>
        <v>#N/A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 t="e">
        <f>EXP(-LN(2)/35)*Z195+(1-EXP(-LN(2)/35))/(LN(2)/35)*V196*W196*VLOOKUP('Données projet'!$B$9,Paramètres!$A$1:$I$89,3,0)*0.475*44/12</f>
        <v>#N/A</v>
      </c>
      <c r="AA196" s="23" t="e">
        <f>EXP(-LN(2)/25)*AA195+(1-EXP(-LN(2)/25))/(LN(2)/25)*Calculateur!V196*Calculateur!X196*VLOOKUP('Données projet'!$B$9,Paramètres!$A$1:$I$89,3,0)*0.475*44/12</f>
        <v>#N/A</v>
      </c>
      <c r="AB196" s="23" t="e">
        <f>EXP(-LN(2)/2)*AB195+(1-EXP(-LN(2)/2))/(LN(2)/2)*V196*Y196*VLOOKUP('Données projet'!$B$9,Paramètres!$A$1:$I$89,3,0)*0.475*44/12</f>
        <v>#N/A</v>
      </c>
      <c r="AC196" s="24" t="e">
        <f t="shared" si="163"/>
        <v>#N/A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1.9863364286720756E-13</v>
      </c>
      <c r="AK196" s="14">
        <f t="shared" si="164"/>
        <v>2.7549360720371426E-12</v>
      </c>
      <c r="AL196" s="22">
        <f t="shared" si="165"/>
        <v>5.144133920125077E-12</v>
      </c>
      <c r="AM196" s="60">
        <f t="shared" ref="AM196:AM203" si="193">AL196+(AD196+AE196)*44/12</f>
        <v>293.33333333333843</v>
      </c>
      <c r="AN196" s="60">
        <f ca="1">AVERAGE(OFFSET($AM$3,0,0,'Données projet'!$E$10+1,1))-AVERAGE(OFFSET($H$3,0,0,'Données projet'!$E$10+1,1))</f>
        <v>325.06345339097095</v>
      </c>
      <c r="AO196" s="60">
        <f t="shared" si="144"/>
        <v>318.90379036810754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0" t="e">
        <f t="shared" ref="BH196:BH203" si="194">BG196+(AY196+AZ196)*44/12</f>
        <v>#N/A</v>
      </c>
      <c r="BI196" s="60" t="e">
        <f ca="1">AVERAGE(OFFSET($BH$3,0,0,'Données projet'!$E$11+1,1))-AVERAGE(OFFSET($H$3,0,0,'Données projet'!$E$11+1,1))</f>
        <v>#N/A</v>
      </c>
      <c r="BJ196" s="60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0" t="e">
        <f t="shared" ref="CC196:CC203" si="195">CB196+(BT196+BU196)*44/12</f>
        <v>#N/A</v>
      </c>
      <c r="CD196" s="60" t="e">
        <f ca="1">AVERAGE(OFFSET($CC$3,0,0,'Données projet'!$E$12+1,1))-AVERAGE(OFFSET($H$3,0,0,'Données projet'!$E$12+1,1))</f>
        <v>#N/A</v>
      </c>
      <c r="CE196" s="60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-8.4419298218563211E-13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415.50509041799154</v>
      </c>
      <c r="CZ196" s="60">
        <f t="shared" si="150"/>
        <v>239.93573789765657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-9.6633812063373625E-13</v>
      </c>
      <c r="DP196" s="18">
        <f>DO196*VLOOKUP('Données projet'!$B$14,Paramètres!$A$1:$I$89,3,0)*VLOOKUP('Données projet'!$B$14,Paramètres!$A$1:$I$89,5,0)</f>
        <v>-9.7986685432260874E-13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475.47920969424894</v>
      </c>
      <c r="DU196" s="60">
        <f t="shared" si="152"/>
        <v>271.73544012419364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-9.6633812063373625E-13</v>
      </c>
      <c r="EK196" s="18">
        <f>EJ196*VLOOKUP('Données projet'!$B$15,Paramètres!$A$1:$I$89,3,0)*VLOOKUP('Données projet'!$B$15,Paramètres!$A$1:$I$89,5,0)</f>
        <v>-8.7434273154940449E-13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428.8489304403459</v>
      </c>
      <c r="EP196" s="60">
        <f t="shared" si="154"/>
        <v>247.01165577562966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-9.6633812063373625E-13</v>
      </c>
      <c r="FF196" s="18">
        <f>FE196*VLOOKUP('Données projet'!$B$16,Paramètres!$A$1:$I$89,3,0)*VLOOKUP('Données projet'!$B$16,Paramètres!$A$1:$I$89,5,0)</f>
        <v>-9.3464223027694966E-13</v>
      </c>
      <c r="FG196" s="14" t="e">
        <f t="shared" si="182"/>
        <v>#NUM!</v>
      </c>
      <c r="FH196" s="22" t="e">
        <f t="shared" si="183"/>
        <v>#NUM!</v>
      </c>
      <c r="FI196" s="60" t="e">
        <f t="shared" ref="FI196:FI203" si="199">FH196+(EZ196+FA196)*44/12</f>
        <v>#NUM!</v>
      </c>
      <c r="FJ196" s="60">
        <f ca="1">AVERAGE(OFFSET($FI$3,0,0,'Données projet'!$E$16+1,1))-AVERAGE(OFFSET($H$3,0,0,'Données projet'!$E$16+1,1))</f>
        <v>455.50822833641354</v>
      </c>
      <c r="FK196" s="60">
        <f t="shared" si="156"/>
        <v>261.14722581688039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 t="e">
        <f>N197*VLOOKUP('Données projet'!$B$9,Paramètres!$A$1:$I$89,3,0)*VLOOKUP('Données projet'!$B$9,Paramètres!$A$1:$I$89,5,0)</f>
        <v>#N/A</v>
      </c>
      <c r="P197" s="14" t="e">
        <f t="shared" ref="P197:P203" si="203">EXP(-1.0587+0.8836*LN(O197)+0.284)</f>
        <v>#N/A</v>
      </c>
      <c r="Q197" s="22" t="e">
        <f t="shared" si="162"/>
        <v>#N/A</v>
      </c>
      <c r="R197" s="60" t="e">
        <f t="shared" si="191"/>
        <v>#N/A</v>
      </c>
      <c r="S197" s="60" t="e">
        <f ca="1">AVERAGE(OFFSET($R$3,0,0,'Données projet'!$E$9+1,1))-AVERAGE(OFFSET($H$3,0,0,'Données projet'!$E$9+1,1))</f>
        <v>#N/A</v>
      </c>
      <c r="T197" s="60" t="e">
        <f t="shared" ref="T197:T203" si="204">$T$3</f>
        <v>#N/A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 t="e">
        <f>EXP(-LN(2)/35)*Z196+(1-EXP(-LN(2)/35))/(LN(2)/35)*V197*W197*VLOOKUP('Données projet'!$B$9,Paramètres!$A$1:$I$89,3,0)*0.475*44/12</f>
        <v>#N/A</v>
      </c>
      <c r="AA197" s="23" t="e">
        <f>EXP(-LN(2)/25)*AA196+(1-EXP(-LN(2)/25))/(LN(2)/25)*Calculateur!V197*Calculateur!X197*VLOOKUP('Données projet'!$B$9,Paramètres!$A$1:$I$89,3,0)*0.475*44/12</f>
        <v>#N/A</v>
      </c>
      <c r="AB197" s="23" t="e">
        <f>EXP(-LN(2)/2)*AB196+(1-EXP(-LN(2)/2))/(LN(2)/2)*V197*Y197*VLOOKUP('Données projet'!$B$9,Paramètres!$A$1:$I$89,3,0)*0.475*44/12</f>
        <v>#N/A</v>
      </c>
      <c r="AC197" s="24" t="e">
        <f t="shared" si="163"/>
        <v>#N/A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1.9863364286720756E-13</v>
      </c>
      <c r="AK197" s="14">
        <f t="shared" si="164"/>
        <v>2.7549360720371426E-12</v>
      </c>
      <c r="AL197" s="22">
        <f t="shared" si="165"/>
        <v>5.144133920125077E-12</v>
      </c>
      <c r="AM197" s="60">
        <f t="shared" si="193"/>
        <v>293.33333333333843</v>
      </c>
      <c r="AN197" s="60">
        <f ca="1">AVERAGE(OFFSET($AM$3,0,0,'Données projet'!$E$10+1,1))-AVERAGE(OFFSET($H$3,0,0,'Données projet'!$E$10+1,1))</f>
        <v>325.06345339097095</v>
      </c>
      <c r="AO197" s="60">
        <f t="shared" ref="AO197:AO203" si="205">$AO$3</f>
        <v>318.90379036810754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0" t="e">
        <f t="shared" si="194"/>
        <v>#N/A</v>
      </c>
      <c r="BI197" s="60" t="e">
        <f ca="1">AVERAGE(OFFSET($BH$3,0,0,'Données projet'!$E$11+1,1))-AVERAGE(OFFSET($H$3,0,0,'Données projet'!$E$11+1,1))</f>
        <v>#N/A</v>
      </c>
      <c r="BJ197" s="60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0" t="e">
        <f t="shared" si="195"/>
        <v>#N/A</v>
      </c>
      <c r="CD197" s="60" t="e">
        <f ca="1">AVERAGE(OFFSET($CC$3,0,0,'Données projet'!$E$12+1,1))-AVERAGE(OFFSET($H$3,0,0,'Données projet'!$E$12+1,1))</f>
        <v>#N/A</v>
      </c>
      <c r="CE197" s="60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-8.4419298218563211E-13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415.50509041799154</v>
      </c>
      <c r="CZ197" s="60">
        <f t="shared" ref="CZ197:CZ203" si="208">$CZ$3</f>
        <v>239.93573789765657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-9.6633812063373625E-13</v>
      </c>
      <c r="DP197" s="18">
        <f>DO197*VLOOKUP('Données projet'!$B$14,Paramètres!$A$1:$I$89,3,0)*VLOOKUP('Données projet'!$B$14,Paramètres!$A$1:$I$89,5,0)</f>
        <v>-9.7986685432260874E-13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475.47920969424894</v>
      </c>
      <c r="DU197" s="60">
        <f t="shared" ref="DU197:DU203" si="209">$DU$3</f>
        <v>271.73544012419364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-9.6633812063373625E-13</v>
      </c>
      <c r="EK197" s="18">
        <f>EJ197*VLOOKUP('Données projet'!$B$15,Paramètres!$A$1:$I$89,3,0)*VLOOKUP('Données projet'!$B$15,Paramètres!$A$1:$I$89,5,0)</f>
        <v>-8.7434273154940449E-13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428.8489304403459</v>
      </c>
      <c r="EP197" s="60">
        <f t="shared" ref="EP197:EP203" si="210">$EP$3</f>
        <v>247.01165577562966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-9.6633812063373625E-13</v>
      </c>
      <c r="FF197" s="18">
        <f>FE197*VLOOKUP('Données projet'!$B$16,Paramètres!$A$1:$I$89,3,0)*VLOOKUP('Données projet'!$B$16,Paramètres!$A$1:$I$89,5,0)</f>
        <v>-9.3464223027694966E-13</v>
      </c>
      <c r="FG197" s="14" t="e">
        <f t="shared" si="182"/>
        <v>#NUM!</v>
      </c>
      <c r="FH197" s="22" t="e">
        <f t="shared" si="183"/>
        <v>#NUM!</v>
      </c>
      <c r="FI197" s="60" t="e">
        <f t="shared" si="199"/>
        <v>#NUM!</v>
      </c>
      <c r="FJ197" s="60">
        <f ca="1">AVERAGE(OFFSET($FI$3,0,0,'Données projet'!$E$16+1,1))-AVERAGE(OFFSET($H$3,0,0,'Données projet'!$E$16+1,1))</f>
        <v>455.50822833641354</v>
      </c>
      <c r="FK197" s="60">
        <f t="shared" ref="FK197:FK203" si="211">$FK$3</f>
        <v>261.14722581688039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 t="e">
        <f>N198*VLOOKUP('Données projet'!$B$9,Paramètres!$A$1:$I$89,3,0)*VLOOKUP('Données projet'!$B$9,Paramètres!$A$1:$I$89,5,0)</f>
        <v>#N/A</v>
      </c>
      <c r="P198" s="14" t="e">
        <f t="shared" si="203"/>
        <v>#N/A</v>
      </c>
      <c r="Q198" s="22" t="e">
        <f t="shared" si="162"/>
        <v>#N/A</v>
      </c>
      <c r="R198" s="60" t="e">
        <f t="shared" si="191"/>
        <v>#N/A</v>
      </c>
      <c r="S198" s="60" t="e">
        <f ca="1">AVERAGE(OFFSET($R$3,0,0,'Données projet'!$E$9+1,1))-AVERAGE(OFFSET($H$3,0,0,'Données projet'!$E$9+1,1))</f>
        <v>#N/A</v>
      </c>
      <c r="T198" s="60" t="e">
        <f t="shared" si="204"/>
        <v>#N/A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 t="e">
        <f>EXP(-LN(2)/35)*Z197+(1-EXP(-LN(2)/35))/(LN(2)/35)*V198*W198*VLOOKUP('Données projet'!$B$9,Paramètres!$A$1:$I$89,3,0)*0.475*44/12</f>
        <v>#N/A</v>
      </c>
      <c r="AA198" s="23" t="e">
        <f>EXP(-LN(2)/25)*AA197+(1-EXP(-LN(2)/25))/(LN(2)/25)*Calculateur!V198*Calculateur!X198*VLOOKUP('Données projet'!$B$9,Paramètres!$A$1:$I$89,3,0)*0.475*44/12</f>
        <v>#N/A</v>
      </c>
      <c r="AB198" s="23" t="e">
        <f>EXP(-LN(2)/2)*AB197+(1-EXP(-LN(2)/2))/(LN(2)/2)*V198*Y198*VLOOKUP('Données projet'!$B$9,Paramètres!$A$1:$I$89,3,0)*0.475*44/12</f>
        <v>#N/A</v>
      </c>
      <c r="AC198" s="24" t="e">
        <f t="shared" si="163"/>
        <v>#N/A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1.9863364286720756E-13</v>
      </c>
      <c r="AK198" s="14">
        <f t="shared" si="164"/>
        <v>2.7549360720371426E-12</v>
      </c>
      <c r="AL198" s="22">
        <f t="shared" si="165"/>
        <v>5.144133920125077E-12</v>
      </c>
      <c r="AM198" s="60">
        <f t="shared" si="193"/>
        <v>293.33333333333843</v>
      </c>
      <c r="AN198" s="60">
        <f ca="1">AVERAGE(OFFSET($AM$3,0,0,'Données projet'!$E$10+1,1))-AVERAGE(OFFSET($H$3,0,0,'Données projet'!$E$10+1,1))</f>
        <v>325.06345339097095</v>
      </c>
      <c r="AO198" s="60">
        <f t="shared" si="205"/>
        <v>318.90379036810754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0" t="e">
        <f t="shared" si="194"/>
        <v>#N/A</v>
      </c>
      <c r="BI198" s="60" t="e">
        <f ca="1">AVERAGE(OFFSET($BH$3,0,0,'Données projet'!$E$11+1,1))-AVERAGE(OFFSET($H$3,0,0,'Données projet'!$E$11+1,1))</f>
        <v>#N/A</v>
      </c>
      <c r="BJ198" s="60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0" t="e">
        <f t="shared" si="195"/>
        <v>#N/A</v>
      </c>
      <c r="CD198" s="60" t="e">
        <f ca="1">AVERAGE(OFFSET($CC$3,0,0,'Données projet'!$E$12+1,1))-AVERAGE(OFFSET($H$3,0,0,'Données projet'!$E$12+1,1))</f>
        <v>#N/A</v>
      </c>
      <c r="CE198" s="60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-8.4419298218563211E-13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415.50509041799154</v>
      </c>
      <c r="CZ198" s="60">
        <f t="shared" si="208"/>
        <v>239.93573789765657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-9.6633812063373625E-13</v>
      </c>
      <c r="DP198" s="18">
        <f>DO198*VLOOKUP('Données projet'!$B$14,Paramètres!$A$1:$I$89,3,0)*VLOOKUP('Données projet'!$B$14,Paramètres!$A$1:$I$89,5,0)</f>
        <v>-9.7986685432260874E-13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475.47920969424894</v>
      </c>
      <c r="DU198" s="60">
        <f t="shared" si="209"/>
        <v>271.73544012419364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-9.6633812063373625E-13</v>
      </c>
      <c r="EK198" s="18">
        <f>EJ198*VLOOKUP('Données projet'!$B$15,Paramètres!$A$1:$I$89,3,0)*VLOOKUP('Données projet'!$B$15,Paramètres!$A$1:$I$89,5,0)</f>
        <v>-8.7434273154940449E-13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428.8489304403459</v>
      </c>
      <c r="EP198" s="60">
        <f t="shared" si="210"/>
        <v>247.01165577562966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-9.6633812063373625E-13</v>
      </c>
      <c r="FF198" s="18">
        <f>FE198*VLOOKUP('Données projet'!$B$16,Paramètres!$A$1:$I$89,3,0)*VLOOKUP('Données projet'!$B$16,Paramètres!$A$1:$I$89,5,0)</f>
        <v>-9.3464223027694966E-13</v>
      </c>
      <c r="FG198" s="14" t="e">
        <f t="shared" si="182"/>
        <v>#NUM!</v>
      </c>
      <c r="FH198" s="22" t="e">
        <f t="shared" si="183"/>
        <v>#NUM!</v>
      </c>
      <c r="FI198" s="60" t="e">
        <f t="shared" si="199"/>
        <v>#NUM!</v>
      </c>
      <c r="FJ198" s="60">
        <f ca="1">AVERAGE(OFFSET($FI$3,0,0,'Données projet'!$E$16+1,1))-AVERAGE(OFFSET($H$3,0,0,'Données projet'!$E$16+1,1))</f>
        <v>455.50822833641354</v>
      </c>
      <c r="FK198" s="60">
        <f t="shared" si="211"/>
        <v>261.14722581688039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 t="e">
        <f>N199*VLOOKUP('Données projet'!$B$9,Paramètres!$A$1:$I$89,3,0)*VLOOKUP('Données projet'!$B$9,Paramètres!$A$1:$I$89,5,0)</f>
        <v>#N/A</v>
      </c>
      <c r="P199" s="14" t="e">
        <f t="shared" si="203"/>
        <v>#N/A</v>
      </c>
      <c r="Q199" s="22" t="e">
        <f t="shared" si="162"/>
        <v>#N/A</v>
      </c>
      <c r="R199" s="60" t="e">
        <f t="shared" si="191"/>
        <v>#N/A</v>
      </c>
      <c r="S199" s="60" t="e">
        <f ca="1">AVERAGE(OFFSET($R$3,0,0,'Données projet'!$E$9+1,1))-AVERAGE(OFFSET($H$3,0,0,'Données projet'!$E$9+1,1))</f>
        <v>#N/A</v>
      </c>
      <c r="T199" s="60" t="e">
        <f t="shared" si="204"/>
        <v>#N/A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 t="e">
        <f>EXP(-LN(2)/35)*Z198+(1-EXP(-LN(2)/35))/(LN(2)/35)*V199*W199*VLOOKUP('Données projet'!$B$9,Paramètres!$A$1:$I$89,3,0)*0.475*44/12</f>
        <v>#N/A</v>
      </c>
      <c r="AA199" s="23" t="e">
        <f>EXP(-LN(2)/25)*AA198+(1-EXP(-LN(2)/25))/(LN(2)/25)*Calculateur!V199*Calculateur!X199*VLOOKUP('Données projet'!$B$9,Paramètres!$A$1:$I$89,3,0)*0.475*44/12</f>
        <v>#N/A</v>
      </c>
      <c r="AB199" s="23" t="e">
        <f>EXP(-LN(2)/2)*AB198+(1-EXP(-LN(2)/2))/(LN(2)/2)*V199*Y199*VLOOKUP('Données projet'!$B$9,Paramètres!$A$1:$I$89,3,0)*0.475*44/12</f>
        <v>#N/A</v>
      </c>
      <c r="AC199" s="24" t="e">
        <f t="shared" si="163"/>
        <v>#N/A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1.9863364286720756E-13</v>
      </c>
      <c r="AK199" s="14">
        <f t="shared" si="164"/>
        <v>2.7549360720371426E-12</v>
      </c>
      <c r="AL199" s="22">
        <f t="shared" si="165"/>
        <v>5.144133920125077E-12</v>
      </c>
      <c r="AM199" s="60">
        <f t="shared" si="193"/>
        <v>293.33333333333843</v>
      </c>
      <c r="AN199" s="60">
        <f ca="1">AVERAGE(OFFSET($AM$3,0,0,'Données projet'!$E$10+1,1))-AVERAGE(OFFSET($H$3,0,0,'Données projet'!$E$10+1,1))</f>
        <v>325.06345339097095</v>
      </c>
      <c r="AO199" s="60">
        <f t="shared" si="205"/>
        <v>318.90379036810754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0" t="e">
        <f t="shared" si="194"/>
        <v>#N/A</v>
      </c>
      <c r="BI199" s="60" t="e">
        <f ca="1">AVERAGE(OFFSET($BH$3,0,0,'Données projet'!$E$11+1,1))-AVERAGE(OFFSET($H$3,0,0,'Données projet'!$E$11+1,1))</f>
        <v>#N/A</v>
      </c>
      <c r="BJ199" s="60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0" t="e">
        <f t="shared" si="195"/>
        <v>#N/A</v>
      </c>
      <c r="CD199" s="60" t="e">
        <f ca="1">AVERAGE(OFFSET($CC$3,0,0,'Données projet'!$E$12+1,1))-AVERAGE(OFFSET($H$3,0,0,'Données projet'!$E$12+1,1))</f>
        <v>#N/A</v>
      </c>
      <c r="CE199" s="60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-8.4419298218563211E-13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415.50509041799154</v>
      </c>
      <c r="CZ199" s="60">
        <f t="shared" si="208"/>
        <v>239.93573789765657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-9.6633812063373625E-13</v>
      </c>
      <c r="DP199" s="18">
        <f>DO199*VLOOKUP('Données projet'!$B$14,Paramètres!$A$1:$I$89,3,0)*VLOOKUP('Données projet'!$B$14,Paramètres!$A$1:$I$89,5,0)</f>
        <v>-9.7986685432260874E-13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475.47920969424894</v>
      </c>
      <c r="DU199" s="60">
        <f t="shared" si="209"/>
        <v>271.73544012419364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-9.6633812063373625E-13</v>
      </c>
      <c r="EK199" s="18">
        <f>EJ199*VLOOKUP('Données projet'!$B$15,Paramètres!$A$1:$I$89,3,0)*VLOOKUP('Données projet'!$B$15,Paramètres!$A$1:$I$89,5,0)</f>
        <v>-8.7434273154940449E-13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428.8489304403459</v>
      </c>
      <c r="EP199" s="60">
        <f t="shared" si="210"/>
        <v>247.01165577562966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-9.6633812063373625E-13</v>
      </c>
      <c r="FF199" s="18">
        <f>FE199*VLOOKUP('Données projet'!$B$16,Paramètres!$A$1:$I$89,3,0)*VLOOKUP('Données projet'!$B$16,Paramètres!$A$1:$I$89,5,0)</f>
        <v>-9.3464223027694966E-13</v>
      </c>
      <c r="FG199" s="14" t="e">
        <f t="shared" si="182"/>
        <v>#NUM!</v>
      </c>
      <c r="FH199" s="22" t="e">
        <f t="shared" si="183"/>
        <v>#NUM!</v>
      </c>
      <c r="FI199" s="60" t="e">
        <f t="shared" si="199"/>
        <v>#NUM!</v>
      </c>
      <c r="FJ199" s="60">
        <f ca="1">AVERAGE(OFFSET($FI$3,0,0,'Données projet'!$E$16+1,1))-AVERAGE(OFFSET($H$3,0,0,'Données projet'!$E$16+1,1))</f>
        <v>455.50822833641354</v>
      </c>
      <c r="FK199" s="60">
        <f t="shared" si="211"/>
        <v>261.14722581688039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 t="e">
        <f>N200*VLOOKUP('Données projet'!$B$9,Paramètres!$A$1:$I$89,3,0)*VLOOKUP('Données projet'!$B$9,Paramètres!$A$1:$I$89,5,0)</f>
        <v>#N/A</v>
      </c>
      <c r="P200" s="14" t="e">
        <f t="shared" si="203"/>
        <v>#N/A</v>
      </c>
      <c r="Q200" s="22" t="e">
        <f t="shared" si="162"/>
        <v>#N/A</v>
      </c>
      <c r="R200" s="60" t="e">
        <f t="shared" si="191"/>
        <v>#N/A</v>
      </c>
      <c r="S200" s="60" t="e">
        <f ca="1">AVERAGE(OFFSET($R$3,0,0,'Données projet'!$E$9+1,1))-AVERAGE(OFFSET($H$3,0,0,'Données projet'!$E$9+1,1))</f>
        <v>#N/A</v>
      </c>
      <c r="T200" s="60" t="e">
        <f t="shared" si="204"/>
        <v>#N/A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 t="e">
        <f>EXP(-LN(2)/35)*Z199+(1-EXP(-LN(2)/35))/(LN(2)/35)*V200*W200*VLOOKUP('Données projet'!$B$9,Paramètres!$A$1:$I$89,3,0)*0.475*44/12</f>
        <v>#N/A</v>
      </c>
      <c r="AA200" s="23" t="e">
        <f>EXP(-LN(2)/25)*AA199+(1-EXP(-LN(2)/25))/(LN(2)/25)*Calculateur!V200*Calculateur!X200*VLOOKUP('Données projet'!$B$9,Paramètres!$A$1:$I$89,3,0)*0.475*44/12</f>
        <v>#N/A</v>
      </c>
      <c r="AB200" s="23" t="e">
        <f>EXP(-LN(2)/2)*AB199+(1-EXP(-LN(2)/2))/(LN(2)/2)*V200*Y200*VLOOKUP('Données projet'!$B$9,Paramètres!$A$1:$I$89,3,0)*0.475*44/12</f>
        <v>#N/A</v>
      </c>
      <c r="AC200" s="24" t="e">
        <f t="shared" si="163"/>
        <v>#N/A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1.9863364286720756E-13</v>
      </c>
      <c r="AK200" s="14">
        <f t="shared" si="164"/>
        <v>2.7549360720371426E-12</v>
      </c>
      <c r="AL200" s="22">
        <f t="shared" si="165"/>
        <v>5.144133920125077E-12</v>
      </c>
      <c r="AM200" s="60">
        <f t="shared" si="193"/>
        <v>293.33333333333843</v>
      </c>
      <c r="AN200" s="60">
        <f ca="1">AVERAGE(OFFSET($AM$3,0,0,'Données projet'!$E$10+1,1))-AVERAGE(OFFSET($H$3,0,0,'Données projet'!$E$10+1,1))</f>
        <v>325.06345339097095</v>
      </c>
      <c r="AO200" s="60">
        <f t="shared" si="205"/>
        <v>318.90379036810754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0" t="e">
        <f t="shared" si="194"/>
        <v>#N/A</v>
      </c>
      <c r="BI200" s="60" t="e">
        <f ca="1">AVERAGE(OFFSET($BH$3,0,0,'Données projet'!$E$11+1,1))-AVERAGE(OFFSET($H$3,0,0,'Données projet'!$E$11+1,1))</f>
        <v>#N/A</v>
      </c>
      <c r="BJ200" s="60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0" t="e">
        <f t="shared" si="195"/>
        <v>#N/A</v>
      </c>
      <c r="CD200" s="60" t="e">
        <f ca="1">AVERAGE(OFFSET($CC$3,0,0,'Données projet'!$E$12+1,1))-AVERAGE(OFFSET($H$3,0,0,'Données projet'!$E$12+1,1))</f>
        <v>#N/A</v>
      </c>
      <c r="CE200" s="60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-8.4419298218563211E-13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415.50509041799154</v>
      </c>
      <c r="CZ200" s="60">
        <f t="shared" si="208"/>
        <v>239.93573789765657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-9.6633812063373625E-13</v>
      </c>
      <c r="DP200" s="18">
        <f>DO200*VLOOKUP('Données projet'!$B$14,Paramètres!$A$1:$I$89,3,0)*VLOOKUP('Données projet'!$B$14,Paramètres!$A$1:$I$89,5,0)</f>
        <v>-9.7986685432260874E-13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475.47920969424894</v>
      </c>
      <c r="DU200" s="60">
        <f t="shared" si="209"/>
        <v>271.73544012419364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-9.6633812063373625E-13</v>
      </c>
      <c r="EK200" s="18">
        <f>EJ200*VLOOKUP('Données projet'!$B$15,Paramètres!$A$1:$I$89,3,0)*VLOOKUP('Données projet'!$B$15,Paramètres!$A$1:$I$89,5,0)</f>
        <v>-8.7434273154940449E-13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428.8489304403459</v>
      </c>
      <c r="EP200" s="60">
        <f t="shared" si="210"/>
        <v>247.01165577562966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-9.6633812063373625E-13</v>
      </c>
      <c r="FF200" s="18">
        <f>FE200*VLOOKUP('Données projet'!$B$16,Paramètres!$A$1:$I$89,3,0)*VLOOKUP('Données projet'!$B$16,Paramètres!$A$1:$I$89,5,0)</f>
        <v>-9.3464223027694966E-13</v>
      </c>
      <c r="FG200" s="14" t="e">
        <f t="shared" si="182"/>
        <v>#NUM!</v>
      </c>
      <c r="FH200" s="22" t="e">
        <f t="shared" si="183"/>
        <v>#NUM!</v>
      </c>
      <c r="FI200" s="60" t="e">
        <f t="shared" si="199"/>
        <v>#NUM!</v>
      </c>
      <c r="FJ200" s="60">
        <f ca="1">AVERAGE(OFFSET($FI$3,0,0,'Données projet'!$E$16+1,1))-AVERAGE(OFFSET($H$3,0,0,'Données projet'!$E$16+1,1))</f>
        <v>455.50822833641354</v>
      </c>
      <c r="FK200" s="60">
        <f t="shared" si="211"/>
        <v>261.14722581688039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 t="e">
        <f>N201*VLOOKUP('Données projet'!$B$9,Paramètres!$A$1:$I$89,3,0)*VLOOKUP('Données projet'!$B$9,Paramètres!$A$1:$I$89,5,0)</f>
        <v>#N/A</v>
      </c>
      <c r="P201" s="14" t="e">
        <f t="shared" si="203"/>
        <v>#N/A</v>
      </c>
      <c r="Q201" s="22" t="e">
        <f t="shared" si="162"/>
        <v>#N/A</v>
      </c>
      <c r="R201" s="60" t="e">
        <f t="shared" si="191"/>
        <v>#N/A</v>
      </c>
      <c r="S201" s="60" t="e">
        <f ca="1">AVERAGE(OFFSET($R$3,0,0,'Données projet'!$E$9+1,1))-AVERAGE(OFFSET($H$3,0,0,'Données projet'!$E$9+1,1))</f>
        <v>#N/A</v>
      </c>
      <c r="T201" s="60" t="e">
        <f t="shared" si="204"/>
        <v>#N/A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 t="e">
        <f>EXP(-LN(2)/35)*Z200+(1-EXP(-LN(2)/35))/(LN(2)/35)*V201*W201*VLOOKUP('Données projet'!$B$9,Paramètres!$A$1:$I$89,3,0)*0.475*44/12</f>
        <v>#N/A</v>
      </c>
      <c r="AA201" s="23" t="e">
        <f>EXP(-LN(2)/25)*AA200+(1-EXP(-LN(2)/25))/(LN(2)/25)*Calculateur!V201*Calculateur!X201*VLOOKUP('Données projet'!$B$9,Paramètres!$A$1:$I$89,3,0)*0.475*44/12</f>
        <v>#N/A</v>
      </c>
      <c r="AB201" s="23" t="e">
        <f>EXP(-LN(2)/2)*AB200+(1-EXP(-LN(2)/2))/(LN(2)/2)*V201*Y201*VLOOKUP('Données projet'!$B$9,Paramètres!$A$1:$I$89,3,0)*0.475*44/12</f>
        <v>#N/A</v>
      </c>
      <c r="AC201" s="24" t="e">
        <f t="shared" si="163"/>
        <v>#N/A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1.9863364286720756E-13</v>
      </c>
      <c r="AK201" s="14">
        <f t="shared" si="164"/>
        <v>2.7549360720371426E-12</v>
      </c>
      <c r="AL201" s="22">
        <f t="shared" si="165"/>
        <v>5.144133920125077E-12</v>
      </c>
      <c r="AM201" s="60">
        <f t="shared" si="193"/>
        <v>293.33333333333843</v>
      </c>
      <c r="AN201" s="60">
        <f ca="1">AVERAGE(OFFSET($AM$3,0,0,'Données projet'!$E$10+1,1))-AVERAGE(OFFSET($H$3,0,0,'Données projet'!$E$10+1,1))</f>
        <v>325.06345339097095</v>
      </c>
      <c r="AO201" s="60">
        <f t="shared" si="205"/>
        <v>318.90379036810754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0" t="e">
        <f t="shared" si="194"/>
        <v>#N/A</v>
      </c>
      <c r="BI201" s="60" t="e">
        <f ca="1">AVERAGE(OFFSET($BH$3,0,0,'Données projet'!$E$11+1,1))-AVERAGE(OFFSET($H$3,0,0,'Données projet'!$E$11+1,1))</f>
        <v>#N/A</v>
      </c>
      <c r="BJ201" s="60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0" t="e">
        <f t="shared" si="195"/>
        <v>#N/A</v>
      </c>
      <c r="CD201" s="60" t="e">
        <f ca="1">AVERAGE(OFFSET($CC$3,0,0,'Données projet'!$E$12+1,1))-AVERAGE(OFFSET($H$3,0,0,'Données projet'!$E$12+1,1))</f>
        <v>#N/A</v>
      </c>
      <c r="CE201" s="60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-8.4419298218563211E-13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415.50509041799154</v>
      </c>
      <c r="CZ201" s="60">
        <f t="shared" si="208"/>
        <v>239.93573789765657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-9.6633812063373625E-13</v>
      </c>
      <c r="DP201" s="18">
        <f>DO201*VLOOKUP('Données projet'!$B$14,Paramètres!$A$1:$I$89,3,0)*VLOOKUP('Données projet'!$B$14,Paramètres!$A$1:$I$89,5,0)</f>
        <v>-9.7986685432260874E-13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475.47920969424894</v>
      </c>
      <c r="DU201" s="60">
        <f t="shared" si="209"/>
        <v>271.73544012419364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-9.6633812063373625E-13</v>
      </c>
      <c r="EK201" s="18">
        <f>EJ201*VLOOKUP('Données projet'!$B$15,Paramètres!$A$1:$I$89,3,0)*VLOOKUP('Données projet'!$B$15,Paramètres!$A$1:$I$89,5,0)</f>
        <v>-8.7434273154940449E-13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428.8489304403459</v>
      </c>
      <c r="EP201" s="60">
        <f t="shared" si="210"/>
        <v>247.01165577562966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-9.6633812063373625E-13</v>
      </c>
      <c r="FF201" s="18">
        <f>FE201*VLOOKUP('Données projet'!$B$16,Paramètres!$A$1:$I$89,3,0)*VLOOKUP('Données projet'!$B$16,Paramètres!$A$1:$I$89,5,0)</f>
        <v>-9.3464223027694966E-13</v>
      </c>
      <c r="FG201" s="14" t="e">
        <f t="shared" si="182"/>
        <v>#NUM!</v>
      </c>
      <c r="FH201" s="22" t="e">
        <f t="shared" si="183"/>
        <v>#NUM!</v>
      </c>
      <c r="FI201" s="60" t="e">
        <f t="shared" si="199"/>
        <v>#NUM!</v>
      </c>
      <c r="FJ201" s="60">
        <f ca="1">AVERAGE(OFFSET($FI$3,0,0,'Données projet'!$E$16+1,1))-AVERAGE(OFFSET($H$3,0,0,'Données projet'!$E$16+1,1))</f>
        <v>455.50822833641354</v>
      </c>
      <c r="FK201" s="60">
        <f t="shared" si="211"/>
        <v>261.14722581688039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 t="e">
        <f>N202*VLOOKUP('Données projet'!$B$9,Paramètres!$A$1:$I$89,3,0)*VLOOKUP('Données projet'!$B$9,Paramètres!$A$1:$I$89,5,0)</f>
        <v>#N/A</v>
      </c>
      <c r="P202" s="14" t="e">
        <f t="shared" si="203"/>
        <v>#N/A</v>
      </c>
      <c r="Q202" s="22" t="e">
        <f t="shared" si="162"/>
        <v>#N/A</v>
      </c>
      <c r="R202" s="60" t="e">
        <f t="shared" si="191"/>
        <v>#N/A</v>
      </c>
      <c r="S202" s="60" t="e">
        <f ca="1">AVERAGE(OFFSET($R$3,0,0,'Données projet'!$E$9+1,1))-AVERAGE(OFFSET($H$3,0,0,'Données projet'!$E$9+1,1))</f>
        <v>#N/A</v>
      </c>
      <c r="T202" s="60" t="e">
        <f t="shared" si="204"/>
        <v>#N/A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 t="e">
        <f>EXP(-LN(2)/35)*Z201+(1-EXP(-LN(2)/35))/(LN(2)/35)*V202*W202*VLOOKUP('Données projet'!$B$9,Paramètres!$A$1:$I$89,3,0)*0.475*44/12</f>
        <v>#N/A</v>
      </c>
      <c r="AA202" s="23" t="e">
        <f>EXP(-LN(2)/25)*AA201+(1-EXP(-LN(2)/25))/(LN(2)/25)*Calculateur!V202*Calculateur!X202*VLOOKUP('Données projet'!$B$9,Paramètres!$A$1:$I$89,3,0)*0.475*44/12</f>
        <v>#N/A</v>
      </c>
      <c r="AB202" s="23" t="e">
        <f>EXP(-LN(2)/2)*AB201+(1-EXP(-LN(2)/2))/(LN(2)/2)*V202*Y202*VLOOKUP('Données projet'!$B$9,Paramètres!$A$1:$I$89,3,0)*0.475*44/12</f>
        <v>#N/A</v>
      </c>
      <c r="AC202" s="24" t="e">
        <f t="shared" si="163"/>
        <v>#N/A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1.9863364286720756E-13</v>
      </c>
      <c r="AK202" s="14">
        <f t="shared" si="164"/>
        <v>2.7549360720371426E-12</v>
      </c>
      <c r="AL202" s="22">
        <f t="shared" si="165"/>
        <v>5.144133920125077E-12</v>
      </c>
      <c r="AM202" s="60">
        <f t="shared" si="193"/>
        <v>293.33333333333843</v>
      </c>
      <c r="AN202" s="60">
        <f ca="1">AVERAGE(OFFSET($AM$3,0,0,'Données projet'!$E$10+1,1))-AVERAGE(OFFSET($H$3,0,0,'Données projet'!$E$10+1,1))</f>
        <v>325.06345339097095</v>
      </c>
      <c r="AO202" s="60">
        <f t="shared" si="205"/>
        <v>318.90379036810754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0" t="e">
        <f t="shared" si="194"/>
        <v>#N/A</v>
      </c>
      <c r="BI202" s="60" t="e">
        <f ca="1">AVERAGE(OFFSET($BH$3,0,0,'Données projet'!$E$11+1,1))-AVERAGE(OFFSET($H$3,0,0,'Données projet'!$E$11+1,1))</f>
        <v>#N/A</v>
      </c>
      <c r="BJ202" s="60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0" t="e">
        <f t="shared" si="195"/>
        <v>#N/A</v>
      </c>
      <c r="CD202" s="60" t="e">
        <f ca="1">AVERAGE(OFFSET($CC$3,0,0,'Données projet'!$E$12+1,1))-AVERAGE(OFFSET($H$3,0,0,'Données projet'!$E$12+1,1))</f>
        <v>#N/A</v>
      </c>
      <c r="CE202" s="60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-8.4419298218563211E-13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415.50509041799154</v>
      </c>
      <c r="CZ202" s="60">
        <f t="shared" si="208"/>
        <v>239.93573789765657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-9.6633812063373625E-13</v>
      </c>
      <c r="DP202" s="18">
        <f>DO202*VLOOKUP('Données projet'!$B$14,Paramètres!$A$1:$I$89,3,0)*VLOOKUP('Données projet'!$B$14,Paramètres!$A$1:$I$89,5,0)</f>
        <v>-9.7986685432260874E-13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475.47920969424894</v>
      </c>
      <c r="DU202" s="60">
        <f t="shared" si="209"/>
        <v>271.73544012419364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-9.6633812063373625E-13</v>
      </c>
      <c r="EK202" s="18">
        <f>EJ202*VLOOKUP('Données projet'!$B$15,Paramètres!$A$1:$I$89,3,0)*VLOOKUP('Données projet'!$B$15,Paramètres!$A$1:$I$89,5,0)</f>
        <v>-8.7434273154940449E-13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428.8489304403459</v>
      </c>
      <c r="EP202" s="60">
        <f t="shared" si="210"/>
        <v>247.01165577562966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-9.6633812063373625E-13</v>
      </c>
      <c r="FF202" s="18">
        <f>FE202*VLOOKUP('Données projet'!$B$16,Paramètres!$A$1:$I$89,3,0)*VLOOKUP('Données projet'!$B$16,Paramètres!$A$1:$I$89,5,0)</f>
        <v>-9.3464223027694966E-13</v>
      </c>
      <c r="FG202" s="14" t="e">
        <f t="shared" si="182"/>
        <v>#NUM!</v>
      </c>
      <c r="FH202" s="22" t="e">
        <f t="shared" si="183"/>
        <v>#NUM!</v>
      </c>
      <c r="FI202" s="60" t="e">
        <f t="shared" si="199"/>
        <v>#NUM!</v>
      </c>
      <c r="FJ202" s="60">
        <f ca="1">AVERAGE(OFFSET($FI$3,0,0,'Données projet'!$E$16+1,1))-AVERAGE(OFFSET($H$3,0,0,'Données projet'!$E$16+1,1))</f>
        <v>455.50822833641354</v>
      </c>
      <c r="FK202" s="60">
        <f t="shared" si="211"/>
        <v>261.14722581688039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 t="e">
        <f>N203*VLOOKUP('Données projet'!$B$9,Paramètres!$A$1:$I$89,3,0)*VLOOKUP('Données projet'!$B$9,Paramètres!$A$1:$I$89,5,0)</f>
        <v>#N/A</v>
      </c>
      <c r="P203" s="14" t="e">
        <f t="shared" si="203"/>
        <v>#N/A</v>
      </c>
      <c r="Q203" s="22" t="e">
        <f t="shared" si="162"/>
        <v>#N/A</v>
      </c>
      <c r="R203" s="60" t="e">
        <f t="shared" si="191"/>
        <v>#N/A</v>
      </c>
      <c r="S203" s="60" t="e">
        <f ca="1">AVERAGE(OFFSET($R$3,0,0,'Données projet'!$E$9+1,1))-AVERAGE(OFFSET($H$3,0,0,'Données projet'!$E$9+1,1))</f>
        <v>#N/A</v>
      </c>
      <c r="T203" s="60" t="e">
        <f t="shared" si="204"/>
        <v>#N/A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 t="e">
        <f>EXP(-LN(2)/35)*Z202+(1-EXP(-LN(2)/35))/(LN(2)/35)*V203*W203*VLOOKUP('Données projet'!$B$9,Paramètres!$A$1:$I$89,3,0)*0.475*44/12</f>
        <v>#N/A</v>
      </c>
      <c r="AA203" s="23" t="e">
        <f>EXP(-LN(2)/25)*AA202+(1-EXP(-LN(2)/25))/(LN(2)/25)*Calculateur!V203*Calculateur!X203*VLOOKUP('Données projet'!$B$9,Paramètres!$A$1:$I$89,3,0)*0.475*44/12</f>
        <v>#N/A</v>
      </c>
      <c r="AB203" s="23" t="e">
        <f>EXP(-LN(2)/2)*AB202+(1-EXP(-LN(2)/2))/(LN(2)/2)*V203*Y203*VLOOKUP('Données projet'!$B$9,Paramètres!$A$1:$I$89,3,0)*0.475*44/12</f>
        <v>#N/A</v>
      </c>
      <c r="AC203" s="24" t="e">
        <f t="shared" si="163"/>
        <v>#N/A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1.9863364286720756E-13</v>
      </c>
      <c r="AK203" s="14">
        <f t="shared" si="164"/>
        <v>2.7549360720371426E-12</v>
      </c>
      <c r="AL203" s="22">
        <f t="shared" si="165"/>
        <v>5.144133920125077E-12</v>
      </c>
      <c r="AM203" s="60">
        <f t="shared" si="193"/>
        <v>293.33333333333843</v>
      </c>
      <c r="AN203" s="60">
        <f ca="1">AVERAGE(OFFSET($AM$3,0,0,'Données projet'!$E$10+1,1))-AVERAGE(OFFSET($H$3,0,0,'Données projet'!$E$10+1,1))</f>
        <v>325.06345339097095</v>
      </c>
      <c r="AO203" s="60">
        <f t="shared" si="205"/>
        <v>318.90379036810754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0" t="e">
        <f t="shared" si="194"/>
        <v>#N/A</v>
      </c>
      <c r="BI203" s="60" t="e">
        <f ca="1">AVERAGE(OFFSET($BH$3,0,0,'Données projet'!$E$11+1,1))-AVERAGE(OFFSET($H$3,0,0,'Données projet'!$E$11+1,1))</f>
        <v>#N/A</v>
      </c>
      <c r="BJ203" s="60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0" t="e">
        <f t="shared" si="195"/>
        <v>#N/A</v>
      </c>
      <c r="CD203" s="60" t="e">
        <f ca="1">AVERAGE(OFFSET($CC$3,0,0,'Données projet'!$E$12+1,1))-AVERAGE(OFFSET($H$3,0,0,'Données projet'!$E$12+1,1))</f>
        <v>#N/A</v>
      </c>
      <c r="CE203" s="60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-8.4419298218563211E-13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415.50509041799154</v>
      </c>
      <c r="CZ203" s="60">
        <f t="shared" si="208"/>
        <v>239.93573789765657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-9.6633812063373625E-13</v>
      </c>
      <c r="DP203" s="18">
        <f>DO203*VLOOKUP('Données projet'!$B$14,Paramètres!$A$1:$I$89,3,0)*VLOOKUP('Données projet'!$B$14,Paramètres!$A$1:$I$89,5,0)</f>
        <v>-9.7986685432260874E-13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475.47920969424894</v>
      </c>
      <c r="DU203" s="60">
        <f t="shared" si="209"/>
        <v>271.73544012419364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-9.6633812063373625E-13</v>
      </c>
      <c r="EK203" s="18">
        <f>EJ203*VLOOKUP('Données projet'!$B$15,Paramètres!$A$1:$I$89,3,0)*VLOOKUP('Données projet'!$B$15,Paramètres!$A$1:$I$89,5,0)</f>
        <v>-8.7434273154940449E-13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428.8489304403459</v>
      </c>
      <c r="EP203" s="60">
        <f t="shared" si="210"/>
        <v>247.01165577562966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-9.6633812063373625E-13</v>
      </c>
      <c r="FF203" s="18">
        <f>FE203*VLOOKUP('Données projet'!$B$16,Paramètres!$A$1:$I$89,3,0)*VLOOKUP('Données projet'!$B$16,Paramètres!$A$1:$I$89,5,0)</f>
        <v>-9.3464223027694966E-13</v>
      </c>
      <c r="FG203" s="14" t="e">
        <f t="shared" si="182"/>
        <v>#NUM!</v>
      </c>
      <c r="FH203" s="22" t="e">
        <f t="shared" si="183"/>
        <v>#NUM!</v>
      </c>
      <c r="FI203" s="60" t="e">
        <f t="shared" si="199"/>
        <v>#NUM!</v>
      </c>
      <c r="FJ203" s="60">
        <f ca="1">AVERAGE(OFFSET($FI$3,0,0,'Données projet'!$E$16+1,1))-AVERAGE(OFFSET($H$3,0,0,'Données projet'!$E$16+1,1))</f>
        <v>455.50822833641354</v>
      </c>
      <c r="FK203" s="60">
        <f t="shared" si="211"/>
        <v>261.14722581688039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 t="e">
        <f>EXP(LN('Données projet'!B36)/'Données projet'!A36)</f>
        <v>#NUM!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1.2721747796233518</v>
      </c>
      <c r="BA205" s="86" t="e">
        <f>EXP(LN('Données projet'!B88)/'Données projet'!A88)</f>
        <v>#NUM!</v>
      </c>
      <c r="BV205" s="86" t="e">
        <f>EXP(LN('Données projet'!B114)/'Données projet'!A114)</f>
        <v>#NUM!</v>
      </c>
      <c r="CQ205" s="86">
        <f>EXP(LN('Données projet'!B140)/'Données projet'!A140)</f>
        <v>1.2054868146447177</v>
      </c>
      <c r="DL205" s="86">
        <f>EXP(LN('Données projet'!B166)/'Données projet'!A166)</f>
        <v>1.2054868146447177</v>
      </c>
      <c r="EG205" s="86">
        <f>EXP(LN('Données projet'!B192)/'Données projet'!A192)</f>
        <v>1.2054868146447177</v>
      </c>
      <c r="FB205" s="86">
        <f>EXP(LN('Données projet'!B218)/'Données projet'!A218)</f>
        <v>1.2054868146447177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H63" sqref="A59:H63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55" zoomScaleNormal="55" workbookViewId="0">
      <selection activeCell="K32" sqref="K3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/>
      </c>
      <c r="B6" s="153">
        <f>'Données projet'!D9</f>
        <v>0</v>
      </c>
      <c r="C6" s="154">
        <f>IF(OR('Données projet'!B9="",'Données projet'!C9="",'Données projet'!C9=0%),0,Calculateur!S3)</f>
        <v>0</v>
      </c>
      <c r="D6" s="154">
        <f>IF(OR('Données projet'!B9="",'Données projet'!C9="",'Données projet'!C9=0%),0,Calculateur!T3)</f>
        <v>0</v>
      </c>
      <c r="E6" s="154">
        <f>MIN(C6,D6)</f>
        <v>0</v>
      </c>
      <c r="F6" s="154">
        <f>E6*B6</f>
        <v>0</v>
      </c>
      <c r="G6" s="154">
        <f>F6*(100%-'Données projet'!$C$24)*(100%-'Données projet'!$C$25)*(100%-'Données projet'!$C$26)*(100%-'Données projet'!$C$27)</f>
        <v>0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>G6+I6+K6</f>
        <v>0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Erable champêtre</v>
      </c>
      <c r="B7" s="161">
        <f>'Données projet'!D10</f>
        <v>1.6180000000000001</v>
      </c>
      <c r="C7" s="154">
        <f ca="1">IF(OR('Données projet'!B10="",'Données projet'!C10="",'Données projet'!C10=0%),0,Calculateur!AN3)</f>
        <v>325.06345339097095</v>
      </c>
      <c r="D7" s="154">
        <f>IF(OR('Données projet'!B10="",'Données projet'!C10="",'Données projet'!C10=0%),0,Calculateur!AO3)</f>
        <v>318.90379036810754</v>
      </c>
      <c r="E7" s="154">
        <f t="shared" ref="E7:E15" ca="1" si="0">MIN(C7,D7)</f>
        <v>318.90379036810754</v>
      </c>
      <c r="F7" s="154">
        <f t="shared" ref="F7:F15" ca="1" si="1">E7*B7</f>
        <v>515.98633281559808</v>
      </c>
      <c r="G7" s="154">
        <f ca="1">F7*(100%-'Données projet'!$C$24)*(100%-'Données projet'!$C$25)*(100%-'Données projet'!$C$26)*(100%-'Données projet'!$C$27)</f>
        <v>464.38769953403829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40.045500000000004</v>
      </c>
      <c r="K7" s="158">
        <f>J7*(100%-'Données projet'!$C$24)*(100%-'Données projet'!$C$25)*(100%-'Données projet'!$C$26)*(100%-'Données projet'!$C$27)</f>
        <v>36.040950000000002</v>
      </c>
      <c r="L7" s="159">
        <f t="shared" ref="L7:L15" ca="1" si="2">G7+I7+K7</f>
        <v>500.4286495340383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/>
      </c>
      <c r="B8" s="161">
        <f>'Données projet'!D11</f>
        <v>0</v>
      </c>
      <c r="C8" s="154">
        <f>IF(OR('Données projet'!B11="",'Données projet'!C11="",'Données projet'!C11=0%),0,Calculateur!BI3)</f>
        <v>0</v>
      </c>
      <c r="D8" s="154">
        <f>IF(OR('Données projet'!B11="",'Données projet'!C11="",'Données projet'!C11=0%),0,Calculateur!BJ3)</f>
        <v>0</v>
      </c>
      <c r="E8" s="154">
        <f t="shared" si="0"/>
        <v>0</v>
      </c>
      <c r="F8" s="154">
        <f t="shared" si="1"/>
        <v>0</v>
      </c>
      <c r="G8" s="154">
        <f>F8*(100%-'Données projet'!$C$24)*(100%-'Données projet'!$C$25)*(100%-'Données projet'!$C$26)*(100%-'Données projet'!$C$27)</f>
        <v>0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/>
      </c>
      <c r="B9" s="161">
        <f>'Données projet'!D12</f>
        <v>0</v>
      </c>
      <c r="C9" s="154">
        <f>IF(OR('Données projet'!B12="",'Données projet'!C12="",'Données projet'!C12=0%),0,Calculateur!CD3)</f>
        <v>0</v>
      </c>
      <c r="D9" s="154">
        <f>IF(OR('Données projet'!B12="",'Données projet'!C12="",'Données projet'!C12=0%),0,Calculateur!CE3)</f>
        <v>0</v>
      </c>
      <c r="E9" s="154">
        <f t="shared" si="0"/>
        <v>0</v>
      </c>
      <c r="F9" s="154">
        <f t="shared" si="1"/>
        <v>0</v>
      </c>
      <c r="G9" s="154">
        <f>F9*(100%-'Données projet'!$C$24)*(100%-'Données projet'!$C$25)*(100%-'Données projet'!$C$26)*(100%-'Données projet'!$C$27)</f>
        <v>0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Chêne rouge d'Amérique</v>
      </c>
      <c r="B10" s="161">
        <f>'Données projet'!D13</f>
        <v>2.427</v>
      </c>
      <c r="C10" s="154">
        <f ca="1">IF(OR('Données projet'!B13="",'Données projet'!C13="",'Données projet'!C13=0%),0,Calculateur!CY3)</f>
        <v>415.50509041799154</v>
      </c>
      <c r="D10" s="154">
        <f>IF(OR('Données projet'!B13="",'Données projet'!C13="",'Données projet'!C13=0%),0,Calculateur!CZ3)</f>
        <v>239.93573789765657</v>
      </c>
      <c r="E10" s="154">
        <f t="shared" ca="1" si="0"/>
        <v>239.93573789765657</v>
      </c>
      <c r="F10" s="154">
        <f t="shared" ca="1" si="1"/>
        <v>582.32403587761246</v>
      </c>
      <c r="G10" s="154">
        <f ca="1">F10*(100%-'Données projet'!$C$24)*(100%-'Données projet'!$C$25)*(100%-'Données projet'!$C$26)*(100%-'Données projet'!$C$27)</f>
        <v>524.09163228985119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17.595749999999999</v>
      </c>
      <c r="K10" s="158">
        <f>J10*(100%-'Données projet'!$C$24)*(100%-'Données projet'!$C$25)*(100%-'Données projet'!$C$26)*(100%-'Données projet'!$C$27)</f>
        <v>15.836174999999999</v>
      </c>
      <c r="L10" s="159">
        <f t="shared" ca="1" si="2"/>
        <v>539.92780728985122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Chêne pubescent</v>
      </c>
      <c r="B11" s="161">
        <f>'Données projet'!D14</f>
        <v>1.6180000000000001</v>
      </c>
      <c r="C11" s="154">
        <f ca="1">IF(OR('Données projet'!B14="",'Données projet'!C14="",'Données projet'!C14=0%),0,Calculateur!DT3)</f>
        <v>475.47920969424894</v>
      </c>
      <c r="D11" s="154">
        <f>IF(OR('Données projet'!B14="",'Données projet'!C14="",'Données projet'!C14=0%),0,Calculateur!DU3)</f>
        <v>271.73544012419364</v>
      </c>
      <c r="E11" s="154">
        <f t="shared" ca="1" si="0"/>
        <v>271.73544012419364</v>
      </c>
      <c r="F11" s="154">
        <f t="shared" ca="1" si="1"/>
        <v>439.66794212094533</v>
      </c>
      <c r="G11" s="154">
        <f ca="1">F11*(100%-'Données projet'!$C$24)*(100%-'Données projet'!$C$25)*(100%-'Données projet'!$C$26)*(100%-'Données projet'!$C$27)</f>
        <v>395.70114790885083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11.730500000000001</v>
      </c>
      <c r="K11" s="158">
        <f>J11*(100%-'Données projet'!$C$24)*(100%-'Données projet'!$C$25)*(100%-'Données projet'!$C$26)*(100%-'Données projet'!$C$27)</f>
        <v>10.557450000000001</v>
      </c>
      <c r="L11" s="159">
        <f t="shared" ca="1" si="2"/>
        <v>406.25859790885085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Chêne sessile</v>
      </c>
      <c r="B12" s="161">
        <f>'Données projet'!D15</f>
        <v>1.6180000000000001</v>
      </c>
      <c r="C12" s="154">
        <f ca="1">IF(OR('Données projet'!B15="",'Données projet'!C15="",'Données projet'!C15=0%),0,Calculateur!EO3)</f>
        <v>428.8489304403459</v>
      </c>
      <c r="D12" s="154">
        <f>IF(OR('Données projet'!B15="",'Données projet'!C15="",'Données projet'!C15=0%),0,Calculateur!EP3)</f>
        <v>247.01165577562966</v>
      </c>
      <c r="E12" s="154">
        <f t="shared" ca="1" si="0"/>
        <v>247.01165577562966</v>
      </c>
      <c r="F12" s="154">
        <f t="shared" ca="1" si="1"/>
        <v>399.66485904496881</v>
      </c>
      <c r="G12" s="154">
        <f ca="1">F12*(100%-'Données projet'!$C$24)*(100%-'Données projet'!$C$25)*(100%-'Données projet'!$C$26)*(100%-'Données projet'!$C$27)</f>
        <v>359.69837314047192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11.730500000000001</v>
      </c>
      <c r="K12" s="158">
        <f>J12*(100%-'Données projet'!$C$24)*(100%-'Données projet'!$C$25)*(100%-'Données projet'!$C$26)*(100%-'Données projet'!$C$27)</f>
        <v>10.557450000000001</v>
      </c>
      <c r="L12" s="159">
        <f t="shared" ca="1" si="2"/>
        <v>370.25582314047193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>Alisier torminal</v>
      </c>
      <c r="B13" s="161">
        <f>'Données projet'!D16</f>
        <v>0.40450000000000003</v>
      </c>
      <c r="C13" s="154">
        <f ca="1">IF(OR('Données projet'!B16="",'Données projet'!C16="",'Données projet'!C16=0%),0,Calculateur!FJ3)</f>
        <v>455.50822833641354</v>
      </c>
      <c r="D13" s="154">
        <f>IF(OR('Données projet'!B16="",'Données projet'!C16="",'Données projet'!C16=0%),0,Calculateur!FK3)</f>
        <v>261.14722581688039</v>
      </c>
      <c r="E13" s="154">
        <f t="shared" ca="1" si="0"/>
        <v>261.14722581688039</v>
      </c>
      <c r="F13" s="154">
        <f t="shared" ca="1" si="1"/>
        <v>105.63405284292813</v>
      </c>
      <c r="G13" s="154">
        <f ca="1">F13*(100%-'Données projet'!$C$24)*(100%-'Données projet'!$C$25)*(100%-'Données projet'!$C$26)*(100%-'Données projet'!$C$27)</f>
        <v>95.070647558635315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2.9326250000000003</v>
      </c>
      <c r="K13" s="158">
        <f>J13*(100%-'Données projet'!$C$24)*(100%-'Données projet'!$C$25)*(100%-'Données projet'!$C$26)*(100%-'Données projet'!$C$27)</f>
        <v>2.6393625000000003</v>
      </c>
      <c r="L13" s="159">
        <f t="shared" ca="1" si="2"/>
        <v>97.710010058635319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2043.2772227020528</v>
      </c>
      <c r="G16" s="173">
        <f t="shared" ca="1" si="3"/>
        <v>1838.9495004318474</v>
      </c>
      <c r="H16" s="174">
        <f t="shared" si="3"/>
        <v>0</v>
      </c>
      <c r="I16" s="174">
        <f t="shared" si="3"/>
        <v>0</v>
      </c>
      <c r="J16" s="175">
        <f t="shared" si="3"/>
        <v>84.034875000000014</v>
      </c>
      <c r="K16" s="175">
        <f t="shared" si="3"/>
        <v>75.631387500000002</v>
      </c>
      <c r="L16" s="176">
        <f t="shared" ca="1" si="3"/>
        <v>1914.5808879318474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/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Erable champêtre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/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/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Chêne rouge d'Amérique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Chêne pubescent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Chêne sessile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>Alisier torminal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288" zoomScale="70" zoomScaleNormal="70" workbookViewId="0">
      <selection activeCell="C265" sqref="C265:C29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38" t="s">
        <v>315</v>
      </c>
      <c r="I4" s="338"/>
      <c r="K4" s="335" t="s">
        <v>253</v>
      </c>
      <c r="L4" s="336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7" t="s">
        <v>310</v>
      </c>
      <c r="S7" s="328"/>
      <c r="T7" s="328"/>
      <c r="U7" s="328"/>
      <c r="V7" s="329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/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88">
        <f>'Données projet'!D9</f>
        <v>0</v>
      </c>
      <c r="V10" s="187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Erable champêtre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988.13459139751603</v>
      </c>
      <c r="U11" s="188">
        <f>'Données projet'!D10</f>
        <v>1.6180000000000001</v>
      </c>
      <c r="V11" s="187">
        <f t="shared" ref="V11" si="0">U11*T11</f>
        <v>1598.801768881181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/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88">
        <f>'Données projet'!D11</f>
        <v>0</v>
      </c>
      <c r="V12" s="187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/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8">
        <f>'Données projet'!D12</f>
        <v>0</v>
      </c>
      <c r="V13" s="187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/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Chêne rouge d'Amérique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591.87660484177854</v>
      </c>
      <c r="U14" s="188">
        <f>'Données projet'!D13</f>
        <v>2.427</v>
      </c>
      <c r="V14" s="187">
        <f t="shared" si="1"/>
        <v>1436.4845199509966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39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Chêne pubescent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591.87660484177854</v>
      </c>
      <c r="U15" s="188">
        <f>'Données projet'!D14</f>
        <v>1.6180000000000001</v>
      </c>
      <c r="V15" s="187">
        <f t="shared" si="1"/>
        <v>957.65634663399771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39"/>
      <c r="H16" s="201"/>
      <c r="I16" s="202"/>
      <c r="J16" s="214"/>
      <c r="K16" s="223"/>
      <c r="L16" s="335" t="s">
        <v>254</v>
      </c>
      <c r="M16" s="336"/>
      <c r="N16" s="2"/>
      <c r="O16" s="25"/>
      <c r="P16" s="25"/>
      <c r="Q16" s="263"/>
      <c r="R16" s="25"/>
      <c r="S16" s="183" t="str">
        <f>B200</f>
        <v>Chêne sessile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591.87660484177854</v>
      </c>
      <c r="U16" s="188">
        <f>'Données projet'!D15</f>
        <v>1.6180000000000001</v>
      </c>
      <c r="V16" s="187">
        <f t="shared" si="1"/>
        <v>957.65634663399771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39"/>
      <c r="J17" s="214"/>
      <c r="K17" s="223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Alisier torminal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591.87660484177854</v>
      </c>
      <c r="U17" s="188">
        <f>'Données projet'!D16</f>
        <v>0.40450000000000003</v>
      </c>
      <c r="V17" s="187">
        <f t="shared" si="1"/>
        <v>239.41408665849943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39"/>
      <c r="J18" s="214"/>
      <c r="K18" s="223"/>
      <c r="L18" s="293" t="s">
        <v>255</v>
      </c>
      <c r="M18" s="295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39"/>
      <c r="H19" s="230" t="s">
        <v>178</v>
      </c>
      <c r="I19" s="230" t="s">
        <v>287</v>
      </c>
      <c r="J19" s="258"/>
      <c r="K19" s="181"/>
      <c r="L19" s="335" t="s">
        <v>288</v>
      </c>
      <c r="M19" s="336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39"/>
      <c r="H20" s="201">
        <v>0</v>
      </c>
      <c r="I20" s="202">
        <v>8000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37" t="s">
        <v>260</v>
      </c>
      <c r="M23" s="337"/>
      <c r="N23" s="337"/>
      <c r="O23" s="25"/>
      <c r="P23" s="25"/>
      <c r="Q23" s="263"/>
      <c r="R23" s="25"/>
      <c r="S23" s="183" t="s">
        <v>264</v>
      </c>
      <c r="T23" s="33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-59529.986931241328</v>
      </c>
      <c r="U23" s="332"/>
      <c r="V23" s="33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0</v>
      </c>
      <c r="B24" s="191">
        <f>'Données projet'!D37</f>
        <v>0</v>
      </c>
      <c r="C24" s="204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3"/>
      <c r="V24" s="33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0</v>
      </c>
      <c r="B25" s="191">
        <f>'Données projet'!D38</f>
        <v>0</v>
      </c>
      <c r="C25" s="204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34">
        <f ca="1">T23-T24</f>
        <v>-59529.986931241328</v>
      </c>
      <c r="U25" s="334"/>
      <c r="V25" s="33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0</v>
      </c>
      <c r="B26" s="191">
        <f>'Données projet'!D39</f>
        <v>0</v>
      </c>
      <c r="C26" s="204"/>
      <c r="D26" s="192">
        <f t="shared" si="2"/>
        <v>0</v>
      </c>
      <c r="E26" s="204"/>
      <c r="F26" s="262"/>
      <c r="G26" s="257"/>
      <c r="H26" s="201"/>
      <c r="I26" s="202"/>
      <c r="K26" s="223"/>
      <c r="L26" s="321" t="s">
        <v>258</v>
      </c>
      <c r="M26" s="322"/>
      <c r="N26" s="322"/>
      <c r="O26" s="322"/>
      <c r="P26" s="323"/>
      <c r="Q26" s="263"/>
      <c r="R26" s="25"/>
      <c r="S26" s="196" t="s">
        <v>265</v>
      </c>
      <c r="T26" s="331" t="str">
        <f ca="1">IF(T25&lt;0,"Votre projet est additionnel","Votre projet n'est pas additionnel")</f>
        <v>Votre projet est additionnel</v>
      </c>
      <c r="U26" s="331"/>
      <c r="V26" s="33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0</v>
      </c>
      <c r="B27" s="191">
        <f>'Données projet'!D40</f>
        <v>0</v>
      </c>
      <c r="C27" s="204"/>
      <c r="D27" s="192">
        <f t="shared" si="2"/>
        <v>0</v>
      </c>
      <c r="E27" s="204"/>
      <c r="F27" s="262"/>
      <c r="G27" s="257"/>
      <c r="H27" s="201"/>
      <c r="I27" s="202"/>
      <c r="K27" s="223"/>
      <c r="L27" s="324"/>
      <c r="M27" s="325"/>
      <c r="N27" s="325"/>
      <c r="O27" s="325"/>
      <c r="P27" s="326"/>
      <c r="Q27" s="263"/>
      <c r="R27" s="25"/>
      <c r="S27" s="330" t="s">
        <v>267</v>
      </c>
      <c r="T27" s="330"/>
      <c r="U27" s="330"/>
      <c r="V27" s="33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0</v>
      </c>
      <c r="B28" s="191">
        <f>'Données projet'!D41</f>
        <v>0</v>
      </c>
      <c r="C28" s="204"/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0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0</v>
      </c>
      <c r="B30" s="191">
        <f>'Données projet'!D43</f>
        <v>0</v>
      </c>
      <c r="C30" s="204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0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0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0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0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0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0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0</v>
      </c>
      <c r="B40" s="191">
        <f>'Données projet'!D53</f>
        <v>0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Erable champêtre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15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20</v>
      </c>
      <c r="B55" s="191">
        <f>'Données projet'!D63</f>
        <v>43</v>
      </c>
      <c r="C55" s="202">
        <v>10</v>
      </c>
      <c r="D55" s="189">
        <f t="shared" ref="D55:D73" si="4">B55*C55</f>
        <v>430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25</v>
      </c>
      <c r="B56" s="191">
        <f>'Données projet'!D64</f>
        <v>0</v>
      </c>
      <c r="C56" s="202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30</v>
      </c>
      <c r="B57" s="191">
        <f>'Données projet'!D65</f>
        <v>56</v>
      </c>
      <c r="C57" s="202">
        <v>10</v>
      </c>
      <c r="D57" s="189">
        <f t="shared" si="4"/>
        <v>560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35</v>
      </c>
      <c r="B58" s="191">
        <f>'Données projet'!D66</f>
        <v>0</v>
      </c>
      <c r="C58" s="202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40</v>
      </c>
      <c r="B59" s="191">
        <f>'Données projet'!D67</f>
        <v>56</v>
      </c>
      <c r="C59" s="202">
        <v>20</v>
      </c>
      <c r="D59" s="189">
        <f t="shared" si="4"/>
        <v>1120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45</v>
      </c>
      <c r="B60" s="191">
        <f>'Données projet'!D68</f>
        <v>0</v>
      </c>
      <c r="C60" s="202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50</v>
      </c>
      <c r="B61" s="191">
        <f>'Données projet'!D69</f>
        <v>39</v>
      </c>
      <c r="C61" s="202">
        <v>30</v>
      </c>
      <c r="D61" s="189">
        <f t="shared" si="4"/>
        <v>1170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55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60</v>
      </c>
      <c r="B63" s="191">
        <f>'Données projet'!D71</f>
        <v>25</v>
      </c>
      <c r="C63" s="202">
        <v>30</v>
      </c>
      <c r="D63" s="189">
        <f t="shared" si="4"/>
        <v>750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65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70</v>
      </c>
      <c r="B65" s="191">
        <f>'Données projet'!D73</f>
        <v>21</v>
      </c>
      <c r="C65" s="202">
        <v>40</v>
      </c>
      <c r="D65" s="189">
        <f t="shared" si="4"/>
        <v>840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75</v>
      </c>
      <c r="B66" s="191">
        <f>'Données projet'!D74</f>
        <v>9</v>
      </c>
      <c r="C66" s="202">
        <v>50</v>
      </c>
      <c r="D66" s="189">
        <f t="shared" si="4"/>
        <v>450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80</v>
      </c>
      <c r="B67" s="191">
        <f>'Données projet'!D75</f>
        <v>276</v>
      </c>
      <c r="C67" s="202">
        <v>50</v>
      </c>
      <c r="D67" s="189">
        <f t="shared" si="4"/>
        <v>13800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/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/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/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/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/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/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/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0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0</v>
      </c>
      <c r="B87" s="191">
        <f>'Données projet'!D90</f>
        <v>0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0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0</v>
      </c>
      <c r="B89" s="191">
        <f>'Données projet'!D92</f>
        <v>0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0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0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0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0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0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0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0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7"/>
        <v>0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7"/>
        <v>0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7"/>
        <v>0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/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7"/>
        <v>0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7"/>
        <v>0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7"/>
        <v>0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/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7"/>
        <v>0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/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7"/>
        <v>0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/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7"/>
        <v>0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/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7"/>
        <v>0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/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str">
        <f>IF(O113+1&lt;=MIN('Données projet'!$E$9:$E$18),O113+1,"STOP")</f>
        <v>STOP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/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0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0</v>
      </c>
      <c r="B118" s="191">
        <f>'Données projet'!D116</f>
        <v>0</v>
      </c>
      <c r="C118" s="202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0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0</v>
      </c>
      <c r="B120" s="191">
        <f>'Données projet'!D118</f>
        <v>0</v>
      </c>
      <c r="C120" s="202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0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0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0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0</v>
      </c>
      <c r="B124" s="191">
        <f>'Données projet'!D122</f>
        <v>0</v>
      </c>
      <c r="C124" s="202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0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Chêne rouge d'Amérique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5">
        <f>'Données projet'!D140</f>
        <v>0</v>
      </c>
      <c r="C147" s="204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5">
        <f>'Données projet'!D141</f>
        <v>0</v>
      </c>
      <c r="C148" s="204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5">
        <f>'Données projet'!D142</f>
        <v>29</v>
      </c>
      <c r="C149" s="204">
        <v>10</v>
      </c>
      <c r="D149" s="192">
        <f t="shared" si="10"/>
        <v>290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5">
        <f>'Données projet'!D143</f>
        <v>0</v>
      </c>
      <c r="C150" s="204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5">
        <f>'Données projet'!D144</f>
        <v>42</v>
      </c>
      <c r="C151" s="204">
        <v>10</v>
      </c>
      <c r="D151" s="192">
        <f t="shared" si="10"/>
        <v>420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5">
        <f>'Données projet'!D145</f>
        <v>0</v>
      </c>
      <c r="C152" s="204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5">
        <f>'Données projet'!D146</f>
        <v>42</v>
      </c>
      <c r="C153" s="204">
        <v>10</v>
      </c>
      <c r="D153" s="192">
        <f t="shared" si="10"/>
        <v>420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5">
        <f>'Données projet'!D147</f>
        <v>0</v>
      </c>
      <c r="C154" s="204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5">
        <f>'Données projet'!D148</f>
        <v>42</v>
      </c>
      <c r="C155" s="204">
        <v>20</v>
      </c>
      <c r="D155" s="192">
        <f t="shared" si="10"/>
        <v>840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5">
        <f>'Données projet'!D149</f>
        <v>0</v>
      </c>
      <c r="C156" s="204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5">
        <f>'Données projet'!D150</f>
        <v>42</v>
      </c>
      <c r="C157" s="204">
        <v>30</v>
      </c>
      <c r="D157" s="192">
        <f t="shared" si="10"/>
        <v>1260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5">
        <f>'Données projet'!D151</f>
        <v>0</v>
      </c>
      <c r="C158" s="204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5">
        <f>'Données projet'!D152</f>
        <v>42</v>
      </c>
      <c r="C159" s="204">
        <v>40</v>
      </c>
      <c r="D159" s="192">
        <f t="shared" si="10"/>
        <v>1680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90</v>
      </c>
      <c r="B160" s="185">
        <f>'Données projet'!D153</f>
        <v>42</v>
      </c>
      <c r="C160" s="204">
        <v>50</v>
      </c>
      <c r="D160" s="192">
        <f t="shared" si="10"/>
        <v>2100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100</v>
      </c>
      <c r="B161" s="185">
        <f>'Données projet'!D154</f>
        <v>42</v>
      </c>
      <c r="C161" s="204">
        <v>70</v>
      </c>
      <c r="D161" s="192">
        <f t="shared" si="10"/>
        <v>2940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110</v>
      </c>
      <c r="B162" s="185">
        <f>'Données projet'!D155</f>
        <v>39</v>
      </c>
      <c r="C162" s="204">
        <v>100</v>
      </c>
      <c r="D162" s="192">
        <f t="shared" si="10"/>
        <v>3900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120</v>
      </c>
      <c r="B163" s="185">
        <f>'Données projet'!D156</f>
        <v>35</v>
      </c>
      <c r="C163" s="204">
        <v>120</v>
      </c>
      <c r="D163" s="192">
        <f t="shared" si="10"/>
        <v>4200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130</v>
      </c>
      <c r="B164" s="185">
        <f>'Données projet'!D157</f>
        <v>31</v>
      </c>
      <c r="C164" s="204">
        <v>120</v>
      </c>
      <c r="D164" s="192">
        <f t="shared" si="10"/>
        <v>3720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140</v>
      </c>
      <c r="B165" s="185">
        <f>'Données projet'!D158</f>
        <v>27</v>
      </c>
      <c r="C165" s="204">
        <v>150</v>
      </c>
      <c r="D165" s="192">
        <f t="shared" si="10"/>
        <v>4050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5">
        <f>'Données projet'!D159</f>
        <v>293</v>
      </c>
      <c r="C166" s="204">
        <v>200</v>
      </c>
      <c r="D166" s="192">
        <f t="shared" si="10"/>
        <v>58600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Chêne pubescent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20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25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30</v>
      </c>
      <c r="B180" s="191">
        <f>'Données projet'!D168</f>
        <v>29</v>
      </c>
      <c r="C180" s="204">
        <v>10</v>
      </c>
      <c r="D180" s="189">
        <f t="shared" si="11"/>
        <v>290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35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40</v>
      </c>
      <c r="B182" s="191">
        <f>'Données projet'!D170</f>
        <v>42</v>
      </c>
      <c r="C182" s="204">
        <v>10</v>
      </c>
      <c r="D182" s="189">
        <f t="shared" si="11"/>
        <v>420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45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50</v>
      </c>
      <c r="B184" s="191">
        <f>'Données projet'!D172</f>
        <v>42</v>
      </c>
      <c r="C184" s="204">
        <v>10</v>
      </c>
      <c r="D184" s="189">
        <f t="shared" si="11"/>
        <v>420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55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60</v>
      </c>
      <c r="B186" s="191">
        <f>'Données projet'!D174</f>
        <v>42</v>
      </c>
      <c r="C186" s="204">
        <v>20</v>
      </c>
      <c r="D186" s="189">
        <f t="shared" si="11"/>
        <v>840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65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70</v>
      </c>
      <c r="B188" s="191">
        <f>'Données projet'!D176</f>
        <v>42</v>
      </c>
      <c r="C188" s="204">
        <v>30</v>
      </c>
      <c r="D188" s="189">
        <f t="shared" si="11"/>
        <v>1260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75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80</v>
      </c>
      <c r="B190" s="191">
        <f>'Données projet'!D178</f>
        <v>42</v>
      </c>
      <c r="C190" s="204">
        <v>40</v>
      </c>
      <c r="D190" s="189">
        <f t="shared" si="11"/>
        <v>1680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90</v>
      </c>
      <c r="B191" s="191">
        <f>'Données projet'!D179</f>
        <v>42</v>
      </c>
      <c r="C191" s="204">
        <v>50</v>
      </c>
      <c r="D191" s="189">
        <f t="shared" si="11"/>
        <v>2100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100</v>
      </c>
      <c r="B192" s="191">
        <f>'Données projet'!D180</f>
        <v>42</v>
      </c>
      <c r="C192" s="204">
        <v>70</v>
      </c>
      <c r="D192" s="189">
        <f t="shared" si="11"/>
        <v>2940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110</v>
      </c>
      <c r="B193" s="191">
        <f>'Données projet'!D181</f>
        <v>39</v>
      </c>
      <c r="C193" s="204">
        <v>100</v>
      </c>
      <c r="D193" s="189">
        <f t="shared" si="11"/>
        <v>3900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120</v>
      </c>
      <c r="B194" s="191">
        <f>'Données projet'!D182</f>
        <v>35</v>
      </c>
      <c r="C194" s="204">
        <v>120</v>
      </c>
      <c r="D194" s="189">
        <f t="shared" si="11"/>
        <v>4200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130</v>
      </c>
      <c r="B195" s="191">
        <f>'Données projet'!D183</f>
        <v>31</v>
      </c>
      <c r="C195" s="204">
        <v>120</v>
      </c>
      <c r="D195" s="189">
        <f t="shared" si="11"/>
        <v>3720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140</v>
      </c>
      <c r="B196" s="191">
        <f>'Données projet'!D184</f>
        <v>27</v>
      </c>
      <c r="C196" s="204">
        <v>150</v>
      </c>
      <c r="D196" s="189">
        <f t="shared" si="11"/>
        <v>4050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150</v>
      </c>
      <c r="B197" s="191">
        <f>'Données projet'!D185</f>
        <v>293</v>
      </c>
      <c r="C197" s="204">
        <v>200</v>
      </c>
      <c r="D197" s="189">
        <f t="shared" si="11"/>
        <v>58600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Chêne sessile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20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25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30</v>
      </c>
      <c r="B211" s="191">
        <f>'Données projet'!D194</f>
        <v>29</v>
      </c>
      <c r="C211" s="204">
        <v>10</v>
      </c>
      <c r="D211" s="189">
        <f t="shared" si="12"/>
        <v>290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35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40</v>
      </c>
      <c r="B213" s="191">
        <f>'Données projet'!D196</f>
        <v>42</v>
      </c>
      <c r="C213" s="204">
        <v>10</v>
      </c>
      <c r="D213" s="189">
        <f t="shared" si="12"/>
        <v>420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45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50</v>
      </c>
      <c r="B215" s="191">
        <f>'Données projet'!D198</f>
        <v>42</v>
      </c>
      <c r="C215" s="204">
        <v>10</v>
      </c>
      <c r="D215" s="189">
        <f t="shared" si="12"/>
        <v>420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55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60</v>
      </c>
      <c r="B217" s="191">
        <f>'Données projet'!D200</f>
        <v>42</v>
      </c>
      <c r="C217" s="204">
        <v>20</v>
      </c>
      <c r="D217" s="189">
        <f t="shared" si="12"/>
        <v>840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65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70</v>
      </c>
      <c r="B219" s="191">
        <f>'Données projet'!D202</f>
        <v>42</v>
      </c>
      <c r="C219" s="204">
        <v>30</v>
      </c>
      <c r="D219" s="189">
        <f t="shared" si="12"/>
        <v>1260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75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80</v>
      </c>
      <c r="B221" s="191">
        <f>'Données projet'!D204</f>
        <v>42</v>
      </c>
      <c r="C221" s="204">
        <v>40</v>
      </c>
      <c r="D221" s="189">
        <f t="shared" si="12"/>
        <v>1680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90</v>
      </c>
      <c r="B222" s="191">
        <f>'Données projet'!D205</f>
        <v>42</v>
      </c>
      <c r="C222" s="204">
        <v>50</v>
      </c>
      <c r="D222" s="189">
        <f t="shared" si="12"/>
        <v>2100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100</v>
      </c>
      <c r="B223" s="191">
        <f>'Données projet'!D206</f>
        <v>42</v>
      </c>
      <c r="C223" s="204">
        <v>70</v>
      </c>
      <c r="D223" s="189">
        <f t="shared" si="12"/>
        <v>2940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110</v>
      </c>
      <c r="B224" s="191">
        <f>'Données projet'!D207</f>
        <v>39</v>
      </c>
      <c r="C224" s="204">
        <v>100</v>
      </c>
      <c r="D224" s="189">
        <f t="shared" si="12"/>
        <v>3900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120</v>
      </c>
      <c r="B225" s="191">
        <f>'Données projet'!D208</f>
        <v>35</v>
      </c>
      <c r="C225" s="204">
        <v>120</v>
      </c>
      <c r="D225" s="189">
        <f t="shared" si="12"/>
        <v>4200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130</v>
      </c>
      <c r="B226" s="191">
        <f>'Données projet'!D209</f>
        <v>31</v>
      </c>
      <c r="C226" s="204">
        <v>120</v>
      </c>
      <c r="D226" s="189">
        <f t="shared" si="12"/>
        <v>3720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140</v>
      </c>
      <c r="B227" s="191">
        <f>'Données projet'!D210</f>
        <v>27</v>
      </c>
      <c r="C227" s="204">
        <v>150</v>
      </c>
      <c r="D227" s="189">
        <f t="shared" si="12"/>
        <v>4050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150</v>
      </c>
      <c r="B228" s="191">
        <f>'Données projet'!D211</f>
        <v>293</v>
      </c>
      <c r="C228" s="204">
        <v>200</v>
      </c>
      <c r="D228" s="189">
        <f t="shared" si="12"/>
        <v>58600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>Alisier torminal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20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25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30</v>
      </c>
      <c r="B242" s="191">
        <f>'Données projet'!D220</f>
        <v>29</v>
      </c>
      <c r="C242" s="204">
        <v>10</v>
      </c>
      <c r="D242" s="189">
        <f t="shared" si="13"/>
        <v>290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35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40</v>
      </c>
      <c r="B244" s="191">
        <f>'Données projet'!D222</f>
        <v>42</v>
      </c>
      <c r="C244" s="204">
        <v>10</v>
      </c>
      <c r="D244" s="189">
        <f t="shared" si="13"/>
        <v>420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45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50</v>
      </c>
      <c r="B246" s="191">
        <f>'Données projet'!D224</f>
        <v>42</v>
      </c>
      <c r="C246" s="204">
        <v>10</v>
      </c>
      <c r="D246" s="189">
        <f t="shared" si="13"/>
        <v>420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55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60</v>
      </c>
      <c r="B248" s="191">
        <f>'Données projet'!D226</f>
        <v>42</v>
      </c>
      <c r="C248" s="204">
        <v>20</v>
      </c>
      <c r="D248" s="189">
        <f t="shared" si="13"/>
        <v>840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65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70</v>
      </c>
      <c r="B250" s="191">
        <f>'Données projet'!D228</f>
        <v>42</v>
      </c>
      <c r="C250" s="204">
        <v>30</v>
      </c>
      <c r="D250" s="189">
        <f t="shared" si="13"/>
        <v>1260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75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80</v>
      </c>
      <c r="B252" s="191">
        <f>'Données projet'!D230</f>
        <v>42</v>
      </c>
      <c r="C252" s="204">
        <v>40</v>
      </c>
      <c r="D252" s="189">
        <f t="shared" si="13"/>
        <v>1680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90</v>
      </c>
      <c r="B253" s="191">
        <f>'Données projet'!D231</f>
        <v>42</v>
      </c>
      <c r="C253" s="204">
        <v>50</v>
      </c>
      <c r="D253" s="189">
        <f t="shared" si="13"/>
        <v>2100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100</v>
      </c>
      <c r="B254" s="191">
        <f>'Données projet'!D232</f>
        <v>42</v>
      </c>
      <c r="C254" s="204">
        <v>70</v>
      </c>
      <c r="D254" s="189">
        <f t="shared" si="13"/>
        <v>2940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110</v>
      </c>
      <c r="B255" s="191">
        <f>'Données projet'!D233</f>
        <v>39</v>
      </c>
      <c r="C255" s="204">
        <v>100</v>
      </c>
      <c r="D255" s="189">
        <f t="shared" si="13"/>
        <v>3900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120</v>
      </c>
      <c r="B256" s="191">
        <f>'Données projet'!D234</f>
        <v>35</v>
      </c>
      <c r="C256" s="204">
        <v>120</v>
      </c>
      <c r="D256" s="189">
        <f t="shared" si="13"/>
        <v>4200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130</v>
      </c>
      <c r="B257" s="191">
        <f>'Données projet'!D235</f>
        <v>31</v>
      </c>
      <c r="C257" s="204">
        <v>120</v>
      </c>
      <c r="D257" s="189">
        <f t="shared" si="13"/>
        <v>3720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140</v>
      </c>
      <c r="B258" s="191">
        <f>'Données projet'!D236</f>
        <v>27</v>
      </c>
      <c r="C258" s="204">
        <v>150</v>
      </c>
      <c r="D258" s="189">
        <f t="shared" si="13"/>
        <v>4050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150</v>
      </c>
      <c r="B259" s="191">
        <f>'Données projet'!D237</f>
        <v>293</v>
      </c>
      <c r="C259" s="204">
        <v>200</v>
      </c>
      <c r="D259" s="189">
        <f t="shared" si="13"/>
        <v>58600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/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/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/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/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/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/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Hippolyte.Reignier</cp:lastModifiedBy>
  <dcterms:created xsi:type="dcterms:W3CDTF">2021-02-01T08:22:39Z</dcterms:created>
  <dcterms:modified xsi:type="dcterms:W3CDTF">2024-03-20T14:09:33Z</dcterms:modified>
</cp:coreProperties>
</file>