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Naudet\Boisement Naudet_La Possonière (49)\Dossier d_instruction\"/>
    </mc:Choice>
  </mc:AlternateContent>
  <xr:revisionPtr revIDLastSave="0" documentId="13_ncr:1_{F48623EA-01BD-462A-A9AC-71B12FE44E60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19" i="2" a="1"/>
  <c r="AH1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105" i="2" l="1" a="1"/>
  <c r="CS105" i="2" s="1"/>
  <c r="CS72" i="2" a="1"/>
  <c r="CS72" i="2" s="1"/>
  <c r="CS129" i="2" a="1"/>
  <c r="CS129" i="2" s="1"/>
  <c r="CS137" i="2" a="1"/>
  <c r="CS137" i="2" s="1"/>
  <c r="CS185" i="2" a="1"/>
  <c r="CS185" i="2" s="1"/>
  <c r="CS161" i="2" a="1"/>
  <c r="CS161" i="2" s="1"/>
  <c r="CS77" i="2" a="1"/>
  <c r="CS77" i="2" s="1"/>
  <c r="CS52" i="2" a="1"/>
  <c r="CS52" i="2" s="1"/>
  <c r="CS134" i="2" a="1"/>
  <c r="CS134" i="2" s="1"/>
  <c r="CS24" i="2" a="1"/>
  <c r="CS24" i="2" s="1"/>
  <c r="CS114" i="2" a="1"/>
  <c r="CS114" i="2" s="1"/>
  <c r="CS120" i="2" a="1"/>
  <c r="CS120" i="2" s="1"/>
  <c r="CS38" i="2" a="1"/>
  <c r="CS38" i="2" s="1"/>
  <c r="CS116" i="2" a="1"/>
  <c r="CS116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CY6" i="2" l="1"/>
  <c r="CY109" i="2"/>
  <c r="CY121" i="2"/>
  <c r="CY62" i="2"/>
  <c r="CY24" i="2"/>
  <c r="CY151" i="2"/>
  <c r="CY27" i="2"/>
  <c r="CY200" i="2"/>
  <c r="CY153" i="2"/>
  <c r="CY47" i="2"/>
  <c r="CY15" i="2"/>
  <c r="CY91" i="2"/>
  <c r="CY137" i="2"/>
  <c r="CY8" i="2"/>
  <c r="CY25" i="2"/>
  <c r="CY186" i="2"/>
  <c r="CY56" i="2"/>
  <c r="CY111" i="2"/>
  <c r="CY59" i="2"/>
  <c r="CY105" i="2"/>
  <c r="CY29" i="2"/>
  <c r="CY42" i="2"/>
  <c r="CY193" i="2"/>
  <c r="CY30" i="2"/>
  <c r="CY40" i="2"/>
  <c r="CY71" i="2"/>
  <c r="CY18" i="2"/>
  <c r="CY123" i="2"/>
  <c r="CY113" i="2"/>
  <c r="CY172" i="2"/>
  <c r="CY125" i="2"/>
  <c r="CY173" i="2"/>
  <c r="CY161" i="2"/>
  <c r="CY195" i="2"/>
  <c r="CY157" i="2"/>
  <c r="CY182" i="2"/>
  <c r="CY84" i="2"/>
  <c r="CY79" i="2"/>
  <c r="CY144" i="2"/>
  <c r="CY23" i="2"/>
  <c r="CY98" i="2"/>
  <c r="CY37" i="2"/>
  <c r="CY50" i="2"/>
  <c r="CY107" i="2"/>
  <c r="CY177" i="2"/>
  <c r="CY160" i="2"/>
  <c r="CY85" i="2"/>
  <c r="CY11" i="2"/>
  <c r="CY118" i="2"/>
  <c r="CY162" i="2"/>
  <c r="CY181" i="2"/>
  <c r="CY163" i="2"/>
  <c r="CY139" i="2"/>
  <c r="CY64" i="2"/>
  <c r="CY169" i="2"/>
  <c r="CY33" i="2"/>
  <c r="CY14" i="2"/>
  <c r="CY90" i="2"/>
  <c r="CY178" i="2"/>
  <c r="CY19" i="2"/>
  <c r="CY58" i="2"/>
  <c r="CY28" i="2"/>
  <c r="CY159" i="2"/>
  <c r="CY7" i="2"/>
  <c r="CY156" i="2"/>
  <c r="CY128" i="2"/>
  <c r="CY94" i="2"/>
  <c r="CY31" i="2"/>
  <c r="CY70" i="2"/>
  <c r="CY136" i="2"/>
  <c r="CY192" i="2"/>
  <c r="CY68" i="2"/>
  <c r="CY155" i="2"/>
  <c r="CY119" i="2"/>
  <c r="CY196" i="2"/>
  <c r="CY57" i="2"/>
  <c r="CY147" i="2"/>
  <c r="CY102" i="2"/>
  <c r="CY183" i="2"/>
  <c r="CY112" i="2"/>
  <c r="CY5" i="2"/>
  <c r="CY78" i="2"/>
  <c r="CY108" i="2"/>
  <c r="CY46" i="2"/>
  <c r="CY52" i="2"/>
  <c r="CY21" i="2"/>
  <c r="CY122" i="2"/>
  <c r="CY135" i="2"/>
  <c r="CY175" i="2"/>
  <c r="CY89" i="2"/>
  <c r="CY170" i="2"/>
  <c r="CY88" i="2"/>
  <c r="CY75" i="2"/>
  <c r="CY130" i="2"/>
  <c r="CY166" i="2"/>
  <c r="CY194" i="2"/>
  <c r="CY158" i="2"/>
  <c r="CY80" i="2"/>
  <c r="CY95" i="2"/>
  <c r="CY4" i="2"/>
  <c r="CY149" i="2"/>
  <c r="CY185" i="2"/>
  <c r="CY3" i="2"/>
  <c r="C10" i="4" s="1"/>
  <c r="E10" i="4" s="1"/>
  <c r="F10" i="4" s="1"/>
  <c r="G10" i="4" s="1"/>
  <c r="L10" i="4" s="1"/>
  <c r="CY184" i="2"/>
  <c r="CY116" i="2"/>
  <c r="CY77" i="2"/>
  <c r="CY145" i="2"/>
  <c r="CY174" i="2"/>
  <c r="CY13" i="2"/>
  <c r="CY131" i="2"/>
  <c r="CY165" i="2"/>
  <c r="CY20" i="2"/>
  <c r="CY76" i="2"/>
  <c r="CY67" i="2"/>
  <c r="CY51" i="2"/>
  <c r="CY12" i="2"/>
  <c r="CY22" i="2"/>
  <c r="CY138" i="2"/>
  <c r="CY150" i="2"/>
  <c r="CY133" i="2"/>
  <c r="CY134" i="2"/>
  <c r="CY83" i="2"/>
  <c r="CY164" i="2"/>
  <c r="CY93" i="2"/>
  <c r="CY132" i="2"/>
  <c r="CY117" i="2"/>
  <c r="CY168" i="2"/>
  <c r="CY72" i="2"/>
  <c r="CY199" i="2"/>
  <c r="CY203" i="2"/>
  <c r="CY198" i="2"/>
  <c r="CY66" i="2"/>
  <c r="CY152" i="2"/>
  <c r="CY39" i="2"/>
  <c r="CY36" i="2"/>
  <c r="CY32" i="2"/>
  <c r="CY180" i="2"/>
  <c r="CY171" i="2"/>
  <c r="CY120" i="2"/>
  <c r="CY96" i="2"/>
  <c r="CY140" i="2"/>
  <c r="CY41" i="2"/>
  <c r="CY99" i="2"/>
  <c r="CY92" i="2"/>
  <c r="CY176" i="2"/>
  <c r="CY87" i="2"/>
  <c r="CY69" i="2"/>
  <c r="CY201" i="2"/>
  <c r="CY60" i="2"/>
  <c r="CY53" i="2"/>
  <c r="CY44" i="2"/>
  <c r="CY179" i="2"/>
  <c r="CY61" i="2"/>
  <c r="CY106" i="2"/>
  <c r="CY127" i="2"/>
  <c r="CY191" i="2"/>
  <c r="CY189" i="2"/>
  <c r="CY110" i="2"/>
  <c r="CY146" i="2"/>
  <c r="CY38" i="2"/>
  <c r="CY154" i="2"/>
  <c r="CY143" i="2"/>
  <c r="CY43" i="2"/>
  <c r="CY141" i="2"/>
  <c r="CY74" i="2"/>
  <c r="CY82" i="2"/>
  <c r="CY73" i="2"/>
  <c r="CY104" i="2"/>
  <c r="CY48" i="2"/>
  <c r="CY101" i="2"/>
  <c r="CY114" i="2"/>
  <c r="CY190" i="2"/>
  <c r="CY63" i="2"/>
  <c r="CY188" i="2"/>
  <c r="CY103" i="2"/>
  <c r="CY81" i="2"/>
  <c r="CY86" i="2"/>
  <c r="CY10" i="2"/>
  <c r="CY187" i="2"/>
  <c r="CY9" i="2"/>
  <c r="CY17" i="2"/>
  <c r="CY65" i="2"/>
  <c r="CY35" i="2"/>
  <c r="CY100" i="2"/>
  <c r="CY115" i="2"/>
  <c r="CY34" i="2"/>
  <c r="CY148" i="2"/>
  <c r="CY197" i="2"/>
  <c r="CY126" i="2"/>
  <c r="CY124" i="2"/>
  <c r="CY49" i="2"/>
  <c r="CY55" i="2"/>
  <c r="CY16" i="2"/>
  <c r="CY26" i="2"/>
  <c r="CY54" i="2"/>
  <c r="CY167" i="2"/>
  <c r="CY142" i="2"/>
  <c r="CY202" i="2"/>
  <c r="CY129" i="2"/>
  <c r="CY97" i="2"/>
  <c r="CY45" i="2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<sst xmlns="http://schemas.openxmlformats.org/spreadsheetml/2006/main" count="1179" uniqueCount="326">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</sst>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5" fillId="0" borderId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Normal 2" xfId="3" xr:uid="{F1FFC224-847E-44F9-B481-5FF33DBDC8B5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1.6202091289464609</c:v>
                </c:pt>
                <c:pt idx="2">
                  <c:v>2.1426861659625378</c:v>
                </c:pt>
                <c:pt idx="3">
                  <c:v>2.8343538096715353</c:v>
                </c:pt>
                <c:pt idx="4">
                  <c:v>3.750215551424795</c:v>
                </c:pt>
                <c:pt idx="5">
                  <c:v>4.9632220203237694</c:v>
                </c:pt>
                <c:pt idx="6">
                  <c:v>6.5701468754391996</c:v>
                </c:pt>
                <c:pt idx="7">
                  <c:v>8.6993924802311628</c:v>
                </c:pt>
                <c:pt idx="8">
                  <c:v>11.521360957053394</c:v>
                </c:pt>
                <c:pt idx="9">
                  <c:v>15.262236105676472</c:v>
                </c:pt>
                <c:pt idx="10">
                  <c:v>20.222301026879929</c:v>
                </c:pt>
                <c:pt idx="11">
                  <c:v>26.800288163489981</c:v>
                </c:pt>
                <c:pt idx="12">
                  <c:v>35.525753557689733</c:v>
                </c:pt>
                <c:pt idx="13">
                  <c:v>47.102126332835446</c:v>
                </c:pt>
                <c:pt idx="14">
                  <c:v>62.463962254142665</c:v>
                </c:pt>
                <c:pt idx="15">
                  <c:v>82.85309935773347</c:v>
                </c:pt>
                <c:pt idx="16">
                  <c:v>107.5714367632949</c:v>
                </c:pt>
                <c:pt idx="17">
                  <c:v>132.14910489975804</c:v>
                </c:pt>
                <c:pt idx="18">
                  <c:v>156.61609434461207</c:v>
                </c:pt>
                <c:pt idx="19">
                  <c:v>180.99217685858619</c:v>
                </c:pt>
                <c:pt idx="20">
                  <c:v>205.29133473515969</c:v>
                </c:pt>
                <c:pt idx="21">
                  <c:v>185.85778785150788</c:v>
                </c:pt>
                <c:pt idx="22">
                  <c:v>216.00176068460652</c:v>
                </c:pt>
                <c:pt idx="23">
                  <c:v>246.04884729357317</c:v>
                </c:pt>
                <c:pt idx="24">
                  <c:v>276.01254545472335</c:v>
                </c:pt>
                <c:pt idx="25">
                  <c:v>305.90317747212345</c:v>
                </c:pt>
                <c:pt idx="26">
                  <c:v>260.53766392680978</c:v>
                </c:pt>
                <c:pt idx="27">
                  <c:v>292.47090180189429</c:v>
                </c:pt>
                <c:pt idx="28">
                  <c:v>324.32626909194676</c:v>
                </c:pt>
                <c:pt idx="29">
                  <c:v>356.11248323761021</c:v>
                </c:pt>
                <c:pt idx="30">
                  <c:v>387.83657804664432</c:v>
                </c:pt>
                <c:pt idx="31">
                  <c:v>342.32647548510039</c:v>
                </c:pt>
                <c:pt idx="32">
                  <c:v>373.6777537813179</c:v>
                </c:pt>
                <c:pt idx="33">
                  <c:v>404.97172072395028</c:v>
                </c:pt>
                <c:pt idx="34">
                  <c:v>436.21342207075668</c:v>
                </c:pt>
                <c:pt idx="35">
                  <c:v>467.40712233198587</c:v>
                </c:pt>
                <c:pt idx="36">
                  <c:v>420.69831700274091</c:v>
                </c:pt>
                <c:pt idx="37">
                  <c:v>450.52453926699656</c:v>
                </c:pt>
                <c:pt idx="38">
                  <c:v>480.30853891265809</c:v>
                </c:pt>
                <c:pt idx="39">
                  <c:v>510.05329873866987</c:v>
                </c:pt>
                <c:pt idx="40">
                  <c:v>539.76142564164661</c:v>
                </c:pt>
                <c:pt idx="41">
                  <c:v>491.21936176570608</c:v>
                </c:pt>
                <c:pt idx="42">
                  <c:v>518.96947327099531</c:v>
                </c:pt>
                <c:pt idx="43">
                  <c:v>546.68830251799864</c:v>
                </c:pt>
                <c:pt idx="44">
                  <c:v>574.37765656188196</c:v>
                </c:pt>
                <c:pt idx="45">
                  <c:v>602.0391542325317</c:v>
                </c:pt>
                <c:pt idx="46">
                  <c:v>552.03063378489981</c:v>
                </c:pt>
                <c:pt idx="47">
                  <c:v>578.13331675125153</c:v>
                </c:pt>
                <c:pt idx="48">
                  <c:v>604.21142107354433</c:v>
                </c:pt>
                <c:pt idx="49">
                  <c:v>630.26615542315449</c:v>
                </c:pt>
                <c:pt idx="50">
                  <c:v>656.29862051784369</c:v>
                </c:pt>
                <c:pt idx="51">
                  <c:v>605.39622547563874</c:v>
                </c:pt>
                <c:pt idx="52">
                  <c:v>629.47695051408391</c:v>
                </c:pt>
                <c:pt idx="53">
                  <c:v>653.53862634443976</c:v>
                </c:pt>
                <c:pt idx="54">
                  <c:v>677.58205212950963</c:v>
                </c:pt>
                <c:pt idx="55">
                  <c:v>701.6079657632057</c:v>
                </c:pt>
                <c:pt idx="56">
                  <c:v>658.86125812821149</c:v>
                </c:pt>
                <c:pt idx="57">
                  <c:v>681.1279433183812</c:v>
                </c:pt>
                <c:pt idx="58">
                  <c:v>703.37969466682216</c:v>
                </c:pt>
                <c:pt idx="59">
                  <c:v>725.61705054675224</c:v>
                </c:pt>
                <c:pt idx="60">
                  <c:v>747.84051368319672</c:v>
                </c:pt>
                <c:pt idx="61">
                  <c:v>709.67843760807307</c:v>
                </c:pt>
                <c:pt idx="62">
                  <c:v>730.53492575764778</c:v>
                </c:pt>
                <c:pt idx="63">
                  <c:v>751.3792832898913</c:v>
                </c:pt>
                <c:pt idx="64">
                  <c:v>772.21189370950435</c:v>
                </c:pt>
                <c:pt idx="65">
                  <c:v>793.03311816691746</c:v>
                </c:pt>
                <c:pt idx="66">
                  <c:v>757.07992270878549</c:v>
                </c:pt>
                <c:pt idx="67">
                  <c:v>776.14128750193925</c:v>
                </c:pt>
                <c:pt idx="68">
                  <c:v>795.19317303888658</c:v>
                </c:pt>
                <c:pt idx="69">
                  <c:v>814.23583815877089</c:v>
                </c:pt>
                <c:pt idx="70">
                  <c:v>833.2695286207304</c:v>
                </c:pt>
                <c:pt idx="71">
                  <c:v>798.92389786277101</c:v>
                </c:pt>
                <c:pt idx="72">
                  <c:v>816.5910031168105</c:v>
                </c:pt>
                <c:pt idx="73">
                  <c:v>834.25040783808493</c:v>
                </c:pt>
                <c:pt idx="74">
                  <c:v>851.90229781195683</c:v>
                </c:pt>
                <c:pt idx="75">
                  <c:v>869.5468505056682</c:v>
                </c:pt>
                <c:pt idx="76">
                  <c:v>836.80058534437376</c:v>
                </c:pt>
                <c:pt idx="77">
                  <c:v>853.07882767831904</c:v>
                </c:pt>
                <c:pt idx="78">
                  <c:v>869.35083960501481</c:v>
                </c:pt>
                <c:pt idx="79">
                  <c:v>885.61675404580762</c:v>
                </c:pt>
                <c:pt idx="80">
                  <c:v>901.87669864666202</c:v>
                </c:pt>
                <c:pt idx="81">
                  <c:v>854.8435614514475</c:v>
                </c:pt>
                <c:pt idx="82">
                  <c:v>854.8435614514475</c:v>
                </c:pt>
                <c:pt idx="83">
                  <c:v>854.8435614514475</c:v>
                </c:pt>
                <c:pt idx="84">
                  <c:v>854.8435614514475</c:v>
                </c:pt>
                <c:pt idx="85">
                  <c:v>854.8435614514475</c:v>
                </c:pt>
                <c:pt idx="86">
                  <c:v>854.8435614514475</c:v>
                </c:pt>
                <c:pt idx="87">
                  <c:v>854.8435614514475</c:v>
                </c:pt>
                <c:pt idx="88">
                  <c:v>854.8435614514475</c:v>
                </c:pt>
                <c:pt idx="89">
                  <c:v>854.8435614514475</c:v>
                </c:pt>
                <c:pt idx="90">
                  <c:v>854.8435614514475</c:v>
                </c:pt>
                <c:pt idx="91">
                  <c:v>854.8435614514475</c:v>
                </c:pt>
                <c:pt idx="92">
                  <c:v>854.8435614514475</c:v>
                </c:pt>
                <c:pt idx="93">
                  <c:v>854.8435614514475</c:v>
                </c:pt>
                <c:pt idx="94">
                  <c:v>854.8435614514475</c:v>
                </c:pt>
                <c:pt idx="95">
                  <c:v>854.8435614514475</c:v>
                </c:pt>
                <c:pt idx="96">
                  <c:v>854.8435614514475</c:v>
                </c:pt>
                <c:pt idx="97">
                  <c:v>854.8435614514475</c:v>
                </c:pt>
                <c:pt idx="98">
                  <c:v>854.8435614514475</c:v>
                </c:pt>
                <c:pt idx="99">
                  <c:v>854.8435614514475</c:v>
                </c:pt>
                <c:pt idx="100">
                  <c:v>854.8435614514475</c:v>
                </c:pt>
                <c:pt idx="101">
                  <c:v>854.8435614514475</c:v>
                </c:pt>
                <c:pt idx="102">
                  <c:v>854.8435614514475</c:v>
                </c:pt>
                <c:pt idx="103">
                  <c:v>854.8435614514475</c:v>
                </c:pt>
                <c:pt idx="104">
                  <c:v>854.8435614514475</c:v>
                </c:pt>
                <c:pt idx="105">
                  <c:v>854.8435614514475</c:v>
                </c:pt>
                <c:pt idx="106">
                  <c:v>854.8435614514475</c:v>
                </c:pt>
                <c:pt idx="107">
                  <c:v>854.8435614514475</c:v>
                </c:pt>
                <c:pt idx="108">
                  <c:v>854.8435614514475</c:v>
                </c:pt>
                <c:pt idx="109">
                  <c:v>854.8435614514475</c:v>
                </c:pt>
                <c:pt idx="110">
                  <c:v>854.8435614514475</c:v>
                </c:pt>
                <c:pt idx="111">
                  <c:v>854.8435614514475</c:v>
                </c:pt>
                <c:pt idx="112">
                  <c:v>854.8435614514475</c:v>
                </c:pt>
                <c:pt idx="113">
                  <c:v>854.8435614514475</c:v>
                </c:pt>
                <c:pt idx="114">
                  <c:v>854.8435614514475</c:v>
                </c:pt>
                <c:pt idx="115">
                  <c:v>854.8435614514475</c:v>
                </c:pt>
                <c:pt idx="116">
                  <c:v>854.8435614514475</c:v>
                </c:pt>
                <c:pt idx="117">
                  <c:v>854.8435614514475</c:v>
                </c:pt>
                <c:pt idx="118">
                  <c:v>854.8435614514475</c:v>
                </c:pt>
                <c:pt idx="119">
                  <c:v>854.8435614514475</c:v>
                </c:pt>
                <c:pt idx="120">
                  <c:v>854.8435614514475</c:v>
                </c:pt>
                <c:pt idx="121">
                  <c:v>854.8435614514475</c:v>
                </c:pt>
                <c:pt idx="122">
                  <c:v>854.8435614514475</c:v>
                </c:pt>
                <c:pt idx="123">
                  <c:v>854.8435614514475</c:v>
                </c:pt>
                <c:pt idx="124">
                  <c:v>854.8435614514475</c:v>
                </c:pt>
                <c:pt idx="125">
                  <c:v>854.8435614514475</c:v>
                </c:pt>
                <c:pt idx="126">
                  <c:v>854.8435614514475</c:v>
                </c:pt>
                <c:pt idx="127">
                  <c:v>854.8435614514475</c:v>
                </c:pt>
                <c:pt idx="128">
                  <c:v>854.8435614514475</c:v>
                </c:pt>
                <c:pt idx="129">
                  <c:v>854.8435614514475</c:v>
                </c:pt>
                <c:pt idx="130">
                  <c:v>854.8435614514475</c:v>
                </c:pt>
                <c:pt idx="131">
                  <c:v>854.8435614514475</c:v>
                </c:pt>
                <c:pt idx="132">
                  <c:v>854.8435614514475</c:v>
                </c:pt>
                <c:pt idx="133">
                  <c:v>854.8435614514475</c:v>
                </c:pt>
                <c:pt idx="134">
                  <c:v>854.8435614514475</c:v>
                </c:pt>
                <c:pt idx="135">
                  <c:v>854.8435614514475</c:v>
                </c:pt>
                <c:pt idx="136">
                  <c:v>854.8435614514475</c:v>
                </c:pt>
                <c:pt idx="137">
                  <c:v>854.8435614514475</c:v>
                </c:pt>
                <c:pt idx="138">
                  <c:v>854.8435614514475</c:v>
                </c:pt>
                <c:pt idx="139">
                  <c:v>854.8435614514475</c:v>
                </c:pt>
                <c:pt idx="140">
                  <c:v>854.8435614514475</c:v>
                </c:pt>
                <c:pt idx="141">
                  <c:v>854.8435614514475</c:v>
                </c:pt>
                <c:pt idx="142">
                  <c:v>854.8435614514475</c:v>
                </c:pt>
                <c:pt idx="143">
                  <c:v>854.8435614514475</c:v>
                </c:pt>
                <c:pt idx="144">
                  <c:v>854.8435614514475</c:v>
                </c:pt>
                <c:pt idx="145">
                  <c:v>854.8435614514475</c:v>
                </c:pt>
                <c:pt idx="146">
                  <c:v>854.8435614514475</c:v>
                </c:pt>
                <c:pt idx="147">
                  <c:v>854.8435614514475</c:v>
                </c:pt>
                <c:pt idx="148">
                  <c:v>854.8435614514475</c:v>
                </c:pt>
                <c:pt idx="149">
                  <c:v>854.8435614514475</c:v>
                </c:pt>
                <c:pt idx="150">
                  <c:v>854.8435614514475</c:v>
                </c:pt>
                <c:pt idx="151">
                  <c:v>854.8435614514475</c:v>
                </c:pt>
                <c:pt idx="152">
                  <c:v>854.8435614514475</c:v>
                </c:pt>
                <c:pt idx="153">
                  <c:v>854.8435614514475</c:v>
                </c:pt>
                <c:pt idx="154">
                  <c:v>854.8435614514475</c:v>
                </c:pt>
                <c:pt idx="155">
                  <c:v>854.8435614514475</c:v>
                </c:pt>
                <c:pt idx="156">
                  <c:v>854.8435614514475</c:v>
                </c:pt>
                <c:pt idx="157">
                  <c:v>854.8435614514475</c:v>
                </c:pt>
                <c:pt idx="158">
                  <c:v>854.8435614514475</c:v>
                </c:pt>
                <c:pt idx="159">
                  <c:v>854.8435614514475</c:v>
                </c:pt>
                <c:pt idx="160">
                  <c:v>854.8435614514475</c:v>
                </c:pt>
                <c:pt idx="161">
                  <c:v>854.8435614514475</c:v>
                </c:pt>
                <c:pt idx="162">
                  <c:v>854.8435614514475</c:v>
                </c:pt>
                <c:pt idx="163">
                  <c:v>854.8435614514475</c:v>
                </c:pt>
                <c:pt idx="164">
                  <c:v>854.8435614514475</c:v>
                </c:pt>
                <c:pt idx="165">
                  <c:v>854.8435614514475</c:v>
                </c:pt>
                <c:pt idx="166">
                  <c:v>854.8435614514475</c:v>
                </c:pt>
                <c:pt idx="167">
                  <c:v>854.8435614514475</c:v>
                </c:pt>
                <c:pt idx="168">
                  <c:v>854.8435614514475</c:v>
                </c:pt>
                <c:pt idx="169">
                  <c:v>854.8435614514475</c:v>
                </c:pt>
                <c:pt idx="170">
                  <c:v>854.8435614514475</c:v>
                </c:pt>
                <c:pt idx="171">
                  <c:v>854.8435614514475</c:v>
                </c:pt>
                <c:pt idx="172">
                  <c:v>854.8435614514475</c:v>
                </c:pt>
                <c:pt idx="173">
                  <c:v>854.8435614514475</c:v>
                </c:pt>
                <c:pt idx="174">
                  <c:v>854.8435614514475</c:v>
                </c:pt>
                <c:pt idx="175">
                  <c:v>854.8435614514475</c:v>
                </c:pt>
                <c:pt idx="176">
                  <c:v>854.8435614514475</c:v>
                </c:pt>
                <c:pt idx="177">
                  <c:v>854.8435614514475</c:v>
                </c:pt>
                <c:pt idx="178">
                  <c:v>854.8435614514475</c:v>
                </c:pt>
                <c:pt idx="179">
                  <c:v>854.8435614514475</c:v>
                </c:pt>
                <c:pt idx="180">
                  <c:v>854.8435614514475</c:v>
                </c:pt>
                <c:pt idx="181">
                  <c:v>854.8435614514475</c:v>
                </c:pt>
                <c:pt idx="182">
                  <c:v>854.8435614514475</c:v>
                </c:pt>
                <c:pt idx="183">
                  <c:v>854.8435614514475</c:v>
                </c:pt>
                <c:pt idx="184">
                  <c:v>854.8435614514475</c:v>
                </c:pt>
                <c:pt idx="185">
                  <c:v>854.8435614514475</c:v>
                </c:pt>
                <c:pt idx="186">
                  <c:v>854.8435614514475</c:v>
                </c:pt>
                <c:pt idx="187">
                  <c:v>854.8435614514475</c:v>
                </c:pt>
                <c:pt idx="188">
                  <c:v>854.8435614514475</c:v>
                </c:pt>
                <c:pt idx="189">
                  <c:v>854.8435614514475</c:v>
                </c:pt>
                <c:pt idx="190">
                  <c:v>854.8435614514475</c:v>
                </c:pt>
                <c:pt idx="191">
                  <c:v>854.8435614514475</c:v>
                </c:pt>
                <c:pt idx="192">
                  <c:v>854.8435614514475</c:v>
                </c:pt>
                <c:pt idx="193">
                  <c:v>854.8435614514475</c:v>
                </c:pt>
                <c:pt idx="194">
                  <c:v>854.8435614514475</c:v>
                </c:pt>
                <c:pt idx="195">
                  <c:v>854.8435614514475</c:v>
                </c:pt>
                <c:pt idx="196">
                  <c:v>854.8435614514475</c:v>
                </c:pt>
                <c:pt idx="197">
                  <c:v>854.8435614514475</c:v>
                </c:pt>
                <c:pt idx="198">
                  <c:v>854.8435614514475</c:v>
                </c:pt>
                <c:pt idx="199">
                  <c:v>854.8435614514475</c:v>
                </c:pt>
                <c:pt idx="200">
                  <c:v>854.8435614514475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2.0969602945498664</c:v>
                </c:pt>
                <c:pt idx="2">
                  <c:v>2.8357509146838429</c:v>
                </c:pt>
                <c:pt idx="3">
                  <c:v>3.8359251284742251</c:v>
                </c:pt>
                <c:pt idx="4">
                  <c:v>5.1903256844190615</c:v>
                </c:pt>
                <c:pt idx="5">
                  <c:v>7.024894087864042</c:v>
                </c:pt>
                <c:pt idx="6">
                  <c:v>9.5105105028157997</c:v>
                </c:pt>
                <c:pt idx="7">
                  <c:v>12.87908215718568</c:v>
                </c:pt>
                <c:pt idx="8">
                  <c:v>17.445409071329362</c:v>
                </c:pt>
                <c:pt idx="9">
                  <c:v>23.636907491648142</c:v>
                </c:pt>
                <c:pt idx="10">
                  <c:v>32.034022425849251</c:v>
                </c:pt>
                <c:pt idx="11">
                  <c:v>43.425183419861064</c:v>
                </c:pt>
                <c:pt idx="12">
                  <c:v>58.881550703343073</c:v>
                </c:pt>
                <c:pt idx="13">
                  <c:v>79.858696357450455</c:v>
                </c:pt>
                <c:pt idx="14">
                  <c:v>108.33495031942128</c:v>
                </c:pt>
                <c:pt idx="15">
                  <c:v>146.99966348541213</c:v>
                </c:pt>
                <c:pt idx="16">
                  <c:v>156.62739934432412</c:v>
                </c:pt>
                <c:pt idx="17">
                  <c:v>184.39391627214411</c:v>
                </c:pt>
                <c:pt idx="18">
                  <c:v>212.06258976593335</c:v>
                </c:pt>
                <c:pt idx="19">
                  <c:v>239.64799179342674</c:v>
                </c:pt>
                <c:pt idx="20">
                  <c:v>267.16105648727711</c:v>
                </c:pt>
                <c:pt idx="21">
                  <c:v>215.41828493678068</c:v>
                </c:pt>
                <c:pt idx="22">
                  <c:v>244.79583422246174</c:v>
                </c:pt>
                <c:pt idx="23">
                  <c:v>274.09322583636032</c:v>
                </c:pt>
                <c:pt idx="24">
                  <c:v>303.32022941903887</c:v>
                </c:pt>
                <c:pt idx="25">
                  <c:v>332.48457638864602</c:v>
                </c:pt>
                <c:pt idx="26">
                  <c:v>282.56053853494808</c:v>
                </c:pt>
                <c:pt idx="27">
                  <c:v>313.30421540273613</c:v>
                </c:pt>
                <c:pt idx="28">
                  <c:v>343.98098656104861</c:v>
                </c:pt>
                <c:pt idx="29">
                  <c:v>374.5976518491409</c:v>
                </c:pt>
                <c:pt idx="30">
                  <c:v>405.15980898705629</c:v>
                </c:pt>
                <c:pt idx="31">
                  <c:v>355.72415105802401</c:v>
                </c:pt>
                <c:pt idx="32">
                  <c:v>386.57404702087388</c:v>
                </c:pt>
                <c:pt idx="33">
                  <c:v>417.37048455983518</c:v>
                </c:pt>
                <c:pt idx="34">
                  <c:v>448.11795773064387</c:v>
                </c:pt>
                <c:pt idx="35">
                  <c:v>478.82029402342181</c:v>
                </c:pt>
                <c:pt idx="36">
                  <c:v>428.81099672215697</c:v>
                </c:pt>
                <c:pt idx="37">
                  <c:v>458.77990378694136</c:v>
                </c:pt>
                <c:pt idx="38">
                  <c:v>488.70702637244216</c:v>
                </c:pt>
                <c:pt idx="39">
                  <c:v>518.59527948582468</c:v>
                </c:pt>
                <c:pt idx="40">
                  <c:v>548.447215095052</c:v>
                </c:pt>
                <c:pt idx="41">
                  <c:v>496.05594318778844</c:v>
                </c:pt>
                <c:pt idx="42">
                  <c:v>523.40433797268429</c:v>
                </c:pt>
                <c:pt idx="43">
                  <c:v>550.7226327388712</c:v>
                </c:pt>
                <c:pt idx="44">
                  <c:v>578.01252860628688</c:v>
                </c:pt>
                <c:pt idx="45">
                  <c:v>605.27555315774487</c:v>
                </c:pt>
                <c:pt idx="46">
                  <c:v>554.76733354996088</c:v>
                </c:pt>
                <c:pt idx="47">
                  <c:v>580.03291566489941</c:v>
                </c:pt>
                <c:pt idx="48">
                  <c:v>605.27555315774487</c:v>
                </c:pt>
                <c:pt idx="49">
                  <c:v>630.49633633636574</c:v>
                </c:pt>
                <c:pt idx="50">
                  <c:v>655.69626127498725</c:v>
                </c:pt>
                <c:pt idx="51">
                  <c:v>612.08727520445143</c:v>
                </c:pt>
                <c:pt idx="52">
                  <c:v>635.28589815827183</c:v>
                </c:pt>
                <c:pt idx="53">
                  <c:v>658.46701957062021</c:v>
                </c:pt>
                <c:pt idx="54">
                  <c:v>681.63134155028877</c:v>
                </c:pt>
                <c:pt idx="55">
                  <c:v>704.77951465231547</c:v>
                </c:pt>
                <c:pt idx="56">
                  <c:v>669.54766316883149</c:v>
                </c:pt>
                <c:pt idx="57">
                  <c:v>690.94283930246741</c:v>
                </c:pt>
                <c:pt idx="58">
                  <c:v>712.32444295533526</c:v>
                </c:pt>
                <c:pt idx="59">
                  <c:v>733.69293840865419</c:v>
                </c:pt>
                <c:pt idx="60">
                  <c:v>755.04876072676723</c:v>
                </c:pt>
                <c:pt idx="61">
                  <c:v>725.64983862680037</c:v>
                </c:pt>
                <c:pt idx="62">
                  <c:v>745.25175371319165</c:v>
                </c:pt>
                <c:pt idx="63">
                  <c:v>764.84318613194444</c:v>
                </c:pt>
                <c:pt idx="64">
                  <c:v>784.42444190640492</c:v>
                </c:pt>
                <c:pt idx="65">
                  <c:v>803.99581055365354</c:v>
                </c:pt>
                <c:pt idx="66">
                  <c:v>778.65152243733735</c:v>
                </c:pt>
                <c:pt idx="67">
                  <c:v>795.96770927095042</c:v>
                </c:pt>
                <c:pt idx="68">
                  <c:v>813.27628716107108</c:v>
                </c:pt>
                <c:pt idx="69">
                  <c:v>830.57744068554712</c:v>
                </c:pt>
                <c:pt idx="70">
                  <c:v>847.8713461140087</c:v>
                </c:pt>
                <c:pt idx="71">
                  <c:v>824.5604790592007</c:v>
                </c:pt>
                <c:pt idx="72">
                  <c:v>840.10250622476667</c:v>
                </c:pt>
                <c:pt idx="73">
                  <c:v>855.63875709620106</c:v>
                </c:pt>
                <c:pt idx="74">
                  <c:v>871.16935122792665</c:v>
                </c:pt>
                <c:pt idx="75">
                  <c:v>886.6944035685716</c:v>
                </c:pt>
                <c:pt idx="76">
                  <c:v>862.9037642989714</c:v>
                </c:pt>
                <c:pt idx="77">
                  <c:v>876.67886929700865</c:v>
                </c:pt>
                <c:pt idx="78">
                  <c:v>890.4496445589366</c:v>
                </c:pt>
                <c:pt idx="79">
                  <c:v>904.21616641588753</c:v>
                </c:pt>
                <c:pt idx="80">
                  <c:v>917.9785086875014</c:v>
                </c:pt>
                <c:pt idx="81">
                  <c:v>881.686920829055</c:v>
                </c:pt>
                <c:pt idx="82">
                  <c:v>881.686920829055</c:v>
                </c:pt>
                <c:pt idx="83">
                  <c:v>881.686920829055</c:v>
                </c:pt>
                <c:pt idx="84">
                  <c:v>881.686920829055</c:v>
                </c:pt>
                <c:pt idx="85">
                  <c:v>881.686920829055</c:v>
                </c:pt>
                <c:pt idx="86">
                  <c:v>881.686920829055</c:v>
                </c:pt>
                <c:pt idx="87">
                  <c:v>881.686920829055</c:v>
                </c:pt>
                <c:pt idx="88">
                  <c:v>881.686920829055</c:v>
                </c:pt>
                <c:pt idx="89">
                  <c:v>881.686920829055</c:v>
                </c:pt>
                <c:pt idx="90">
                  <c:v>881.686920829055</c:v>
                </c:pt>
                <c:pt idx="91">
                  <c:v>881.686920829055</c:v>
                </c:pt>
                <c:pt idx="92">
                  <c:v>881.686920829055</c:v>
                </c:pt>
                <c:pt idx="93">
                  <c:v>881.686920829055</c:v>
                </c:pt>
                <c:pt idx="94">
                  <c:v>881.686920829055</c:v>
                </c:pt>
                <c:pt idx="95">
                  <c:v>881.686920829055</c:v>
                </c:pt>
                <c:pt idx="96">
                  <c:v>881.686920829055</c:v>
                </c:pt>
                <c:pt idx="97">
                  <c:v>881.686920829055</c:v>
                </c:pt>
                <c:pt idx="98">
                  <c:v>881.686920829055</c:v>
                </c:pt>
                <c:pt idx="99">
                  <c:v>881.686920829055</c:v>
                </c:pt>
                <c:pt idx="100">
                  <c:v>881.686920829055</c:v>
                </c:pt>
                <c:pt idx="101">
                  <c:v>881.686920829055</c:v>
                </c:pt>
                <c:pt idx="102">
                  <c:v>881.686920829055</c:v>
                </c:pt>
                <c:pt idx="103">
                  <c:v>881.686920829055</c:v>
                </c:pt>
                <c:pt idx="104">
                  <c:v>881.686920829055</c:v>
                </c:pt>
                <c:pt idx="105">
                  <c:v>881.686920829055</c:v>
                </c:pt>
                <c:pt idx="106">
                  <c:v>881.686920829055</c:v>
                </c:pt>
                <c:pt idx="107">
                  <c:v>881.686920829055</c:v>
                </c:pt>
                <c:pt idx="108">
                  <c:v>881.686920829055</c:v>
                </c:pt>
                <c:pt idx="109">
                  <c:v>881.686920829055</c:v>
                </c:pt>
                <c:pt idx="110">
                  <c:v>881.686920829055</c:v>
                </c:pt>
                <c:pt idx="111">
                  <c:v>881.686920829055</c:v>
                </c:pt>
                <c:pt idx="112">
                  <c:v>881.686920829055</c:v>
                </c:pt>
                <c:pt idx="113">
                  <c:v>881.686920829055</c:v>
                </c:pt>
                <c:pt idx="114">
                  <c:v>881.686920829055</c:v>
                </c:pt>
                <c:pt idx="115">
                  <c:v>881.686920829055</c:v>
                </c:pt>
                <c:pt idx="116">
                  <c:v>881.686920829055</c:v>
                </c:pt>
                <c:pt idx="117">
                  <c:v>881.686920829055</c:v>
                </c:pt>
                <c:pt idx="118">
                  <c:v>881.686920829055</c:v>
                </c:pt>
                <c:pt idx="119">
                  <c:v>881.686920829055</c:v>
                </c:pt>
                <c:pt idx="120">
                  <c:v>881.686920829055</c:v>
                </c:pt>
                <c:pt idx="121">
                  <c:v>881.686920829055</c:v>
                </c:pt>
                <c:pt idx="122">
                  <c:v>881.686920829055</c:v>
                </c:pt>
                <c:pt idx="123">
                  <c:v>881.686920829055</c:v>
                </c:pt>
                <c:pt idx="124">
                  <c:v>881.686920829055</c:v>
                </c:pt>
                <c:pt idx="125">
                  <c:v>881.686920829055</c:v>
                </c:pt>
                <c:pt idx="126">
                  <c:v>881.686920829055</c:v>
                </c:pt>
                <c:pt idx="127">
                  <c:v>881.686920829055</c:v>
                </c:pt>
                <c:pt idx="128">
                  <c:v>881.686920829055</c:v>
                </c:pt>
                <c:pt idx="129">
                  <c:v>881.686920829055</c:v>
                </c:pt>
                <c:pt idx="130">
                  <c:v>881.686920829055</c:v>
                </c:pt>
                <c:pt idx="131">
                  <c:v>881.686920829055</c:v>
                </c:pt>
                <c:pt idx="132">
                  <c:v>881.686920829055</c:v>
                </c:pt>
                <c:pt idx="133">
                  <c:v>881.686920829055</c:v>
                </c:pt>
                <c:pt idx="134">
                  <c:v>881.686920829055</c:v>
                </c:pt>
                <c:pt idx="135">
                  <c:v>881.686920829055</c:v>
                </c:pt>
                <c:pt idx="136">
                  <c:v>881.686920829055</c:v>
                </c:pt>
                <c:pt idx="137">
                  <c:v>881.686920829055</c:v>
                </c:pt>
                <c:pt idx="138">
                  <c:v>881.686920829055</c:v>
                </c:pt>
                <c:pt idx="139">
                  <c:v>881.686920829055</c:v>
                </c:pt>
                <c:pt idx="140">
                  <c:v>881.686920829055</c:v>
                </c:pt>
                <c:pt idx="141">
                  <c:v>881.686920829055</c:v>
                </c:pt>
                <c:pt idx="142">
                  <c:v>881.686920829055</c:v>
                </c:pt>
                <c:pt idx="143">
                  <c:v>881.686920829055</c:v>
                </c:pt>
                <c:pt idx="144">
                  <c:v>881.686920829055</c:v>
                </c:pt>
                <c:pt idx="145">
                  <c:v>881.686920829055</c:v>
                </c:pt>
                <c:pt idx="146">
                  <c:v>881.686920829055</c:v>
                </c:pt>
                <c:pt idx="147">
                  <c:v>881.686920829055</c:v>
                </c:pt>
                <c:pt idx="148">
                  <c:v>881.686920829055</c:v>
                </c:pt>
                <c:pt idx="149">
                  <c:v>881.686920829055</c:v>
                </c:pt>
                <c:pt idx="150">
                  <c:v>881.686920829055</c:v>
                </c:pt>
                <c:pt idx="151">
                  <c:v>881.686920829055</c:v>
                </c:pt>
                <c:pt idx="152">
                  <c:v>881.686920829055</c:v>
                </c:pt>
                <c:pt idx="153">
                  <c:v>881.686920829055</c:v>
                </c:pt>
                <c:pt idx="154">
                  <c:v>881.686920829055</c:v>
                </c:pt>
                <c:pt idx="155">
                  <c:v>881.686920829055</c:v>
                </c:pt>
                <c:pt idx="156">
                  <c:v>881.686920829055</c:v>
                </c:pt>
                <c:pt idx="157">
                  <c:v>881.686920829055</c:v>
                </c:pt>
                <c:pt idx="158">
                  <c:v>881.686920829055</c:v>
                </c:pt>
                <c:pt idx="159">
                  <c:v>881.686920829055</c:v>
                </c:pt>
                <c:pt idx="160">
                  <c:v>881.686920829055</c:v>
                </c:pt>
                <c:pt idx="161">
                  <c:v>881.686920829055</c:v>
                </c:pt>
                <c:pt idx="162">
                  <c:v>881.686920829055</c:v>
                </c:pt>
                <c:pt idx="163">
                  <c:v>881.686920829055</c:v>
                </c:pt>
                <c:pt idx="164">
                  <c:v>881.686920829055</c:v>
                </c:pt>
                <c:pt idx="165">
                  <c:v>881.686920829055</c:v>
                </c:pt>
                <c:pt idx="166">
                  <c:v>881.686920829055</c:v>
                </c:pt>
                <c:pt idx="167">
                  <c:v>881.686920829055</c:v>
                </c:pt>
                <c:pt idx="168">
                  <c:v>881.686920829055</c:v>
                </c:pt>
                <c:pt idx="169">
                  <c:v>881.686920829055</c:v>
                </c:pt>
                <c:pt idx="170">
                  <c:v>881.686920829055</c:v>
                </c:pt>
                <c:pt idx="171">
                  <c:v>881.686920829055</c:v>
                </c:pt>
                <c:pt idx="172">
                  <c:v>881.686920829055</c:v>
                </c:pt>
                <c:pt idx="173">
                  <c:v>881.686920829055</c:v>
                </c:pt>
                <c:pt idx="174">
                  <c:v>881.686920829055</c:v>
                </c:pt>
                <c:pt idx="175">
                  <c:v>881.686920829055</c:v>
                </c:pt>
                <c:pt idx="176">
                  <c:v>881.686920829055</c:v>
                </c:pt>
                <c:pt idx="177">
                  <c:v>881.686920829055</c:v>
                </c:pt>
                <c:pt idx="178">
                  <c:v>881.686920829055</c:v>
                </c:pt>
                <c:pt idx="179">
                  <c:v>881.686920829055</c:v>
                </c:pt>
                <c:pt idx="180">
                  <c:v>881.686920829055</c:v>
                </c:pt>
                <c:pt idx="181">
                  <c:v>881.686920829055</c:v>
                </c:pt>
                <c:pt idx="182">
                  <c:v>881.686920829055</c:v>
                </c:pt>
                <c:pt idx="183">
                  <c:v>881.686920829055</c:v>
                </c:pt>
                <c:pt idx="184">
                  <c:v>881.686920829055</c:v>
                </c:pt>
                <c:pt idx="185">
                  <c:v>881.686920829055</c:v>
                </c:pt>
                <c:pt idx="186">
                  <c:v>881.686920829055</c:v>
                </c:pt>
                <c:pt idx="187">
                  <c:v>881.686920829055</c:v>
                </c:pt>
                <c:pt idx="188">
                  <c:v>881.686920829055</c:v>
                </c:pt>
                <c:pt idx="189">
                  <c:v>881.686920829055</c:v>
                </c:pt>
                <c:pt idx="190">
                  <c:v>881.686920829055</c:v>
                </c:pt>
                <c:pt idx="191">
                  <c:v>881.686920829055</c:v>
                </c:pt>
                <c:pt idx="192">
                  <c:v>881.686920829055</c:v>
                </c:pt>
                <c:pt idx="193">
                  <c:v>881.686920829055</c:v>
                </c:pt>
                <c:pt idx="194">
                  <c:v>881.686920829055</c:v>
                </c:pt>
                <c:pt idx="195">
                  <c:v>881.686920829055</c:v>
                </c:pt>
                <c:pt idx="196">
                  <c:v>881.686920829055</c:v>
                </c:pt>
                <c:pt idx="197">
                  <c:v>881.686920829055</c:v>
                </c:pt>
                <c:pt idx="198">
                  <c:v>881.686920829055</c:v>
                </c:pt>
                <c:pt idx="199">
                  <c:v>881.686920829055</c:v>
                </c:pt>
                <c:pt idx="200">
                  <c:v>881.686920829055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67.020773057882352</c:v>
                </c:pt>
                <c:pt idx="17">
                  <c:v>89.433224652663043</c:v>
                </c:pt>
                <c:pt idx="18">
                  <c:v>111.70385301179901</c:v>
                </c:pt>
                <c:pt idx="19">
                  <c:v>133.8651241066807</c:v>
                </c:pt>
                <c:pt idx="20">
                  <c:v>155.93775882820458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174.52697249791549</c:v>
                </c:pt>
                <c:pt idx="24">
                  <c:v>198.35976383962796</c:v>
                </c:pt>
                <c:pt idx="25">
                  <c:v>222.12608711761615</c:v>
                </c:pt>
                <c:pt idx="26">
                  <c:v>191.55758507110065</c:v>
                </c:pt>
                <c:pt idx="27">
                  <c:v>213.83373999500802</c:v>
                </c:pt>
                <c:pt idx="28">
                  <c:v>236.05644310479684</c:v>
                </c:pt>
                <c:pt idx="29">
                  <c:v>258.23143377259919</c:v>
                </c:pt>
                <c:pt idx="30">
                  <c:v>280.36338431358689</c:v>
                </c:pt>
                <c:pt idx="31">
                  <c:v>248.08915865906408</c:v>
                </c:pt>
                <c:pt idx="32">
                  <c:v>268.36470618638242</c:v>
                </c:pt>
                <c:pt idx="33">
                  <c:v>288.60576477216426</c:v>
                </c:pt>
                <c:pt idx="34">
                  <c:v>308.81509268095925</c:v>
                </c:pt>
                <c:pt idx="35">
                  <c:v>328.99505767197456</c:v>
                </c:pt>
                <c:pt idx="36">
                  <c:v>294.59690838804573</c:v>
                </c:pt>
                <c:pt idx="37">
                  <c:v>312.5542734716102</c:v>
                </c:pt>
                <c:pt idx="38">
                  <c:v>330.48876005573732</c:v>
                </c:pt>
                <c:pt idx="39">
                  <c:v>348.4017840337396</c:v>
                </c:pt>
                <c:pt idx="40">
                  <c:v>366.29460383970854</c:v>
                </c:pt>
                <c:pt idx="41">
                  <c:v>329.36849727470798</c:v>
                </c:pt>
                <c:pt idx="42">
                  <c:v>344.67160985755481</c:v>
                </c:pt>
                <c:pt idx="43">
                  <c:v>359.9598009685954</c:v>
                </c:pt>
                <c:pt idx="44">
                  <c:v>375.23379351840316</c:v>
                </c:pt>
                <c:pt idx="45">
                  <c:v>390.49424676672476</c:v>
                </c:pt>
                <c:pt idx="46">
                  <c:v>362.94118566705453</c:v>
                </c:pt>
                <c:pt idx="47">
                  <c:v>376.35086351579008</c:v>
                </c:pt>
                <c:pt idx="48">
                  <c:v>389.75013922020366</c:v>
                </c:pt>
                <c:pt idx="49">
                  <c:v>403.13942078264876</c:v>
                </c:pt>
                <c:pt idx="50">
                  <c:v>416.51908689232118</c:v>
                </c:pt>
                <c:pt idx="51">
                  <c:v>396.07407711953448</c:v>
                </c:pt>
                <c:pt idx="52">
                  <c:v>407.22865549260882</c:v>
                </c:pt>
                <c:pt idx="53">
                  <c:v>418.37663353903218</c:v>
                </c:pt>
                <c:pt idx="54">
                  <c:v>429.51821195249204</c:v>
                </c:pt>
                <c:pt idx="55">
                  <c:v>440.65358016358778</c:v>
                </c:pt>
                <c:pt idx="56">
                  <c:v>426.17639891086424</c:v>
                </c:pt>
                <c:pt idx="57">
                  <c:v>435.82900470393218</c:v>
                </c:pt>
                <c:pt idx="58">
                  <c:v>445.47702323258522</c:v>
                </c:pt>
                <c:pt idx="59">
                  <c:v>455.12056788314334</c:v>
                </c:pt>
                <c:pt idx="60">
                  <c:v>464.7597468435597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466.98356378402349</c:v>
                </c:pt>
                <c:pt idx="64">
                  <c:v>475.13563719240005</c:v>
                </c:pt>
                <c:pt idx="65">
                  <c:v>483.28473497109462</c:v>
                </c:pt>
                <c:pt idx="66">
                  <c:v>469.94830210518904</c:v>
                </c:pt>
                <c:pt idx="67">
                  <c:v>476.98796406826</c:v>
                </c:pt>
                <c:pt idx="68">
                  <c:v>484.02541648570531</c:v>
                </c:pt>
                <c:pt idx="69">
                  <c:v>491.06069603012844</c:v>
                </c:pt>
                <c:pt idx="70">
                  <c:v>498.09383823712528</c:v>
                </c:pt>
                <c:pt idx="71">
                  <c:v>485.87701503548419</c:v>
                </c:pt>
                <c:pt idx="72">
                  <c:v>492.17133336598067</c:v>
                </c:pt>
                <c:pt idx="73">
                  <c:v>498.4639450680906</c:v>
                </c:pt>
                <c:pt idx="74">
                  <c:v>504.75487473697353</c:v>
                </c:pt>
                <c:pt idx="75">
                  <c:v>511.04414630438458</c:v>
                </c:pt>
                <c:pt idx="76">
                  <c:v>499.57423066075035</c:v>
                </c:pt>
                <c:pt idx="77">
                  <c:v>504.75487473697353</c:v>
                </c:pt>
                <c:pt idx="78">
                  <c:v>509.93439429922063</c:v>
                </c:pt>
                <c:pt idx="79">
                  <c:v>515.11280238810866</c:v>
                </c:pt>
                <c:pt idx="80">
                  <c:v>520.29011176051029</c:v>
                </c:pt>
                <c:pt idx="81">
                  <c:v>505.49487464351915</c:v>
                </c:pt>
                <c:pt idx="82">
                  <c:v>505.49487464351915</c:v>
                </c:pt>
                <c:pt idx="83">
                  <c:v>505.49487464351915</c:v>
                </c:pt>
                <c:pt idx="84">
                  <c:v>505.49487464351915</c:v>
                </c:pt>
                <c:pt idx="85">
                  <c:v>505.49487464351915</c:v>
                </c:pt>
                <c:pt idx="86">
                  <c:v>505.49487464351915</c:v>
                </c:pt>
                <c:pt idx="87">
                  <c:v>505.49487464351915</c:v>
                </c:pt>
                <c:pt idx="88">
                  <c:v>505.49487464351915</c:v>
                </c:pt>
                <c:pt idx="89">
                  <c:v>505.49487464351915</c:v>
                </c:pt>
                <c:pt idx="90">
                  <c:v>505.49487464351915</c:v>
                </c:pt>
                <c:pt idx="91">
                  <c:v>505.49487464351915</c:v>
                </c:pt>
                <c:pt idx="92">
                  <c:v>505.49487464351915</c:v>
                </c:pt>
                <c:pt idx="93">
                  <c:v>505.49487464351915</c:v>
                </c:pt>
                <c:pt idx="94">
                  <c:v>505.49487464351915</c:v>
                </c:pt>
                <c:pt idx="95">
                  <c:v>505.49487464351915</c:v>
                </c:pt>
                <c:pt idx="96">
                  <c:v>505.49487464351915</c:v>
                </c:pt>
                <c:pt idx="97">
                  <c:v>505.49487464351915</c:v>
                </c:pt>
                <c:pt idx="98">
                  <c:v>505.49487464351915</c:v>
                </c:pt>
                <c:pt idx="99">
                  <c:v>505.49487464351915</c:v>
                </c:pt>
                <c:pt idx="100">
                  <c:v>505.49487464351915</c:v>
                </c:pt>
                <c:pt idx="101">
                  <c:v>505.49487464351915</c:v>
                </c:pt>
                <c:pt idx="102">
                  <c:v>505.49487464351915</c:v>
                </c:pt>
                <c:pt idx="103">
                  <c:v>505.49487464351915</c:v>
                </c:pt>
                <c:pt idx="104">
                  <c:v>505.49487464351915</c:v>
                </c:pt>
                <c:pt idx="105">
                  <c:v>505.49487464351915</c:v>
                </c:pt>
                <c:pt idx="106">
                  <c:v>505.49487464351915</c:v>
                </c:pt>
                <c:pt idx="107">
                  <c:v>505.49487464351915</c:v>
                </c:pt>
                <c:pt idx="108">
                  <c:v>505.49487464351915</c:v>
                </c:pt>
                <c:pt idx="109">
                  <c:v>505.49487464351915</c:v>
                </c:pt>
                <c:pt idx="110">
                  <c:v>505.49487464351915</c:v>
                </c:pt>
                <c:pt idx="111">
                  <c:v>505.49487464351915</c:v>
                </c:pt>
                <c:pt idx="112">
                  <c:v>505.49487464351915</c:v>
                </c:pt>
                <c:pt idx="113">
                  <c:v>505.49487464351915</c:v>
                </c:pt>
                <c:pt idx="114">
                  <c:v>505.49487464351915</c:v>
                </c:pt>
                <c:pt idx="115">
                  <c:v>505.49487464351915</c:v>
                </c:pt>
                <c:pt idx="116">
                  <c:v>505.49487464351915</c:v>
                </c:pt>
                <c:pt idx="117">
                  <c:v>505.49487464351915</c:v>
                </c:pt>
                <c:pt idx="118">
                  <c:v>505.49487464351915</c:v>
                </c:pt>
                <c:pt idx="119">
                  <c:v>505.49487464351915</c:v>
                </c:pt>
                <c:pt idx="120">
                  <c:v>505.49487464351915</c:v>
                </c:pt>
                <c:pt idx="121">
                  <c:v>505.49487464351915</c:v>
                </c:pt>
                <c:pt idx="122">
                  <c:v>505.49487464351915</c:v>
                </c:pt>
                <c:pt idx="123">
                  <c:v>505.49487464351915</c:v>
                </c:pt>
                <c:pt idx="124">
                  <c:v>505.49487464351915</c:v>
                </c:pt>
                <c:pt idx="125">
                  <c:v>505.49487464351915</c:v>
                </c:pt>
                <c:pt idx="126">
                  <c:v>505.49487464351915</c:v>
                </c:pt>
                <c:pt idx="127">
                  <c:v>505.49487464351915</c:v>
                </c:pt>
                <c:pt idx="128">
                  <c:v>505.49487464351915</c:v>
                </c:pt>
                <c:pt idx="129">
                  <c:v>505.49487464351915</c:v>
                </c:pt>
                <c:pt idx="130">
                  <c:v>505.49487464351915</c:v>
                </c:pt>
                <c:pt idx="131">
                  <c:v>505.49487464351915</c:v>
                </c:pt>
                <c:pt idx="132">
                  <c:v>505.49487464351915</c:v>
                </c:pt>
                <c:pt idx="133">
                  <c:v>505.49487464351915</c:v>
                </c:pt>
                <c:pt idx="134">
                  <c:v>505.49487464351915</c:v>
                </c:pt>
                <c:pt idx="135">
                  <c:v>505.49487464351915</c:v>
                </c:pt>
                <c:pt idx="136">
                  <c:v>505.49487464351915</c:v>
                </c:pt>
                <c:pt idx="137">
                  <c:v>505.49487464351915</c:v>
                </c:pt>
                <c:pt idx="138">
                  <c:v>505.49487464351915</c:v>
                </c:pt>
                <c:pt idx="139">
                  <c:v>505.49487464351915</c:v>
                </c:pt>
                <c:pt idx="140">
                  <c:v>505.49487464351915</c:v>
                </c:pt>
                <c:pt idx="141">
                  <c:v>505.49487464351915</c:v>
                </c:pt>
                <c:pt idx="142">
                  <c:v>505.49487464351915</c:v>
                </c:pt>
                <c:pt idx="143">
                  <c:v>505.49487464351915</c:v>
                </c:pt>
                <c:pt idx="144">
                  <c:v>505.49487464351915</c:v>
                </c:pt>
                <c:pt idx="145">
                  <c:v>505.49487464351915</c:v>
                </c:pt>
                <c:pt idx="146">
                  <c:v>505.49487464351915</c:v>
                </c:pt>
                <c:pt idx="147">
                  <c:v>505.49487464351915</c:v>
                </c:pt>
                <c:pt idx="148">
                  <c:v>505.49487464351915</c:v>
                </c:pt>
                <c:pt idx="149">
                  <c:v>505.49487464351915</c:v>
                </c:pt>
                <c:pt idx="150">
                  <c:v>505.49487464351915</c:v>
                </c:pt>
                <c:pt idx="151">
                  <c:v>505.49487464351915</c:v>
                </c:pt>
                <c:pt idx="152">
                  <c:v>505.49487464351915</c:v>
                </c:pt>
                <c:pt idx="153">
                  <c:v>505.49487464351915</c:v>
                </c:pt>
                <c:pt idx="154">
                  <c:v>505.49487464351915</c:v>
                </c:pt>
                <c:pt idx="155">
                  <c:v>505.49487464351915</c:v>
                </c:pt>
                <c:pt idx="156">
                  <c:v>505.49487464351915</c:v>
                </c:pt>
                <c:pt idx="157">
                  <c:v>505.49487464351915</c:v>
                </c:pt>
                <c:pt idx="158">
                  <c:v>505.49487464351915</c:v>
                </c:pt>
                <c:pt idx="159">
                  <c:v>505.49487464351915</c:v>
                </c:pt>
                <c:pt idx="160">
                  <c:v>505.49487464351915</c:v>
                </c:pt>
                <c:pt idx="161">
                  <c:v>505.49487464351915</c:v>
                </c:pt>
                <c:pt idx="162">
                  <c:v>505.49487464351915</c:v>
                </c:pt>
                <c:pt idx="163">
                  <c:v>505.49487464351915</c:v>
                </c:pt>
                <c:pt idx="164">
                  <c:v>505.49487464351915</c:v>
                </c:pt>
                <c:pt idx="165">
                  <c:v>505.49487464351915</c:v>
                </c:pt>
                <c:pt idx="166">
                  <c:v>505.49487464351915</c:v>
                </c:pt>
                <c:pt idx="167">
                  <c:v>505.49487464351915</c:v>
                </c:pt>
                <c:pt idx="168">
                  <c:v>505.49487464351915</c:v>
                </c:pt>
                <c:pt idx="169">
                  <c:v>505.49487464351915</c:v>
                </c:pt>
                <c:pt idx="170">
                  <c:v>505.49487464351915</c:v>
                </c:pt>
                <c:pt idx="171">
                  <c:v>505.49487464351915</c:v>
                </c:pt>
                <c:pt idx="172">
                  <c:v>505.49487464351915</c:v>
                </c:pt>
                <c:pt idx="173">
                  <c:v>505.49487464351915</c:v>
                </c:pt>
                <c:pt idx="174">
                  <c:v>505.49487464351915</c:v>
                </c:pt>
                <c:pt idx="175">
                  <c:v>505.49487464351915</c:v>
                </c:pt>
                <c:pt idx="176">
                  <c:v>505.49487464351915</c:v>
                </c:pt>
                <c:pt idx="177">
                  <c:v>505.49487464351915</c:v>
                </c:pt>
                <c:pt idx="178">
                  <c:v>505.49487464351915</c:v>
                </c:pt>
                <c:pt idx="179">
                  <c:v>505.49487464351915</c:v>
                </c:pt>
                <c:pt idx="180">
                  <c:v>505.49487464351915</c:v>
                </c:pt>
                <c:pt idx="181">
                  <c:v>505.49487464351915</c:v>
                </c:pt>
                <c:pt idx="182">
                  <c:v>505.49487464351915</c:v>
                </c:pt>
                <c:pt idx="183">
                  <c:v>505.49487464351915</c:v>
                </c:pt>
                <c:pt idx="184">
                  <c:v>505.49487464351915</c:v>
                </c:pt>
                <c:pt idx="185">
                  <c:v>505.49487464351915</c:v>
                </c:pt>
                <c:pt idx="186">
                  <c:v>505.49487464351915</c:v>
                </c:pt>
                <c:pt idx="187">
                  <c:v>505.49487464351915</c:v>
                </c:pt>
                <c:pt idx="188">
                  <c:v>505.49487464351915</c:v>
                </c:pt>
                <c:pt idx="189">
                  <c:v>505.49487464351915</c:v>
                </c:pt>
                <c:pt idx="190">
                  <c:v>505.49487464351915</c:v>
                </c:pt>
                <c:pt idx="191">
                  <c:v>505.49487464351915</c:v>
                </c:pt>
                <c:pt idx="192">
                  <c:v>505.49487464351915</c:v>
                </c:pt>
                <c:pt idx="193">
                  <c:v>505.49487464351915</c:v>
                </c:pt>
                <c:pt idx="194">
                  <c:v>505.49487464351915</c:v>
                </c:pt>
                <c:pt idx="195">
                  <c:v>505.49487464351915</c:v>
                </c:pt>
                <c:pt idx="196">
                  <c:v>505.49487464351915</c:v>
                </c:pt>
                <c:pt idx="197">
                  <c:v>505.49487464351915</c:v>
                </c:pt>
                <c:pt idx="198">
                  <c:v>505.49487464351915</c:v>
                </c:pt>
                <c:pt idx="199">
                  <c:v>505.49487464351915</c:v>
                </c:pt>
                <c:pt idx="200">
                  <c:v>505.49487464351915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680.50415665378762</c:v>
                </c:pt>
                <c:pt idx="112">
                  <c:v>690.74591311146139</c:v>
                </c:pt>
                <c:pt idx="113">
                  <c:v>700.98455790524133</c:v>
                </c:pt>
                <c:pt idx="114">
                  <c:v>711.22014287488344</c:v>
                </c:pt>
                <c:pt idx="115">
                  <c:v>721.45271824692588</c:v>
                </c:pt>
                <c:pt idx="116">
                  <c:v>670.25923500177089</c:v>
                </c:pt>
                <c:pt idx="117">
                  <c:v>670.25923500177089</c:v>
                </c:pt>
                <c:pt idx="118">
                  <c:v>670.25923500177089</c:v>
                </c:pt>
                <c:pt idx="119">
                  <c:v>670.25923500177089</c:v>
                </c:pt>
                <c:pt idx="120">
                  <c:v>670.25923500177089</c:v>
                </c:pt>
                <c:pt idx="121">
                  <c:v>670.25923500177089</c:v>
                </c:pt>
                <c:pt idx="122">
                  <c:v>670.25923500177089</c:v>
                </c:pt>
                <c:pt idx="123">
                  <c:v>670.25923500177089</c:v>
                </c:pt>
                <c:pt idx="124">
                  <c:v>670.25923500177089</c:v>
                </c:pt>
                <c:pt idx="125">
                  <c:v>670.25923500177089</c:v>
                </c:pt>
                <c:pt idx="126">
                  <c:v>670.25923500177089</c:v>
                </c:pt>
                <c:pt idx="127">
                  <c:v>670.25923500177089</c:v>
                </c:pt>
                <c:pt idx="128">
                  <c:v>670.25923500177089</c:v>
                </c:pt>
                <c:pt idx="129">
                  <c:v>670.25923500177089</c:v>
                </c:pt>
                <c:pt idx="130">
                  <c:v>670.25923500177089</c:v>
                </c:pt>
                <c:pt idx="131">
                  <c:v>670.25923500177089</c:v>
                </c:pt>
                <c:pt idx="132">
                  <c:v>670.25923500177089</c:v>
                </c:pt>
                <c:pt idx="133">
                  <c:v>670.25923500177089</c:v>
                </c:pt>
                <c:pt idx="134">
                  <c:v>670.25923500177089</c:v>
                </c:pt>
                <c:pt idx="135">
                  <c:v>670.25923500177089</c:v>
                </c:pt>
                <c:pt idx="136">
                  <c:v>670.25923500177089</c:v>
                </c:pt>
                <c:pt idx="137">
                  <c:v>670.25923500177089</c:v>
                </c:pt>
                <c:pt idx="138">
                  <c:v>670.25923500177089</c:v>
                </c:pt>
                <c:pt idx="139">
                  <c:v>670.25923500177089</c:v>
                </c:pt>
                <c:pt idx="140">
                  <c:v>670.25923500177089</c:v>
                </c:pt>
                <c:pt idx="141">
                  <c:v>670.25923500177089</c:v>
                </c:pt>
                <c:pt idx="142">
                  <c:v>670.25923500177089</c:v>
                </c:pt>
                <c:pt idx="143">
                  <c:v>670.25923500177089</c:v>
                </c:pt>
                <c:pt idx="144">
                  <c:v>670.25923500177089</c:v>
                </c:pt>
                <c:pt idx="145">
                  <c:v>670.25923500177089</c:v>
                </c:pt>
                <c:pt idx="146">
                  <c:v>670.25923500177089</c:v>
                </c:pt>
                <c:pt idx="147">
                  <c:v>670.25923500177089</c:v>
                </c:pt>
                <c:pt idx="148">
                  <c:v>670.25923500177089</c:v>
                </c:pt>
                <c:pt idx="149">
                  <c:v>670.25923500177089</c:v>
                </c:pt>
                <c:pt idx="150">
                  <c:v>670.25923500177089</c:v>
                </c:pt>
                <c:pt idx="151">
                  <c:v>670.25923500177089</c:v>
                </c:pt>
                <c:pt idx="152">
                  <c:v>670.25923500177089</c:v>
                </c:pt>
                <c:pt idx="153">
                  <c:v>670.25923500177089</c:v>
                </c:pt>
                <c:pt idx="154">
                  <c:v>670.25923500177089</c:v>
                </c:pt>
                <c:pt idx="155">
                  <c:v>670.25923500177089</c:v>
                </c:pt>
                <c:pt idx="156">
                  <c:v>670.25923500177089</c:v>
                </c:pt>
                <c:pt idx="157">
                  <c:v>670.25923500177089</c:v>
                </c:pt>
                <c:pt idx="158">
                  <c:v>670.25923500177089</c:v>
                </c:pt>
                <c:pt idx="159">
                  <c:v>670.25923500177089</c:v>
                </c:pt>
                <c:pt idx="160">
                  <c:v>670.25923500177089</c:v>
                </c:pt>
                <c:pt idx="161">
                  <c:v>670.25923500177089</c:v>
                </c:pt>
                <c:pt idx="162">
                  <c:v>670.25923500177089</c:v>
                </c:pt>
                <c:pt idx="163">
                  <c:v>670.25923500177089</c:v>
                </c:pt>
                <c:pt idx="164">
                  <c:v>670.25923500177089</c:v>
                </c:pt>
                <c:pt idx="165">
                  <c:v>670.25923500177089</c:v>
                </c:pt>
                <c:pt idx="166">
                  <c:v>670.25923500177089</c:v>
                </c:pt>
                <c:pt idx="167">
                  <c:v>670.25923500177089</c:v>
                </c:pt>
                <c:pt idx="168">
                  <c:v>670.25923500177089</c:v>
                </c:pt>
                <c:pt idx="169">
                  <c:v>670.25923500177089</c:v>
                </c:pt>
                <c:pt idx="170">
                  <c:v>670.25923500177089</c:v>
                </c:pt>
                <c:pt idx="171">
                  <c:v>670.25923500177089</c:v>
                </c:pt>
                <c:pt idx="172">
                  <c:v>670.25923500177089</c:v>
                </c:pt>
                <c:pt idx="173">
                  <c:v>670.25923500177089</c:v>
                </c:pt>
                <c:pt idx="174">
                  <c:v>670.25923500177089</c:v>
                </c:pt>
                <c:pt idx="175">
                  <c:v>670.25923500177089</c:v>
                </c:pt>
                <c:pt idx="176">
                  <c:v>670.25923500177089</c:v>
                </c:pt>
                <c:pt idx="177">
                  <c:v>670.25923500177089</c:v>
                </c:pt>
                <c:pt idx="178">
                  <c:v>670.25923500177089</c:v>
                </c:pt>
                <c:pt idx="179">
                  <c:v>670.25923500177089</c:v>
                </c:pt>
                <c:pt idx="180">
                  <c:v>670.25923500177089</c:v>
                </c:pt>
                <c:pt idx="181">
                  <c:v>670.25923500177089</c:v>
                </c:pt>
                <c:pt idx="182">
                  <c:v>670.25923500177089</c:v>
                </c:pt>
                <c:pt idx="183">
                  <c:v>670.25923500177089</c:v>
                </c:pt>
                <c:pt idx="184">
                  <c:v>670.25923500177089</c:v>
                </c:pt>
                <c:pt idx="185">
                  <c:v>670.25923500177089</c:v>
                </c:pt>
                <c:pt idx="186">
                  <c:v>670.25923500177089</c:v>
                </c:pt>
                <c:pt idx="187">
                  <c:v>670.25923500177089</c:v>
                </c:pt>
                <c:pt idx="188">
                  <c:v>670.25923500177089</c:v>
                </c:pt>
                <c:pt idx="189">
                  <c:v>670.25923500177089</c:v>
                </c:pt>
                <c:pt idx="190">
                  <c:v>670.25923500177089</c:v>
                </c:pt>
                <c:pt idx="191">
                  <c:v>670.25923500177089</c:v>
                </c:pt>
                <c:pt idx="192">
                  <c:v>670.25923500177089</c:v>
                </c:pt>
                <c:pt idx="193">
                  <c:v>670.25923500177089</c:v>
                </c:pt>
                <c:pt idx="194">
                  <c:v>670.25923500177089</c:v>
                </c:pt>
                <c:pt idx="195">
                  <c:v>670.25923500177089</c:v>
                </c:pt>
                <c:pt idx="196">
                  <c:v>670.25923500177089</c:v>
                </c:pt>
                <c:pt idx="197">
                  <c:v>670.25923500177089</c:v>
                </c:pt>
                <c:pt idx="198">
                  <c:v>670.25923500177089</c:v>
                </c:pt>
                <c:pt idx="199">
                  <c:v>670.25923500177089</c:v>
                </c:pt>
                <c:pt idx="200">
                  <c:v>670.25923500177089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2.8194700773335666</c:v>
                </c:pt>
                <c:pt idx="2">
                  <c:v>3.2775581048816549</c:v>
                </c:pt>
                <c:pt idx="3">
                  <c:v>3.8103420025416619</c:v>
                </c:pt>
                <c:pt idx="4">
                  <c:v>4.4300430938687745</c:v>
                </c:pt>
                <c:pt idx="5">
                  <c:v>5.150888641541246</c:v>
                </c:pt>
                <c:pt idx="6">
                  <c:v>5.989442062584156</c:v>
                </c:pt>
                <c:pt idx="7">
                  <c:v>6.9649876513409907</c:v>
                </c:pt>
                <c:pt idx="8">
                  <c:v>8.0999788301557043</c:v>
                </c:pt>
                <c:pt idx="9">
                  <c:v>9.4205604437673554</c:v>
                </c:pt>
                <c:pt idx="10">
                  <c:v>10.957177358106124</c:v>
                </c:pt>
                <c:pt idx="11">
                  <c:v>12.74528365891711</c:v>
                </c:pt>
                <c:pt idx="12">
                  <c:v>14.826169118737317</c:v>
                </c:pt>
                <c:pt idx="13">
                  <c:v>17.247922368581079</c:v>
                </c:pt>
                <c:pt idx="14">
                  <c:v>20.066553439026688</c:v>
                </c:pt>
                <c:pt idx="15">
                  <c:v>23.347302100997187</c:v>
                </c:pt>
                <c:pt idx="16">
                  <c:v>27.166162828959884</c:v>
                </c:pt>
                <c:pt idx="17">
                  <c:v>31.61166233305666</c:v>
                </c:pt>
                <c:pt idx="18">
                  <c:v>36.786931583802577</c:v>
                </c:pt>
                <c:pt idx="19">
                  <c:v>42.812121225810181</c:v>
                </c:pt>
                <c:pt idx="20">
                  <c:v>49.827217411655418</c:v>
                </c:pt>
                <c:pt idx="21">
                  <c:v>57.995324577402243</c:v>
                </c:pt>
                <c:pt idx="22">
                  <c:v>67.506492753765485</c:v>
                </c:pt>
                <c:pt idx="23">
                  <c:v>78.582179925562912</c:v>
                </c:pt>
                <c:pt idx="24">
                  <c:v>91.480455025308061</c:v>
                </c:pt>
                <c:pt idx="25">
                  <c:v>106.50206473439818</c:v>
                </c:pt>
                <c:pt idx="26">
                  <c:v>123.99750778743726</c:v>
                </c:pt>
                <c:pt idx="27">
                  <c:v>144.37528442214369</c:v>
                </c:pt>
                <c:pt idx="28">
                  <c:v>168.11151656142894</c:v>
                </c:pt>
                <c:pt idx="29">
                  <c:v>195.76116692377852</c:v>
                </c:pt>
                <c:pt idx="30">
                  <c:v>227.97112331305709</c:v>
                </c:pt>
                <c:pt idx="31">
                  <c:v>261.0476460538535</c:v>
                </c:pt>
                <c:pt idx="32">
                  <c:v>294.02946692688749</c:v>
                </c:pt>
                <c:pt idx="33">
                  <c:v>326.92869767525264</c:v>
                </c:pt>
                <c:pt idx="34">
                  <c:v>359.75481097624942</c:v>
                </c:pt>
                <c:pt idx="35">
                  <c:v>315.74990155259206</c:v>
                </c:pt>
                <c:pt idx="36">
                  <c:v>343.82203896185075</c:v>
                </c:pt>
                <c:pt idx="37">
                  <c:v>371.84382280458914</c:v>
                </c:pt>
                <c:pt idx="38">
                  <c:v>399.8195773091702</c:v>
                </c:pt>
                <c:pt idx="39">
                  <c:v>427.75297247762677</c:v>
                </c:pt>
                <c:pt idx="40">
                  <c:v>455.64716020485753</c:v>
                </c:pt>
                <c:pt idx="41">
                  <c:v>483.50487530864331</c:v>
                </c:pt>
                <c:pt idx="42">
                  <c:v>511.32851205644278</c:v>
                </c:pt>
                <c:pt idx="43">
                  <c:v>427.77825167165867</c:v>
                </c:pt>
                <c:pt idx="44">
                  <c:v>456.10156531893148</c:v>
                </c:pt>
                <c:pt idx="45">
                  <c:v>484.38731661928608</c:v>
                </c:pt>
                <c:pt idx="46">
                  <c:v>512.63800463704649</c:v>
                </c:pt>
                <c:pt idx="47">
                  <c:v>540.85583082063511</c:v>
                </c:pt>
                <c:pt idx="48">
                  <c:v>569.04274843460178</c:v>
                </c:pt>
                <c:pt idx="49">
                  <c:v>597.20050169138233</c:v>
                </c:pt>
                <c:pt idx="50">
                  <c:v>625.33065712286646</c:v>
                </c:pt>
                <c:pt idx="51">
                  <c:v>518.68090433081386</c:v>
                </c:pt>
                <c:pt idx="52">
                  <c:v>545.97656879301974</c:v>
                </c:pt>
                <c:pt idx="53">
                  <c:v>573.24361012104362</c:v>
                </c:pt>
                <c:pt idx="54">
                  <c:v>600.48357947591182</c:v>
                </c:pt>
                <c:pt idx="55">
                  <c:v>627.6978759867585</c:v>
                </c:pt>
                <c:pt idx="56">
                  <c:v>654.88776772770484</c:v>
                </c:pt>
                <c:pt idx="57">
                  <c:v>682.05440903272711</c:v>
                </c:pt>
                <c:pt idx="58">
                  <c:v>709.19885491098478</c:v>
                </c:pt>
                <c:pt idx="59">
                  <c:v>610.80729113566701</c:v>
                </c:pt>
                <c:pt idx="60">
                  <c:v>637.01450522250468</c:v>
                </c:pt>
                <c:pt idx="61">
                  <c:v>663.19945115196549</c:v>
                </c:pt>
                <c:pt idx="62">
                  <c:v>689.36313061191311</c:v>
                </c:pt>
                <c:pt idx="63">
                  <c:v>715.50646315958772</c:v>
                </c:pt>
                <c:pt idx="64">
                  <c:v>741.63029576978636</c:v>
                </c:pt>
                <c:pt idx="65">
                  <c:v>767.73541096926454</c:v>
                </c:pt>
                <c:pt idx="66">
                  <c:v>793.82253380855354</c:v>
                </c:pt>
                <c:pt idx="67">
                  <c:v>675.47017809399495</c:v>
                </c:pt>
                <c:pt idx="68">
                  <c:v>699.80284075668567</c:v>
                </c:pt>
                <c:pt idx="69">
                  <c:v>724.11819315137507</c:v>
                </c:pt>
                <c:pt idx="70">
                  <c:v>748.41689756472385</c:v>
                </c:pt>
                <c:pt idx="71">
                  <c:v>772.69956983113752</c:v>
                </c:pt>
                <c:pt idx="72">
                  <c:v>796.96678397721132</c:v>
                </c:pt>
                <c:pt idx="73">
                  <c:v>821.2190762717745</c:v>
                </c:pt>
                <c:pt idx="74">
                  <c:v>845.45694877325502</c:v>
                </c:pt>
                <c:pt idx="75">
                  <c:v>728.11828454422846</c:v>
                </c:pt>
                <c:pt idx="76">
                  <c:v>751.00527104086268</c:v>
                </c:pt>
                <c:pt idx="77">
                  <c:v>773.87808789377812</c:v>
                </c:pt>
                <c:pt idx="78">
                  <c:v>796.73721230050739</c:v>
                </c:pt>
                <c:pt idx="79">
                  <c:v>819.58309188073554</c:v>
                </c:pt>
                <c:pt idx="80">
                  <c:v>842.41614729936589</c:v>
                </c:pt>
                <c:pt idx="81">
                  <c:v>865.23677459078397</c:v>
                </c:pt>
                <c:pt idx="82">
                  <c:v>888.04534722549408</c:v>
                </c:pt>
                <c:pt idx="83">
                  <c:v>802.74556242242124</c:v>
                </c:pt>
                <c:pt idx="84">
                  <c:v>824.97460942894668</c:v>
                </c:pt>
                <c:pt idx="85">
                  <c:v>847.1916026467585</c:v>
                </c:pt>
                <c:pt idx="86">
                  <c:v>869.3969022462137</c:v>
                </c:pt>
                <c:pt idx="87">
                  <c:v>891.59084852548483</c:v>
                </c:pt>
                <c:pt idx="88">
                  <c:v>913.7737634842</c:v>
                </c:pt>
                <c:pt idx="89">
                  <c:v>935.94595223654926</c:v>
                </c:pt>
                <c:pt idx="90">
                  <c:v>958.10770428371632</c:v>
                </c:pt>
                <c:pt idx="91">
                  <c:v>853.58129405127193</c:v>
                </c:pt>
                <c:pt idx="92">
                  <c:v>875.01617866631034</c:v>
                </c:pt>
                <c:pt idx="93">
                  <c:v>896.4405587726377</c:v>
                </c:pt>
                <c:pt idx="94">
                  <c:v>917.85472042137405</c:v>
                </c:pt>
                <c:pt idx="95">
                  <c:v>939.25893524706783</c:v>
                </c:pt>
                <c:pt idx="96">
                  <c:v>960.65346151278561</c:v>
                </c:pt>
                <c:pt idx="97">
                  <c:v>982.03854505738889</c:v>
                </c:pt>
                <c:pt idx="98">
                  <c:v>1003.4144201561403</c:v>
                </c:pt>
                <c:pt idx="99">
                  <c:v>1024.7813103042704</c:v>
                </c:pt>
                <c:pt idx="100">
                  <c:v>1046.1394289318996</c:v>
                </c:pt>
                <c:pt idx="101">
                  <c:v>896.6695875526807</c:v>
                </c:pt>
                <c:pt idx="102">
                  <c:v>916.70014494923396</c:v>
                </c:pt>
                <c:pt idx="103">
                  <c:v>936.72198714718616</c:v>
                </c:pt>
                <c:pt idx="104">
                  <c:v>956.7353264075058</c:v>
                </c:pt>
                <c:pt idx="105">
                  <c:v>976.74036539937833</c:v>
                </c:pt>
                <c:pt idx="106">
                  <c:v>996.73729782514545</c:v>
                </c:pt>
                <c:pt idx="107">
                  <c:v>1016.7263089925633</c:v>
                </c:pt>
                <c:pt idx="108">
                  <c:v>1036.7075763397804</c:v>
                </c:pt>
                <c:pt idx="109">
                  <c:v>1056.6812699178042</c:v>
                </c:pt>
                <c:pt idx="110">
                  <c:v>1076.6475528346496</c:v>
                </c:pt>
                <c:pt idx="111">
                  <c:v>963.21499473166512</c:v>
                </c:pt>
                <c:pt idx="112">
                  <c:v>983.33268600574911</c:v>
                </c:pt>
                <c:pt idx="113">
                  <c:v>1003.4422396601326</c:v>
                </c:pt>
                <c:pt idx="114">
                  <c:v>1023.5438415077092</c:v>
                </c:pt>
                <c:pt idx="115">
                  <c:v>1043.6376694788269</c:v>
                </c:pt>
                <c:pt idx="116">
                  <c:v>1063.7238941040316</c:v>
                </c:pt>
                <c:pt idx="117">
                  <c:v>1083.802678958519</c:v>
                </c:pt>
                <c:pt idx="118">
                  <c:v>1103.8741810719787</c:v>
                </c:pt>
                <c:pt idx="119">
                  <c:v>1123.9385513071427</c:v>
                </c:pt>
                <c:pt idx="120">
                  <c:v>1143.9959347099282</c:v>
                </c:pt>
                <c:pt idx="121">
                  <c:v>1044.2670914762077</c:v>
                </c:pt>
                <c:pt idx="122">
                  <c:v>1064.4900318548173</c:v>
                </c:pt>
                <c:pt idx="123">
                  <c:v>1084.7054368295419</c:v>
                </c:pt>
                <c:pt idx="124">
                  <c:v>1104.9134663962357</c:v>
                </c:pt>
                <c:pt idx="125">
                  <c:v>1125.1142742305578</c:v>
                </c:pt>
                <c:pt idx="126">
                  <c:v>1145.3080080488851</c:v>
                </c:pt>
                <c:pt idx="127">
                  <c:v>1165.4948099424848</c:v>
                </c:pt>
                <c:pt idx="128">
                  <c:v>1185.6748166873767</c:v>
                </c:pt>
                <c:pt idx="129">
                  <c:v>1205.848160032037</c:v>
                </c:pt>
                <c:pt idx="130">
                  <c:v>1226.0149669648824</c:v>
                </c:pt>
                <c:pt idx="131">
                  <c:v>1109.4472245629795</c:v>
                </c:pt>
                <c:pt idx="132">
                  <c:v>1129.6008349400859</c:v>
                </c:pt>
                <c:pt idx="133">
                  <c:v>1149.7474351055557</c:v>
                </c:pt>
                <c:pt idx="134">
                  <c:v>1169.8871649977145</c:v>
                </c:pt>
                <c:pt idx="135">
                  <c:v>1190.0201593519998</c:v>
                </c:pt>
                <c:pt idx="136">
                  <c:v>1210.1465479809058</c:v>
                </c:pt>
                <c:pt idx="137">
                  <c:v>1230.2664560343603</c:v>
                </c:pt>
                <c:pt idx="138">
                  <c:v>1250.3800042422201</c:v>
                </c:pt>
                <c:pt idx="139">
                  <c:v>1270.4873091403765</c:v>
                </c:pt>
                <c:pt idx="140">
                  <c:v>1290.5884832818329</c:v>
                </c:pt>
                <c:pt idx="141">
                  <c:v>1176.3354416548698</c:v>
                </c:pt>
                <c:pt idx="142">
                  <c:v>1196.5395769383738</c:v>
                </c:pt>
                <c:pt idx="143">
                  <c:v>1216.7370996448528</c:v>
                </c:pt>
                <c:pt idx="144">
                  <c:v>1236.9281348146633</c:v>
                </c:pt>
                <c:pt idx="145">
                  <c:v>1257.1128030802577</c:v>
                </c:pt>
                <c:pt idx="146">
                  <c:v>1277.2912208912542</c:v>
                </c:pt>
                <c:pt idx="147">
                  <c:v>1297.4635007245665</c:v>
                </c:pt>
                <c:pt idx="148">
                  <c:v>1317.6297512808158</c:v>
                </c:pt>
                <c:pt idx="149">
                  <c:v>1337.7900776681106</c:v>
                </c:pt>
                <c:pt idx="150">
                  <c:v>1357.9445815742004</c:v>
                </c:pt>
                <c:pt idx="151">
                  <c:v>890.50199799807615</c:v>
                </c:pt>
                <c:pt idx="152">
                  <c:v>888.07854611318987</c:v>
                </c:pt>
                <c:pt idx="153">
                  <c:v>885.65496206777607</c:v>
                </c:pt>
                <c:pt idx="154">
                  <c:v>601.42726969796774</c:v>
                </c:pt>
                <c:pt idx="155">
                  <c:v>599.53985842435873</c:v>
                </c:pt>
                <c:pt idx="156">
                  <c:v>597.65232361085918</c:v>
                </c:pt>
                <c:pt idx="157">
                  <c:v>420.31780098328477</c:v>
                </c:pt>
                <c:pt idx="158">
                  <c:v>418.85437018624697</c:v>
                </c:pt>
                <c:pt idx="159">
                  <c:v>417.39082918857042</c:v>
                </c:pt>
                <c:pt idx="160">
                  <c:v>45.86730951682074</c:v>
                </c:pt>
                <c:pt idx="161">
                  <c:v>45.86730951682074</c:v>
                </c:pt>
                <c:pt idx="162">
                  <c:v>45.86730951682074</c:v>
                </c:pt>
                <c:pt idx="163">
                  <c:v>45.86730951682074</c:v>
                </c:pt>
                <c:pt idx="164">
                  <c:v>45.86730951682074</c:v>
                </c:pt>
                <c:pt idx="165">
                  <c:v>45.86730951682074</c:v>
                </c:pt>
                <c:pt idx="166">
                  <c:v>45.86730951682074</c:v>
                </c:pt>
                <c:pt idx="167">
                  <c:v>45.86730951682074</c:v>
                </c:pt>
                <c:pt idx="168">
                  <c:v>45.86730951682074</c:v>
                </c:pt>
                <c:pt idx="169">
                  <c:v>45.86730951682074</c:v>
                </c:pt>
                <c:pt idx="170">
                  <c:v>45.86730951682074</c:v>
                </c:pt>
                <c:pt idx="171">
                  <c:v>45.86730951682074</c:v>
                </c:pt>
                <c:pt idx="172">
                  <c:v>45.86730951682074</c:v>
                </c:pt>
                <c:pt idx="173">
                  <c:v>45.86730951682074</c:v>
                </c:pt>
                <c:pt idx="174">
                  <c:v>45.86730951682074</c:v>
                </c:pt>
                <c:pt idx="175">
                  <c:v>45.86730951682074</c:v>
                </c:pt>
                <c:pt idx="176">
                  <c:v>45.86730951682074</c:v>
                </c:pt>
                <c:pt idx="177">
                  <c:v>45.86730951682074</c:v>
                </c:pt>
                <c:pt idx="178">
                  <c:v>45.86730951682074</c:v>
                </c:pt>
                <c:pt idx="179">
                  <c:v>45.86730951682074</c:v>
                </c:pt>
                <c:pt idx="180">
                  <c:v>45.86730951682074</c:v>
                </c:pt>
                <c:pt idx="181">
                  <c:v>45.86730951682074</c:v>
                </c:pt>
                <c:pt idx="182">
                  <c:v>45.86730951682074</c:v>
                </c:pt>
                <c:pt idx="183">
                  <c:v>45.86730951682074</c:v>
                </c:pt>
                <c:pt idx="184">
                  <c:v>45.86730951682074</c:v>
                </c:pt>
                <c:pt idx="185">
                  <c:v>45.86730951682074</c:v>
                </c:pt>
                <c:pt idx="186">
                  <c:v>45.86730951682074</c:v>
                </c:pt>
                <c:pt idx="187">
                  <c:v>45.86730951682074</c:v>
                </c:pt>
                <c:pt idx="188">
                  <c:v>45.86730951682074</c:v>
                </c:pt>
                <c:pt idx="189">
                  <c:v>45.86730951682074</c:v>
                </c:pt>
                <c:pt idx="190">
                  <c:v>45.86730951682074</c:v>
                </c:pt>
                <c:pt idx="191">
                  <c:v>45.86730951682074</c:v>
                </c:pt>
                <c:pt idx="192">
                  <c:v>45.86730951682074</c:v>
                </c:pt>
                <c:pt idx="193">
                  <c:v>45.86730951682074</c:v>
                </c:pt>
                <c:pt idx="194">
                  <c:v>45.86730951682074</c:v>
                </c:pt>
                <c:pt idx="195">
                  <c:v>45.86730951682074</c:v>
                </c:pt>
                <c:pt idx="196">
                  <c:v>45.86730951682074</c:v>
                </c:pt>
                <c:pt idx="197">
                  <c:v>45.86730951682074</c:v>
                </c:pt>
                <c:pt idx="198">
                  <c:v>45.86730951682074</c:v>
                </c:pt>
                <c:pt idx="199">
                  <c:v>45.86730951682074</c:v>
                </c:pt>
                <c:pt idx="200">
                  <c:v>45.86730951682074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H20" sqref="H2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164</v>
      </c>
      <c r="C9" s="262">
        <v>0.24</v>
      </c>
      <c r="D9" s="33">
        <f t="shared" ref="D9:D18" si="0">C9*$C$5</f>
        <v>0.96</v>
      </c>
      <c r="E9" s="263">
        <v>80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35</v>
      </c>
      <c r="C10" s="262">
        <v>0.24</v>
      </c>
      <c r="D10" s="33">
        <f t="shared" si="0"/>
        <v>0.96</v>
      </c>
      <c r="E10" s="263">
        <v>80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 t="s">
        <v>21</v>
      </c>
      <c r="C11" s="262">
        <v>0.12</v>
      </c>
      <c r="D11" s="33">
        <f t="shared" si="0"/>
        <v>0.48</v>
      </c>
      <c r="E11" s="263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 t="s">
        <v>12</v>
      </c>
      <c r="C12" s="262">
        <v>0.32</v>
      </c>
      <c r="D12" s="33">
        <f t="shared" si="0"/>
        <v>1.28</v>
      </c>
      <c r="E12" s="263">
        <v>115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6</v>
      </c>
      <c r="C13" s="32">
        <v>0.08</v>
      </c>
      <c r="D13" s="33">
        <f t="shared" si="0"/>
        <v>0.32</v>
      </c>
      <c r="E13" s="34">
        <v>159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0.99999999999999989</v>
      </c>
      <c r="D19" s="38">
        <f>SUM(D9:D18)</f>
        <v>3.9999999999999996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15</v>
      </c>
      <c r="B36" s="264">
        <v>78</v>
      </c>
      <c r="C36" s="264"/>
      <c r="D36" s="264"/>
      <c r="E36" s="259"/>
      <c r="F36" s="259"/>
      <c r="G36" s="259"/>
      <c r="H36" s="259"/>
      <c r="I36" s="49">
        <f>IFERROR(B36/A36,"")</f>
        <v>5.2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20</v>
      </c>
      <c r="B37" s="264">
        <v>198</v>
      </c>
      <c r="C37" s="264">
        <v>1</v>
      </c>
      <c r="D37" s="264">
        <v>49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25</v>
      </c>
      <c r="B38" s="264">
        <v>298</v>
      </c>
      <c r="C38" s="264">
        <v>2</v>
      </c>
      <c r="D38" s="264">
        <v>77</v>
      </c>
      <c r="E38" s="259"/>
      <c r="F38" s="259">
        <v>1</v>
      </c>
      <c r="G38" s="259"/>
      <c r="H38" s="259"/>
      <c r="I38" s="53">
        <f t="shared" si="1"/>
        <v>29.8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30</v>
      </c>
      <c r="B39" s="264">
        <v>380</v>
      </c>
      <c r="C39" s="264">
        <v>3</v>
      </c>
      <c r="D39" s="264">
        <v>77</v>
      </c>
      <c r="E39" s="259"/>
      <c r="F39" s="259">
        <v>1</v>
      </c>
      <c r="G39" s="259"/>
      <c r="H39" s="259"/>
      <c r="I39" s="49">
        <f t="shared" si="1"/>
        <v>31.8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35</v>
      </c>
      <c r="B40" s="264">
        <v>460</v>
      </c>
      <c r="C40" s="264">
        <v>4</v>
      </c>
      <c r="D40" s="264">
        <v>77</v>
      </c>
      <c r="E40" s="259">
        <v>1</v>
      </c>
      <c r="F40" s="259"/>
      <c r="G40" s="259"/>
      <c r="H40" s="259"/>
      <c r="I40" s="49">
        <f t="shared" si="1"/>
        <v>31.4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40</v>
      </c>
      <c r="B41" s="264">
        <v>533</v>
      </c>
      <c r="C41" s="264">
        <v>5</v>
      </c>
      <c r="D41" s="264">
        <v>77</v>
      </c>
      <c r="E41" s="259">
        <v>1</v>
      </c>
      <c r="F41" s="259"/>
      <c r="G41" s="259"/>
      <c r="H41" s="259"/>
      <c r="I41" s="53">
        <f t="shared" si="1"/>
        <v>30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45</v>
      </c>
      <c r="B42" s="264">
        <v>596</v>
      </c>
      <c r="C42" s="264">
        <v>6</v>
      </c>
      <c r="D42" s="264">
        <v>77</v>
      </c>
      <c r="E42" s="259">
        <v>1</v>
      </c>
      <c r="F42" s="259"/>
      <c r="G42" s="259"/>
      <c r="H42" s="259"/>
      <c r="I42" s="53">
        <f t="shared" si="1"/>
        <v>28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50</v>
      </c>
      <c r="B43" s="264">
        <v>651</v>
      </c>
      <c r="C43" s="264">
        <v>7</v>
      </c>
      <c r="D43" s="264">
        <v>76</v>
      </c>
      <c r="E43" s="259">
        <v>1</v>
      </c>
      <c r="F43" s="259"/>
      <c r="G43" s="259"/>
      <c r="H43" s="259"/>
      <c r="I43" s="49">
        <f t="shared" si="1"/>
        <v>26.4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55</v>
      </c>
      <c r="B44" s="264">
        <v>697</v>
      </c>
      <c r="C44" s="264">
        <v>8</v>
      </c>
      <c r="D44" s="264">
        <v>66</v>
      </c>
      <c r="E44" s="259">
        <v>1</v>
      </c>
      <c r="F44" s="259"/>
      <c r="G44" s="259"/>
      <c r="H44" s="259"/>
      <c r="I44" s="49">
        <f t="shared" si="1"/>
        <v>24.4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60</v>
      </c>
      <c r="B45" s="260">
        <v>744</v>
      </c>
      <c r="C45" s="264">
        <v>9</v>
      </c>
      <c r="D45" s="260">
        <v>60</v>
      </c>
      <c r="E45" s="259">
        <v>1</v>
      </c>
      <c r="F45" s="259"/>
      <c r="G45" s="259"/>
      <c r="H45" s="259"/>
      <c r="I45" s="49">
        <f t="shared" si="1"/>
        <v>22.6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65</v>
      </c>
      <c r="B46" s="265">
        <v>790</v>
      </c>
      <c r="C46" s="264">
        <v>10</v>
      </c>
      <c r="D46" s="265">
        <v>56</v>
      </c>
      <c r="E46" s="259">
        <v>1</v>
      </c>
      <c r="F46" s="259"/>
      <c r="G46" s="259"/>
      <c r="H46" s="259"/>
      <c r="I46" s="49">
        <f t="shared" si="1"/>
        <v>21.2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70</v>
      </c>
      <c r="B47" s="260">
        <v>831</v>
      </c>
      <c r="C47" s="264">
        <v>11</v>
      </c>
      <c r="D47" s="260">
        <v>53</v>
      </c>
      <c r="E47" s="259">
        <v>1</v>
      </c>
      <c r="F47" s="259"/>
      <c r="G47" s="259"/>
      <c r="H47" s="259"/>
      <c r="I47" s="49">
        <f t="shared" si="1"/>
        <v>19.399999999999999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75</v>
      </c>
      <c r="B48" s="260">
        <v>868</v>
      </c>
      <c r="C48" s="264">
        <v>12</v>
      </c>
      <c r="D48" s="260">
        <v>50</v>
      </c>
      <c r="E48" s="259">
        <v>1</v>
      </c>
      <c r="F48" s="259"/>
      <c r="G48" s="259"/>
      <c r="H48" s="259"/>
      <c r="I48" s="49">
        <f t="shared" si="1"/>
        <v>18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80</v>
      </c>
      <c r="B49" s="260">
        <v>901</v>
      </c>
      <c r="C49" s="264">
        <v>13</v>
      </c>
      <c r="D49" s="260">
        <v>48</v>
      </c>
      <c r="E49" s="259">
        <v>1</v>
      </c>
      <c r="F49" s="259"/>
      <c r="G49" s="259"/>
      <c r="H49" s="259"/>
      <c r="I49" s="49">
        <f t="shared" si="1"/>
        <v>16.600000000000001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/>
      <c r="B50" s="260"/>
      <c r="C50" s="260"/>
      <c r="D50" s="260"/>
      <c r="E50" s="259"/>
      <c r="F50" s="259"/>
      <c r="G50" s="259"/>
      <c r="H50" s="259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/>
      <c r="B51" s="260"/>
      <c r="C51" s="260"/>
      <c r="D51" s="260"/>
      <c r="E51" s="259"/>
      <c r="F51" s="259"/>
      <c r="G51" s="259"/>
      <c r="H51" s="259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/>
      <c r="B52" s="260"/>
      <c r="C52" s="260"/>
      <c r="D52" s="260"/>
      <c r="E52" s="259"/>
      <c r="F52" s="259"/>
      <c r="G52" s="259"/>
      <c r="H52" s="259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/>
      <c r="B53" s="260"/>
      <c r="C53" s="260"/>
      <c r="D53" s="260"/>
      <c r="E53" s="259"/>
      <c r="F53" s="259"/>
      <c r="G53" s="259"/>
      <c r="H53" s="259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/>
      <c r="B54" s="260"/>
      <c r="C54" s="260"/>
      <c r="D54" s="260"/>
      <c r="E54" s="259"/>
      <c r="F54" s="259"/>
      <c r="G54" s="259"/>
      <c r="H54" s="259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/>
      <c r="B55" s="260"/>
      <c r="C55" s="260"/>
      <c r="D55" s="260"/>
      <c r="E55" s="259"/>
      <c r="F55" s="259"/>
      <c r="G55" s="259"/>
      <c r="H55" s="259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0">
        <v>15</v>
      </c>
      <c r="B62" s="260">
        <v>110</v>
      </c>
      <c r="C62" s="260">
        <v>1</v>
      </c>
      <c r="D62" s="260">
        <v>14</v>
      </c>
      <c r="E62" s="259"/>
      <c r="F62" s="259"/>
      <c r="G62" s="259">
        <v>1</v>
      </c>
      <c r="H62" s="259"/>
      <c r="I62" s="53">
        <f>IFERROR(B62/A62,"")</f>
        <v>7.333333333333333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0">
        <v>20</v>
      </c>
      <c r="B63" s="260">
        <v>203</v>
      </c>
      <c r="C63" s="260">
        <v>2</v>
      </c>
      <c r="D63" s="260">
        <v>63</v>
      </c>
      <c r="E63" s="259"/>
      <c r="F63" s="259">
        <v>1</v>
      </c>
      <c r="G63" s="259"/>
      <c r="H63" s="259"/>
      <c r="I63" s="49">
        <f>IF(A63&lt;&gt;0,(B63-(B62-D62))/(A63-A62),"")</f>
        <v>21.4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0">
        <v>25</v>
      </c>
      <c r="B64" s="260">
        <v>254</v>
      </c>
      <c r="C64" s="260">
        <v>3</v>
      </c>
      <c r="D64" s="260">
        <v>63</v>
      </c>
      <c r="E64" s="259"/>
      <c r="F64" s="259">
        <v>1</v>
      </c>
      <c r="G64" s="259"/>
      <c r="H64" s="259"/>
      <c r="I64" s="49">
        <f>IF(A64&lt;&gt;0,(B64-(B63-D63))/(A64-A63),"")</f>
        <v>22.8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0">
        <v>30</v>
      </c>
      <c r="B65" s="260">
        <v>311</v>
      </c>
      <c r="C65" s="260">
        <v>4</v>
      </c>
      <c r="D65" s="260">
        <v>63</v>
      </c>
      <c r="E65" s="259"/>
      <c r="F65" s="259">
        <v>1</v>
      </c>
      <c r="G65" s="259"/>
      <c r="H65" s="259"/>
      <c r="I65" s="49">
        <f>IF(A65&lt;&gt;0,(B65-(B64-D64))/(A65-A64),"")</f>
        <v>24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0">
        <v>35</v>
      </c>
      <c r="B66" s="260">
        <v>369</v>
      </c>
      <c r="C66" s="260">
        <v>5</v>
      </c>
      <c r="D66" s="260">
        <v>63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24.2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0">
        <v>40</v>
      </c>
      <c r="B67" s="260">
        <v>424</v>
      </c>
      <c r="C67" s="260">
        <v>6</v>
      </c>
      <c r="D67" s="260">
        <v>63</v>
      </c>
      <c r="E67" s="259">
        <v>1</v>
      </c>
      <c r="F67" s="259"/>
      <c r="G67" s="259"/>
      <c r="H67" s="259"/>
      <c r="I67" s="49">
        <f t="shared" si="2"/>
        <v>23.6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0">
        <v>45</v>
      </c>
      <c r="B68" s="260">
        <v>469</v>
      </c>
      <c r="C68" s="260">
        <v>7</v>
      </c>
      <c r="D68" s="260">
        <v>60</v>
      </c>
      <c r="E68" s="259">
        <v>1</v>
      </c>
      <c r="F68" s="259"/>
      <c r="G68" s="259"/>
      <c r="H68" s="259"/>
      <c r="I68" s="49">
        <f t="shared" si="2"/>
        <v>21.6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0">
        <v>50</v>
      </c>
      <c r="B69" s="260">
        <v>509</v>
      </c>
      <c r="C69" s="260">
        <v>8</v>
      </c>
      <c r="D69" s="260">
        <v>53</v>
      </c>
      <c r="E69" s="259">
        <v>1</v>
      </c>
      <c r="F69" s="259"/>
      <c r="G69" s="259"/>
      <c r="H69" s="259"/>
      <c r="I69" s="49">
        <f t="shared" si="2"/>
        <v>20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0">
        <v>55</v>
      </c>
      <c r="B70" s="260">
        <v>548</v>
      </c>
      <c r="C70" s="260">
        <v>9</v>
      </c>
      <c r="D70" s="260">
        <v>45</v>
      </c>
      <c r="E70" s="259">
        <v>1</v>
      </c>
      <c r="F70" s="259"/>
      <c r="G70" s="259"/>
      <c r="H70" s="259"/>
      <c r="I70" s="49">
        <f t="shared" si="2"/>
        <v>18.399999999999999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0">
        <v>60</v>
      </c>
      <c r="B71" s="260">
        <v>588</v>
      </c>
      <c r="C71" s="260">
        <v>10</v>
      </c>
      <c r="D71" s="260">
        <v>39</v>
      </c>
      <c r="E71" s="259">
        <v>1</v>
      </c>
      <c r="F71" s="259"/>
      <c r="G71" s="259"/>
      <c r="H71" s="259"/>
      <c r="I71" s="49">
        <f t="shared" si="2"/>
        <v>17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0">
        <v>65</v>
      </c>
      <c r="B72" s="260">
        <v>627</v>
      </c>
      <c r="C72" s="260">
        <v>11</v>
      </c>
      <c r="D72" s="260">
        <v>34</v>
      </c>
      <c r="E72" s="259">
        <v>1</v>
      </c>
      <c r="F72" s="259"/>
      <c r="G72" s="259"/>
      <c r="H72" s="259"/>
      <c r="I72" s="49">
        <f t="shared" si="2"/>
        <v>15.6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>
        <v>70</v>
      </c>
      <c r="B73" s="260">
        <v>662</v>
      </c>
      <c r="C73" s="260">
        <v>12</v>
      </c>
      <c r="D73" s="260">
        <v>31</v>
      </c>
      <c r="E73" s="259">
        <v>1</v>
      </c>
      <c r="F73" s="259"/>
      <c r="G73" s="259"/>
      <c r="H73" s="259"/>
      <c r="I73" s="49">
        <f t="shared" si="2"/>
        <v>13.8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>
        <v>75</v>
      </c>
      <c r="B74" s="260">
        <v>693</v>
      </c>
      <c r="C74" s="260">
        <v>13</v>
      </c>
      <c r="D74" s="260">
        <v>30</v>
      </c>
      <c r="E74" s="259">
        <v>1</v>
      </c>
      <c r="F74" s="259"/>
      <c r="G74" s="259"/>
      <c r="H74" s="259"/>
      <c r="I74" s="49">
        <f t="shared" si="2"/>
        <v>12.4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>
        <v>80</v>
      </c>
      <c r="B75" s="260">
        <v>718</v>
      </c>
      <c r="C75" s="260">
        <v>14</v>
      </c>
      <c r="D75" s="260">
        <v>29</v>
      </c>
      <c r="E75" s="259">
        <v>1</v>
      </c>
      <c r="F75" s="259"/>
      <c r="G75" s="259"/>
      <c r="H75" s="259"/>
      <c r="I75" s="49">
        <f t="shared" si="2"/>
        <v>11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champêtre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15</v>
      </c>
      <c r="B88" s="60">
        <v>37</v>
      </c>
      <c r="C88" s="60">
        <v>1</v>
      </c>
      <c r="D88" s="60">
        <v>15</v>
      </c>
      <c r="E88" s="51"/>
      <c r="F88" s="51"/>
      <c r="G88" s="51"/>
      <c r="H88" s="51">
        <v>1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80</v>
      </c>
      <c r="C89" s="60">
        <v>2</v>
      </c>
      <c r="D89" s="60">
        <v>28</v>
      </c>
      <c r="E89" s="51"/>
      <c r="F89" s="51"/>
      <c r="G89" s="51"/>
      <c r="H89" s="51">
        <v>1</v>
      </c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25</v>
      </c>
      <c r="B90" s="60">
        <v>115</v>
      </c>
      <c r="C90" s="60">
        <v>3</v>
      </c>
      <c r="D90" s="60">
        <v>28</v>
      </c>
      <c r="E90" s="51"/>
      <c r="F90" s="51"/>
      <c r="G90" s="51"/>
      <c r="H90" s="51">
        <v>1</v>
      </c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30</v>
      </c>
      <c r="B91" s="60">
        <v>146</v>
      </c>
      <c r="C91" s="60">
        <v>4</v>
      </c>
      <c r="D91" s="60">
        <v>28</v>
      </c>
      <c r="E91" s="51"/>
      <c r="F91" s="51"/>
      <c r="G91" s="51"/>
      <c r="H91" s="51">
        <v>1</v>
      </c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35</v>
      </c>
      <c r="B92" s="60">
        <v>172</v>
      </c>
      <c r="C92" s="60">
        <v>5</v>
      </c>
      <c r="D92" s="60">
        <v>28</v>
      </c>
      <c r="E92" s="51">
        <v>1</v>
      </c>
      <c r="F92" s="51"/>
      <c r="G92" s="51"/>
      <c r="H92" s="51"/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40</v>
      </c>
      <c r="B93" s="60">
        <v>192</v>
      </c>
      <c r="C93" s="60">
        <v>6</v>
      </c>
      <c r="D93" s="60">
        <v>28</v>
      </c>
      <c r="E93" s="51">
        <v>1</v>
      </c>
      <c r="F93" s="51"/>
      <c r="G93" s="51"/>
      <c r="H93" s="51"/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45</v>
      </c>
      <c r="B94" s="60">
        <v>205</v>
      </c>
      <c r="C94" s="60">
        <v>7</v>
      </c>
      <c r="D94" s="60">
        <v>22</v>
      </c>
      <c r="E94" s="51">
        <v>1</v>
      </c>
      <c r="F94" s="51"/>
      <c r="G94" s="51"/>
      <c r="H94" s="51"/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50">
        <v>50</v>
      </c>
      <c r="B95" s="50">
        <v>219</v>
      </c>
      <c r="C95" s="50">
        <v>8</v>
      </c>
      <c r="D95" s="50">
        <v>17</v>
      </c>
      <c r="E95" s="51">
        <v>1</v>
      </c>
      <c r="F95" s="51"/>
      <c r="G95" s="51"/>
      <c r="H95" s="51"/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50">
        <v>55</v>
      </c>
      <c r="B96" s="50">
        <v>232</v>
      </c>
      <c r="C96" s="50">
        <v>9</v>
      </c>
      <c r="D96" s="50">
        <v>13</v>
      </c>
      <c r="E96" s="51">
        <v>1</v>
      </c>
      <c r="F96" s="51"/>
      <c r="G96" s="51"/>
      <c r="H96" s="51"/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50">
        <v>60</v>
      </c>
      <c r="B97" s="50">
        <v>245</v>
      </c>
      <c r="C97" s="50">
        <v>10</v>
      </c>
      <c r="D97" s="50">
        <v>12</v>
      </c>
      <c r="E97" s="51">
        <v>1</v>
      </c>
      <c r="F97" s="51"/>
      <c r="G97" s="51"/>
      <c r="H97" s="51"/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50">
        <v>65</v>
      </c>
      <c r="B98" s="50">
        <v>255</v>
      </c>
      <c r="C98" s="50">
        <v>11</v>
      </c>
      <c r="D98" s="50">
        <v>11</v>
      </c>
      <c r="E98" s="51">
        <v>1</v>
      </c>
      <c r="F98" s="51"/>
      <c r="G98" s="51"/>
      <c r="H98" s="51"/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50">
        <v>70</v>
      </c>
      <c r="B99" s="50">
        <v>263</v>
      </c>
      <c r="C99" s="50">
        <v>12</v>
      </c>
      <c r="D99" s="50">
        <v>10</v>
      </c>
      <c r="E99" s="51">
        <v>1</v>
      </c>
      <c r="F99" s="51"/>
      <c r="G99" s="51"/>
      <c r="H99" s="51"/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50">
        <v>75</v>
      </c>
      <c r="B100" s="50">
        <v>270</v>
      </c>
      <c r="C100" s="50">
        <v>13</v>
      </c>
      <c r="D100" s="50">
        <v>9</v>
      </c>
      <c r="E100" s="51">
        <v>1</v>
      </c>
      <c r="F100" s="51"/>
      <c r="G100" s="51"/>
      <c r="H100" s="51"/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50">
        <v>80</v>
      </c>
      <c r="B101" s="50">
        <v>275</v>
      </c>
      <c r="C101" s="50">
        <v>14</v>
      </c>
      <c r="D101" s="50">
        <v>8</v>
      </c>
      <c r="E101" s="51">
        <v>1</v>
      </c>
      <c r="F101" s="51"/>
      <c r="G101" s="51"/>
      <c r="H101" s="51"/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pubescent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>
        <v>20</v>
      </c>
      <c r="B114" s="260">
        <v>73</v>
      </c>
      <c r="C114" s="260">
        <v>1</v>
      </c>
      <c r="D114" s="260">
        <v>6</v>
      </c>
      <c r="E114" s="259"/>
      <c r="F114" s="259"/>
      <c r="G114" s="259"/>
      <c r="H114" s="259">
        <v>1</v>
      </c>
      <c r="I114" s="53">
        <f>IFERROR(B114/A114,"")</f>
        <v>3.65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>
        <v>25</v>
      </c>
      <c r="B115" s="260">
        <v>103</v>
      </c>
      <c r="C115" s="260">
        <v>2</v>
      </c>
      <c r="D115" s="260">
        <v>28</v>
      </c>
      <c r="E115" s="259"/>
      <c r="F115" s="259"/>
      <c r="G115" s="259"/>
      <c r="H115" s="259">
        <v>1</v>
      </c>
      <c r="I115" s="53">
        <f t="shared" ref="I115:I133" si="4">IF(A115&lt;&gt;0,(B115-(B114-D114))/(A115-A114),"")</f>
        <v>7.2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>
        <v>30</v>
      </c>
      <c r="B116" s="260">
        <v>121</v>
      </c>
      <c r="C116" s="260">
        <v>3</v>
      </c>
      <c r="D116" s="260">
        <v>28</v>
      </c>
      <c r="E116" s="259"/>
      <c r="F116" s="259"/>
      <c r="G116" s="259"/>
      <c r="H116" s="259">
        <v>1</v>
      </c>
      <c r="I116" s="53">
        <f t="shared" si="4"/>
        <v>9.1999999999999993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>
        <v>35</v>
      </c>
      <c r="B117" s="260">
        <v>147</v>
      </c>
      <c r="C117" s="260">
        <v>4</v>
      </c>
      <c r="D117" s="260">
        <v>28</v>
      </c>
      <c r="E117" s="259">
        <v>1</v>
      </c>
      <c r="F117" s="259"/>
      <c r="G117" s="259"/>
      <c r="H117" s="259"/>
      <c r="I117" s="53">
        <f t="shared" si="4"/>
        <v>10.8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>
        <v>40</v>
      </c>
      <c r="B118" s="260">
        <v>175</v>
      </c>
      <c r="C118" s="260">
        <v>5</v>
      </c>
      <c r="D118" s="260">
        <v>28</v>
      </c>
      <c r="E118" s="259">
        <v>1</v>
      </c>
      <c r="F118" s="259"/>
      <c r="G118" s="259"/>
      <c r="H118" s="259"/>
      <c r="I118" s="53">
        <f t="shared" si="4"/>
        <v>11.2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>
        <v>45</v>
      </c>
      <c r="B119" s="260">
        <v>204</v>
      </c>
      <c r="C119" s="260">
        <v>6</v>
      </c>
      <c r="D119" s="260">
        <v>28</v>
      </c>
      <c r="E119" s="259">
        <v>1</v>
      </c>
      <c r="F119" s="259"/>
      <c r="G119" s="259"/>
      <c r="H119" s="259"/>
      <c r="I119" s="53">
        <f t="shared" si="4"/>
        <v>11.4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>
        <v>50</v>
      </c>
      <c r="B120" s="260">
        <v>231</v>
      </c>
      <c r="C120" s="260">
        <v>7</v>
      </c>
      <c r="D120" s="260">
        <v>28</v>
      </c>
      <c r="E120" s="259">
        <v>1</v>
      </c>
      <c r="F120" s="259"/>
      <c r="G120" s="259"/>
      <c r="H120" s="259"/>
      <c r="I120" s="53">
        <f t="shared" si="4"/>
        <v>11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>
        <v>55</v>
      </c>
      <c r="B121" s="260">
        <v>254</v>
      </c>
      <c r="C121" s="260">
        <v>8</v>
      </c>
      <c r="D121" s="260">
        <v>28</v>
      </c>
      <c r="E121" s="259">
        <v>1</v>
      </c>
      <c r="F121" s="259"/>
      <c r="G121" s="259"/>
      <c r="H121" s="259"/>
      <c r="I121" s="53">
        <f t="shared" si="4"/>
        <v>10.199999999999999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>
        <v>60</v>
      </c>
      <c r="B122" s="260">
        <v>273</v>
      </c>
      <c r="C122" s="260">
        <v>9</v>
      </c>
      <c r="D122" s="260">
        <v>28</v>
      </c>
      <c r="E122" s="259">
        <v>1</v>
      </c>
      <c r="F122" s="259"/>
      <c r="G122" s="259"/>
      <c r="H122" s="259"/>
      <c r="I122" s="53">
        <f t="shared" si="4"/>
        <v>9.4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>
        <v>65</v>
      </c>
      <c r="B123" s="260">
        <v>289</v>
      </c>
      <c r="C123" s="260">
        <v>10</v>
      </c>
      <c r="D123" s="260">
        <v>28</v>
      </c>
      <c r="E123" s="259">
        <v>1</v>
      </c>
      <c r="F123" s="259"/>
      <c r="G123" s="259"/>
      <c r="H123" s="259"/>
      <c r="I123" s="53">
        <f t="shared" si="4"/>
        <v>8.8000000000000007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>
        <v>70</v>
      </c>
      <c r="B124" s="260">
        <v>302</v>
      </c>
      <c r="C124" s="260">
        <v>11</v>
      </c>
      <c r="D124" s="260">
        <v>28</v>
      </c>
      <c r="E124" s="259">
        <v>1</v>
      </c>
      <c r="F124" s="259"/>
      <c r="G124" s="259"/>
      <c r="H124" s="259"/>
      <c r="I124" s="53">
        <f t="shared" si="4"/>
        <v>8.1999999999999993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>
        <v>75</v>
      </c>
      <c r="B125" s="260">
        <v>312</v>
      </c>
      <c r="C125" s="260">
        <v>12</v>
      </c>
      <c r="D125" s="260">
        <v>28</v>
      </c>
      <c r="E125" s="259">
        <v>1</v>
      </c>
      <c r="F125" s="259"/>
      <c r="G125" s="259"/>
      <c r="H125" s="259"/>
      <c r="I125" s="53">
        <f t="shared" si="4"/>
        <v>7.6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>
        <v>80</v>
      </c>
      <c r="B126" s="260">
        <v>320</v>
      </c>
      <c r="C126" s="260">
        <v>13</v>
      </c>
      <c r="D126" s="260">
        <v>28</v>
      </c>
      <c r="E126" s="259">
        <v>1</v>
      </c>
      <c r="F126" s="259"/>
      <c r="G126" s="259"/>
      <c r="H126" s="259"/>
      <c r="I126" s="53">
        <f t="shared" si="4"/>
        <v>7.2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>
        <v>85</v>
      </c>
      <c r="B127" s="260">
        <v>326</v>
      </c>
      <c r="C127" s="260">
        <v>14</v>
      </c>
      <c r="D127" s="260">
        <v>28</v>
      </c>
      <c r="E127" s="259">
        <v>1</v>
      </c>
      <c r="F127" s="259"/>
      <c r="G127" s="259"/>
      <c r="H127" s="259"/>
      <c r="I127" s="53">
        <f t="shared" si="4"/>
        <v>6.8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>
        <v>90</v>
      </c>
      <c r="B128" s="260">
        <v>330</v>
      </c>
      <c r="C128" s="260">
        <v>15</v>
      </c>
      <c r="D128" s="260">
        <v>28</v>
      </c>
      <c r="E128" s="259">
        <v>1</v>
      </c>
      <c r="F128" s="259"/>
      <c r="G128" s="259"/>
      <c r="H128" s="259"/>
      <c r="I128" s="53">
        <f t="shared" si="4"/>
        <v>6.4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56">
        <v>95</v>
      </c>
      <c r="B129" s="257">
        <v>333</v>
      </c>
      <c r="C129" s="256">
        <v>16</v>
      </c>
      <c r="D129" s="256">
        <v>28</v>
      </c>
      <c r="E129" s="255">
        <v>1</v>
      </c>
      <c r="F129" s="255"/>
      <c r="G129" s="255"/>
      <c r="H129" s="255"/>
      <c r="I129" s="53">
        <f t="shared" si="4"/>
        <v>6.2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56">
        <v>100</v>
      </c>
      <c r="B130" s="257">
        <v>333</v>
      </c>
      <c r="C130" s="256">
        <v>17</v>
      </c>
      <c r="D130" s="256">
        <v>27</v>
      </c>
      <c r="E130" s="255">
        <v>1</v>
      </c>
      <c r="F130" s="255"/>
      <c r="G130" s="255"/>
      <c r="H130" s="255"/>
      <c r="I130" s="53">
        <f t="shared" si="4"/>
        <v>5.6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56">
        <v>105</v>
      </c>
      <c r="B131" s="257">
        <v>333</v>
      </c>
      <c r="C131" s="256">
        <v>18</v>
      </c>
      <c r="D131" s="256">
        <v>26</v>
      </c>
      <c r="E131" s="255">
        <v>1</v>
      </c>
      <c r="F131" s="255"/>
      <c r="G131" s="255"/>
      <c r="H131" s="255"/>
      <c r="I131" s="53">
        <f t="shared" si="4"/>
        <v>5.4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56">
        <v>110</v>
      </c>
      <c r="B132" s="257">
        <v>332</v>
      </c>
      <c r="C132" s="256">
        <v>19</v>
      </c>
      <c r="D132" s="256">
        <v>25</v>
      </c>
      <c r="E132" s="255">
        <v>1</v>
      </c>
      <c r="F132" s="255"/>
      <c r="G132" s="255"/>
      <c r="H132" s="255"/>
      <c r="I132" s="53">
        <f t="shared" si="4"/>
        <v>5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56">
        <v>115</v>
      </c>
      <c r="B133" s="257">
        <v>331</v>
      </c>
      <c r="C133" s="256">
        <v>20</v>
      </c>
      <c r="D133" s="258">
        <v>24</v>
      </c>
      <c r="E133" s="255">
        <v>1</v>
      </c>
      <c r="F133" s="255"/>
      <c r="G133" s="255"/>
      <c r="H133" s="255"/>
      <c r="I133" s="53">
        <f t="shared" si="4"/>
        <v>4.8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Charme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30</v>
      </c>
      <c r="B140" s="60">
        <v>108.42307692307691</v>
      </c>
      <c r="C140" s="50"/>
      <c r="D140" s="60"/>
      <c r="E140" s="51"/>
      <c r="F140" s="51"/>
      <c r="G140" s="51"/>
      <c r="H140" s="51"/>
      <c r="I140" s="57">
        <f>IFERROR(B140/A140,"")</f>
        <v>3.6141025641025637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34</v>
      </c>
      <c r="B141" s="60">
        <v>173.04</v>
      </c>
      <c r="C141" s="50">
        <v>1</v>
      </c>
      <c r="D141" s="60">
        <v>35.450000000000003</v>
      </c>
      <c r="E141" s="51">
        <v>1</v>
      </c>
      <c r="F141" s="51"/>
      <c r="G141" s="51"/>
      <c r="H141" s="51"/>
      <c r="I141" s="57">
        <f t="shared" ref="I141:I159" si="5">IF(A141&lt;&gt;0,(B141-(B140-D140))/(A141-A140),"")</f>
        <v>16.154230769230772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42</v>
      </c>
      <c r="B142" s="60">
        <v>248.01</v>
      </c>
      <c r="C142" s="50">
        <v>2</v>
      </c>
      <c r="D142" s="60">
        <v>55.41</v>
      </c>
      <c r="E142" s="51">
        <v>1</v>
      </c>
      <c r="F142" s="51"/>
      <c r="G142" s="51"/>
      <c r="H142" s="51"/>
      <c r="I142" s="57">
        <f t="shared" si="5"/>
        <v>13.802500000000002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50</v>
      </c>
      <c r="B143" s="60">
        <v>304.72000000000003</v>
      </c>
      <c r="C143" s="50">
        <v>3</v>
      </c>
      <c r="D143" s="60">
        <v>66.62</v>
      </c>
      <c r="E143" s="51">
        <v>1</v>
      </c>
      <c r="F143" s="51"/>
      <c r="G143" s="51"/>
      <c r="H143" s="51"/>
      <c r="I143" s="57">
        <f t="shared" si="5"/>
        <v>14.015000000000004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58</v>
      </c>
      <c r="B144" s="60">
        <v>346.58</v>
      </c>
      <c r="C144" s="50">
        <v>4</v>
      </c>
      <c r="D144" s="60">
        <v>62.16</v>
      </c>
      <c r="E144" s="51">
        <v>1</v>
      </c>
      <c r="F144" s="51"/>
      <c r="G144" s="51"/>
      <c r="H144" s="51"/>
      <c r="I144" s="57">
        <f t="shared" si="5"/>
        <v>13.559999999999995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66</v>
      </c>
      <c r="B145" s="60">
        <v>388.92</v>
      </c>
      <c r="C145" s="50">
        <v>5</v>
      </c>
      <c r="D145" s="60">
        <v>71.34</v>
      </c>
      <c r="E145" s="51">
        <v>1</v>
      </c>
      <c r="F145" s="51"/>
      <c r="G145" s="51"/>
      <c r="H145" s="51"/>
      <c r="I145" s="57">
        <f t="shared" si="5"/>
        <v>13.062500000000007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74</v>
      </c>
      <c r="B146" s="60">
        <v>414.8</v>
      </c>
      <c r="C146" s="50">
        <v>6</v>
      </c>
      <c r="D146" s="60">
        <v>70.209999999999994</v>
      </c>
      <c r="E146" s="51">
        <v>1</v>
      </c>
      <c r="F146" s="51"/>
      <c r="G146" s="51"/>
      <c r="H146" s="51"/>
      <c r="I146" s="57">
        <f t="shared" si="5"/>
        <v>12.152499999999996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82</v>
      </c>
      <c r="B147" s="60">
        <v>436.17</v>
      </c>
      <c r="C147" s="50">
        <v>7</v>
      </c>
      <c r="D147" s="60">
        <v>53.92</v>
      </c>
      <c r="E147" s="51">
        <v>1</v>
      </c>
      <c r="F147" s="51"/>
      <c r="G147" s="51"/>
      <c r="H147" s="51"/>
      <c r="I147" s="57">
        <f>IF(A147&lt;&gt;0,(B147-(B146-D146))/(A147-A146),"")</f>
        <v>11.447499999999998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90</v>
      </c>
      <c r="B148" s="60">
        <v>471.37</v>
      </c>
      <c r="C148" s="50">
        <v>8</v>
      </c>
      <c r="D148" s="60">
        <v>63.25</v>
      </c>
      <c r="E148" s="51">
        <v>1</v>
      </c>
      <c r="F148" s="51"/>
      <c r="G148" s="51"/>
      <c r="H148" s="51"/>
      <c r="I148" s="57">
        <f t="shared" si="5"/>
        <v>11.14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100</v>
      </c>
      <c r="B149" s="60">
        <v>515.66999999999996</v>
      </c>
      <c r="C149" s="50">
        <v>9</v>
      </c>
      <c r="D149" s="60">
        <v>85.23</v>
      </c>
      <c r="E149" s="51">
        <v>1</v>
      </c>
      <c r="F149" s="51"/>
      <c r="G149" s="51"/>
      <c r="H149" s="51"/>
      <c r="I149" s="57">
        <f t="shared" si="5"/>
        <v>10.754999999999995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110</v>
      </c>
      <c r="B150" s="60">
        <v>531.04</v>
      </c>
      <c r="C150" s="50">
        <v>10</v>
      </c>
      <c r="D150" s="60">
        <v>67.22</v>
      </c>
      <c r="E150" s="51">
        <v>1</v>
      </c>
      <c r="F150" s="51"/>
      <c r="G150" s="51"/>
      <c r="H150" s="51"/>
      <c r="I150" s="57">
        <f t="shared" si="5"/>
        <v>10.060000000000002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120</v>
      </c>
      <c r="B151" s="60">
        <v>565</v>
      </c>
      <c r="C151" s="50">
        <v>11</v>
      </c>
      <c r="D151" s="60">
        <v>60.46</v>
      </c>
      <c r="E151" s="51">
        <v>1</v>
      </c>
      <c r="F151" s="51"/>
      <c r="G151" s="51"/>
      <c r="H151" s="51"/>
      <c r="I151" s="57">
        <f t="shared" si="5"/>
        <v>10.118000000000006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130</v>
      </c>
      <c r="B152" s="60">
        <v>606.41</v>
      </c>
      <c r="C152" s="50">
        <v>12</v>
      </c>
      <c r="D152" s="60">
        <v>69</v>
      </c>
      <c r="E152" s="54">
        <v>1</v>
      </c>
      <c r="F152" s="54"/>
      <c r="G152" s="54"/>
      <c r="H152" s="54"/>
      <c r="I152" s="57">
        <f t="shared" si="5"/>
        <v>10.186999999999994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140</v>
      </c>
      <c r="B153" s="60">
        <v>639.04999999999995</v>
      </c>
      <c r="C153" s="50">
        <v>13</v>
      </c>
      <c r="D153" s="60">
        <v>67.930000000000007</v>
      </c>
      <c r="E153" s="54">
        <v>1</v>
      </c>
      <c r="F153" s="54"/>
      <c r="G153" s="54"/>
      <c r="H153" s="54"/>
      <c r="I153" s="57">
        <f t="shared" si="5"/>
        <v>10.163999999999998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150</v>
      </c>
      <c r="B154" s="56">
        <v>673.13</v>
      </c>
      <c r="C154" s="50">
        <v>14</v>
      </c>
      <c r="D154" s="50">
        <v>234.51</v>
      </c>
      <c r="E154" s="54">
        <v>1</v>
      </c>
      <c r="F154" s="54"/>
      <c r="G154" s="54"/>
      <c r="H154" s="54"/>
      <c r="I154" s="57">
        <f t="shared" si="5"/>
        <v>10.201000000000011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153</v>
      </c>
      <c r="B155" s="56">
        <v>434.97</v>
      </c>
      <c r="C155" s="50">
        <v>15</v>
      </c>
      <c r="D155" s="50">
        <v>141.22</v>
      </c>
      <c r="E155" s="54">
        <v>1</v>
      </c>
      <c r="F155" s="54"/>
      <c r="G155" s="54"/>
      <c r="H155" s="54"/>
      <c r="I155" s="57">
        <f t="shared" si="5"/>
        <v>-1.216666666666659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156</v>
      </c>
      <c r="B156" s="56">
        <v>290.93</v>
      </c>
      <c r="C156" s="50">
        <v>16</v>
      </c>
      <c r="D156" s="50">
        <v>87.28</v>
      </c>
      <c r="E156" s="54">
        <v>1</v>
      </c>
      <c r="F156" s="54"/>
      <c r="G156" s="54"/>
      <c r="H156" s="54"/>
      <c r="I156" s="57">
        <f t="shared" si="5"/>
        <v>-0.93999999999999773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159</v>
      </c>
      <c r="B157" s="56">
        <v>201.48</v>
      </c>
      <c r="C157" s="50">
        <v>17</v>
      </c>
      <c r="D157" s="50">
        <v>180.6</v>
      </c>
      <c r="E157" s="54">
        <v>1</v>
      </c>
      <c r="F157" s="54"/>
      <c r="G157" s="54"/>
      <c r="H157" s="54"/>
      <c r="I157" s="57">
        <f t="shared" si="5"/>
        <v>-0.7233333333333386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4" sqref="G24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Cèdre de l'Atlas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Pin laricio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Erable champêtre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Chêne pubescent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Charme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488.67934252295686</v>
      </c>
      <c r="T3" s="59">
        <f>IF('Données projet'!E9&gt;30,$R$33-$H$33,LOOKUP('Données projet'!$E$9,$A$3:$A$203,R3:R203)-LOOKUP('Données projet'!$E$9,$A$3:$A$203,$H$3:$H$203))</f>
        <v>424.50324471331095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504.81063008331739</v>
      </c>
      <c r="AO3" s="59">
        <f>IF('Données projet'!E10&gt;30,$AM$33-$H$33,LOOKUP('Données projet'!$E$10,$A$3:$A$203,AM3:AM203)-LOOKUP('Données projet'!$E$10,$A$3:$A$203,$H$3:$H$203))</f>
        <v>441.82647565372287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324.86930206492627</v>
      </c>
      <c r="BJ3" s="59">
        <f>IF('Données projet'!E11&gt;30,$BH$33-$H$33,LOOKUP('Données projet'!$E$11,$A$3:$A$203,BH3:BH203)-LOOKUP('Données projet'!$E$11,$A$3:$A$203,$H$3:$H$203))</f>
        <v>317.03005098025352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487.18832528146936</v>
      </c>
      <c r="CE3" s="59">
        <f>IF('Données projet'!E12&gt;30,$CC$33-$H$33,LOOKUP('Données projet'!$E$12,$A$3:$A$203,CC3:CC203)-LOOKUP('Données projet'!$E$12,$A$3:$A$203,$H$3:$H$203))</f>
        <v>306.61893266146666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733.95677909788878</v>
      </c>
      <c r="CZ3" s="59">
        <f>IF('Données projet'!E13&gt;30,$CX$33-$H$33,LOOKUP('Données projet'!$E$13,$A$3:$A$203,CX3:CX203)-LOOKUP('Données projet'!$E$13,$A$3:$A$203,$H$3:$H$203))</f>
        <v>264.63778997972378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5.2</v>
      </c>
      <c r="N4" s="13">
        <f>IF('Données projet'!$A$36&gt;35,N3+M4-V3,IF(A4&lt;'Données projet'!$A$36,$K$205^A4,IF(A4='Données projet'!$A$36,'Données projet'!$B$36,N3+M4-V3)))</f>
        <v>1.3370253457396568</v>
      </c>
      <c r="O4" s="13">
        <f>N4*VLOOKUP('Données projet'!$B$9,Paramètres!$A$1:$I$89,3,0)*VLOOKUP('Données projet'!$B$9,Paramètres!$A$1:$I$89,5,0)</f>
        <v>0.62572786180615947</v>
      </c>
      <c r="P4" s="13">
        <f>EXP(-1.0587+0.8836*LN(O4)+0.284)</f>
        <v>0.30453575289994267</v>
      </c>
      <c r="Q4" s="20">
        <f t="shared" ref="Q4:Q34" si="2">(O4+P4)*0.475*44/12</f>
        <v>1.6202091289464609</v>
      </c>
      <c r="R4" s="59">
        <f t="shared" si="0"/>
        <v>259.5090980178353</v>
      </c>
      <c r="S4" s="59">
        <f ca="1">AVERAGE(OFFSET($R$3,0,0,'Données projet'!$E$9+1,1))-AVERAGE(OFFSET($H$3,0,0,'Données projet'!$E$9+1,1))</f>
        <v>488.67934252295686</v>
      </c>
      <c r="T4" s="59">
        <f>$T$3</f>
        <v>424.50324471331095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7.333333333333333</v>
      </c>
      <c r="AI4" s="13">
        <f>IF('Données projet'!$A$62&gt;35,AI3+AH4-AQ3,IF(A4&lt;'Données projet'!$A$62,$AF$205^A4,IF(A4='Données projet'!$A$62,'Données projet'!$B$62,AI3+AH4-AQ3)))</f>
        <v>1.3680212568593273</v>
      </c>
      <c r="AJ4" s="13">
        <f>AI4*VLOOKUP('Données projet'!$B$10,Paramètres!$A$1:$I$89,3,0)*VLOOKUP('Données projet'!$B$10,Paramètres!$A$1:$I$89,5,0)</f>
        <v>0.81807671160187789</v>
      </c>
      <c r="AK4" s="13">
        <f>EXP(-1.0587+0.8836*LN(AJ4)+0.284)</f>
        <v>0.38591962976646654</v>
      </c>
      <c r="AL4" s="20">
        <f t="shared" ref="AL4:AL67" si="4">(AJ4+AK4)*0.475*44/12</f>
        <v>2.0969602945498664</v>
      </c>
      <c r="AM4" s="59">
        <f t="shared" ref="AM4:AM67" si="5">AL4+(AD4+AE4)*44/12</f>
        <v>259.98584918343875</v>
      </c>
      <c r="AN4" s="59">
        <f ca="1">AVERAGE(OFFSET($AM$3,0,0,'Données projet'!$E$10+1,1))-AVERAGE(OFFSET($H$3,0,0,'Données projet'!$E$10+1,1))</f>
        <v>504.81063008331739</v>
      </c>
      <c r="AO4" s="59">
        <f>$AO$3</f>
        <v>441.82647565372287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1.1113718874789602</v>
      </c>
      <c r="BF4" s="13">
        <f>EXP(-1.0587+0.8836*LN(BE4)+0.284)</f>
        <v>0.5059102014681881</v>
      </c>
      <c r="BG4" s="20">
        <f t="shared" ref="BG4:BG67" si="7">(BE4+BF4)*0.475*44/12</f>
        <v>2.8167663049162832</v>
      </c>
      <c r="BH4" s="59">
        <f t="shared" ref="BH4:BH67" si="8">BG4+(AY4+AZ4)*44/12</f>
        <v>260.70565519380511</v>
      </c>
      <c r="BI4" s="59">
        <f ca="1">AVERAGE(OFFSET($BH$3,0,0,'Données projet'!$E$11+1,1))-AVERAGE(OFFSET($H$3,0,0,'Données projet'!$E$11+1,1))</f>
        <v>324.86930206492627</v>
      </c>
      <c r="BJ4" s="59">
        <f>$BJ$3</f>
        <v>317.03005098025352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3.65</v>
      </c>
      <c r="BY4" s="12">
        <f>IF('Données projet'!$A$114&gt;35,BY3+BX4-CG3,IF(A4&lt;'Données projet'!$A$114,$BV$205^A4,IF(A4='Données projet'!$A$114,'Données projet'!$B$114,BY3+BX4-CG3)))</f>
        <v>1.2392705892426346</v>
      </c>
      <c r="BZ4" s="13">
        <f>BY4*VLOOKUP('Données projet'!$B$12,Paramètres!$A$1:$I$89,3,0)*VLOOKUP('Données projet'!$B$12,Paramètres!$A$1:$I$89,5,0)</f>
        <v>1.2566203774920315</v>
      </c>
      <c r="CA4" s="13">
        <f>EXP(-1.0587+0.8836*LN(BZ4)+0.284)</f>
        <v>0.56390871417545174</v>
      </c>
      <c r="CB4" s="20">
        <f t="shared" ref="CB4:CB67" si="10">(BZ4+CA4)*0.475*44/12</f>
        <v>3.1707548346542</v>
      </c>
      <c r="CC4" s="59">
        <f t="shared" ref="CC4:CC67" si="11">CB4+(BT4+BU4)*44/12</f>
        <v>261.05964372354305</v>
      </c>
      <c r="CD4" s="59">
        <f ca="1">AVERAGE(OFFSET($CC$3,0,0,'Données projet'!$E$12+1,1))-AVERAGE(OFFSET($H$3,0,0,'Données projet'!$E$12+1,1))</f>
        <v>487.18832528146936</v>
      </c>
      <c r="CE4" s="59">
        <f>$CE$3</f>
        <v>306.61893266146666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3.6141025641025637</v>
      </c>
      <c r="CT4" s="12">
        <f>IF('Données projet'!$A$140&gt;35,CT3+CS4-DB3,IF(A4&lt;'Données projet'!$A$140,$CQ$205^A4,IF(A4='Données projet'!$A$140,'Données projet'!$B$140,CT3+CS4-DB3)))</f>
        <v>1.1690615875970631</v>
      </c>
      <c r="CU4" s="17">
        <f>CT4*VLOOKUP('Données projet'!$B$13,Paramètres!$A$1:$I$89,3,0)*VLOOKUP('Données projet'!$B$13,Paramètres!$A$1:$I$89,5,0)</f>
        <v>1.1124790067573653</v>
      </c>
      <c r="CV4" s="13">
        <f>EXP(-1.0587+0.8836*LN(CU4)+0.284)</f>
        <v>0.50635548740544833</v>
      </c>
      <c r="CW4" s="20">
        <f t="shared" ref="CW4:CW67" si="13">(CU4+CV4)*0.475*44/12</f>
        <v>2.8194700773335666</v>
      </c>
      <c r="CX4" s="59">
        <f t="shared" ref="CX4:CX67" si="14">CW4+(CO4+CP4)*44/12</f>
        <v>260.70835896622242</v>
      </c>
      <c r="CY4" s="59">
        <f ca="1">AVERAGE(OFFSET($CX$3,0,0,'Données projet'!$E$13+1,1))-AVERAGE(OFFSET($H$3,0,0,'Données projet'!$E$13+1,1))</f>
        <v>733.95677909788878</v>
      </c>
      <c r="CZ4" s="59">
        <f>$CZ$3</f>
        <v>264.63778997972378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5.2</v>
      </c>
      <c r="N5" s="13">
        <f>IF('Données projet'!$A$36&gt;35,N4+M5-V4,IF(A5&lt;'Données projet'!$A$36,$K$205^A5,IF(A5='Données projet'!$A$36,'Données projet'!$B$36,N4+M5-V4)))</f>
        <v>1.7876367751502489</v>
      </c>
      <c r="O5" s="13">
        <f>N5*VLOOKUP('Données projet'!$B$9,Paramètres!$A$1:$I$89,3,0)*VLOOKUP('Données projet'!$B$9,Paramètres!$A$1:$I$89,5,0)</f>
        <v>0.8366140107703165</v>
      </c>
      <c r="P5" s="13">
        <f t="shared" ref="P5:P68" si="33">EXP(-1.0587+0.8836*LN(O5)+0.284)</f>
        <v>0.39363641944740851</v>
      </c>
      <c r="Q5" s="20">
        <f t="shared" si="2"/>
        <v>2.1426861659625378</v>
      </c>
      <c r="R5" s="59">
        <f t="shared" si="0"/>
        <v>261.25379727707366</v>
      </c>
      <c r="S5" s="59">
        <f ca="1">AVERAGE(OFFSET($R$3,0,0,'Données projet'!$E$9+1,1))-AVERAGE(OFFSET($H$3,0,0,'Données projet'!$E$9+1,1))</f>
        <v>488.67934252295686</v>
      </c>
      <c r="T5" s="59">
        <f t="shared" ref="T5:T68" si="34">$T$3</f>
        <v>424.50324471331095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7.333333333333333</v>
      </c>
      <c r="AI5" s="13">
        <f>IF('Données projet'!$A$62&gt;35,AI4+AH5-AQ4,IF(A5&lt;'Données projet'!$A$62,$AF$205^A5,IF(A5='Données projet'!$A$62,'Données projet'!$B$62,AI4+AH5-AQ4)))</f>
        <v>1.8714821592189737</v>
      </c>
      <c r="AJ5" s="13">
        <f>AI5*VLOOKUP('Données projet'!$B$10,Paramètres!$A$1:$I$89,3,0)*VLOOKUP('Données projet'!$B$10,Paramètres!$A$1:$I$89,5,0)</f>
        <v>1.1191463312129464</v>
      </c>
      <c r="AK5" s="13">
        <f t="shared" ref="AK5:AK68" si="35">EXP(-1.0587+0.8836*LN(AJ5)+0.284)</f>
        <v>0.50903601214619809</v>
      </c>
      <c r="AL5" s="20">
        <f t="shared" si="4"/>
        <v>2.8357509146838429</v>
      </c>
      <c r="AM5" s="59">
        <f t="shared" si="5"/>
        <v>261.94686202579499</v>
      </c>
      <c r="AN5" s="59">
        <f ca="1">AVERAGE(OFFSET($AM$3,0,0,'Données projet'!$E$10+1,1))-AVERAGE(OFFSET($H$3,0,0,'Données projet'!$E$10+1,1))</f>
        <v>504.81063008331739</v>
      </c>
      <c r="AO5" s="59">
        <f t="shared" ref="AO5:AO68" si="36">$AO$3</f>
        <v>441.82647565372287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1.4138592860331347</v>
      </c>
      <c r="BF5" s="13">
        <f t="shared" ref="BF5:BF68" si="37">EXP(-1.0587+0.8836*LN(BE5)+0.284)</f>
        <v>0.62582221171965613</v>
      </c>
      <c r="BG5" s="20">
        <f t="shared" si="7"/>
        <v>3.5524452752527771</v>
      </c>
      <c r="BH5" s="59">
        <f t="shared" si="8"/>
        <v>262.66355638636389</v>
      </c>
      <c r="BI5" s="59">
        <f ca="1">AVERAGE(OFFSET($BH$3,0,0,'Données projet'!$E$11+1,1))-AVERAGE(OFFSET($H$3,0,0,'Données projet'!$E$11+1,1))</f>
        <v>324.86930206492627</v>
      </c>
      <c r="BJ5" s="59">
        <f t="shared" ref="BJ5:BJ68" si="38">$BJ$3</f>
        <v>317.03005098025352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3.65</v>
      </c>
      <c r="BY5" s="12">
        <f>IF('Données projet'!$A$114&gt;35,BY4+BX5-CG4,IF(A5&lt;'Données projet'!$A$114,$BV$205^A5,IF(A5='Données projet'!$A$114,'Données projet'!$B$114,BY4+BX5-CG4)))</f>
        <v>1.5357915933617867</v>
      </c>
      <c r="BZ5" s="13">
        <f>BY5*VLOOKUP('Données projet'!$B$12,Paramètres!$A$1:$I$89,3,0)*VLOOKUP('Données projet'!$B$12,Paramètres!$A$1:$I$89,5,0)</f>
        <v>1.5572926756688519</v>
      </c>
      <c r="CA5" s="13">
        <f t="shared" ref="CA5:CA68" si="39">EXP(-1.0587+0.8836*LN(BZ5)+0.284)</f>
        <v>0.68160129960402205</v>
      </c>
      <c r="CB5" s="20">
        <f t="shared" si="10"/>
        <v>3.8994070069335893</v>
      </c>
      <c r="CC5" s="59">
        <f t="shared" si="11"/>
        <v>263.01051811804473</v>
      </c>
      <c r="CD5" s="59">
        <f ca="1">AVERAGE(OFFSET($CC$3,0,0,'Données projet'!$E$12+1,1))-AVERAGE(OFFSET($H$3,0,0,'Données projet'!$E$12+1,1))</f>
        <v>487.18832528146936</v>
      </c>
      <c r="CE5" s="59">
        <f t="shared" ref="CE5:CE68" si="40">$CE$3</f>
        <v>306.61893266146666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3.6141025641025637</v>
      </c>
      <c r="CT5" s="12">
        <f>IF('Données projet'!$A$140&gt;35,CT4+CS5-DB4,IF(A5&lt;'Données projet'!$A$140,$CQ$205^A5,IF(A5='Données projet'!$A$140,'Données projet'!$B$140,CT4+CS5-DB4)))</f>
        <v>1.3667049955949657</v>
      </c>
      <c r="CU5" s="17">
        <f>CT5*VLOOKUP('Données projet'!$B$13,Paramètres!$A$1:$I$89,3,0)*VLOOKUP('Données projet'!$B$13,Paramètres!$A$1:$I$89,5,0)</f>
        <v>1.3005564738081694</v>
      </c>
      <c r="CV5" s="13">
        <f t="shared" ref="CV5:CV68" si="41">EXP(-1.0587+0.8836*LN(CU5)+0.284)</f>
        <v>0.58129506966455124</v>
      </c>
      <c r="CW5" s="20">
        <f t="shared" si="13"/>
        <v>3.2775581048816549</v>
      </c>
      <c r="CX5" s="59">
        <f t="shared" si="14"/>
        <v>262.38866921599282</v>
      </c>
      <c r="CY5" s="59">
        <f ca="1">AVERAGE(OFFSET($CX$3,0,0,'Données projet'!$E$13+1,1))-AVERAGE(OFFSET($H$3,0,0,'Données projet'!$E$13+1,1))</f>
        <v>733.95677909788878</v>
      </c>
      <c r="CZ5" s="59">
        <f t="shared" ref="CZ5:CZ68" si="42">$CZ$3</f>
        <v>264.63778997972378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5.2</v>
      </c>
      <c r="N6" s="13">
        <f>IF('Données projet'!$A$36&gt;35,N5+M6-V5,IF(A6&lt;'Données projet'!$A$36,$K$205^A6,IF(A6='Données projet'!$A$36,'Données projet'!$B$36,N5+M6-V5)))</f>
        <v>2.3901156773521866</v>
      </c>
      <c r="O6" s="13">
        <f>N6*VLOOKUP('Données projet'!$B$9,Paramètres!$A$1:$I$89,3,0)*VLOOKUP('Données projet'!$B$9,Paramètres!$A$1:$I$89,5,0)</f>
        <v>1.1185741370008233</v>
      </c>
      <c r="P6" s="13">
        <f t="shared" si="33"/>
        <v>0.50880604080101532</v>
      </c>
      <c r="Q6" s="20">
        <f t="shared" si="2"/>
        <v>2.8343538096715353</v>
      </c>
      <c r="R6" s="59">
        <f t="shared" si="0"/>
        <v>263.16768714300485</v>
      </c>
      <c r="S6" s="59">
        <f ca="1">AVERAGE(OFFSET($R$3,0,0,'Données projet'!$E$9+1,1))-AVERAGE(OFFSET($H$3,0,0,'Données projet'!$E$9+1,1))</f>
        <v>488.67934252295686</v>
      </c>
      <c r="T6" s="59">
        <f t="shared" si="34"/>
        <v>424.50324471331095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7.333333333333333</v>
      </c>
      <c r="AI6" s="13">
        <f>IF('Données projet'!$A$62&gt;35,AI5+AH6-AQ5,IF(A6&lt;'Données projet'!$A$62,$AF$205^A6,IF(A6='Données projet'!$A$62,'Données projet'!$B$62,AI5+AH6-AQ5)))</f>
        <v>2.5602273756445482</v>
      </c>
      <c r="AJ6" s="13">
        <f>AI6*VLOOKUP('Données projet'!$B$10,Paramètres!$A$1:$I$89,3,0)*VLOOKUP('Données projet'!$B$10,Paramètres!$A$1:$I$89,5,0)</f>
        <v>1.5310159706354398</v>
      </c>
      <c r="AK6" s="13">
        <f t="shared" si="35"/>
        <v>0.67142907920622097</v>
      </c>
      <c r="AL6" s="20">
        <f t="shared" si="4"/>
        <v>3.8359251284742251</v>
      </c>
      <c r="AM6" s="59">
        <f t="shared" si="5"/>
        <v>264.16925846180754</v>
      </c>
      <c r="AN6" s="59">
        <f ca="1">AVERAGE(OFFSET($AM$3,0,0,'Données projet'!$E$10+1,1))-AVERAGE(OFFSET($H$3,0,0,'Données projet'!$E$10+1,1))</f>
        <v>504.81063008331739</v>
      </c>
      <c r="AO6" s="59">
        <f t="shared" si="36"/>
        <v>441.82647565372287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1.7986761256276329</v>
      </c>
      <c r="BF6" s="13">
        <f t="shared" si="37"/>
        <v>0.77415604497611523</v>
      </c>
      <c r="BG6" s="20">
        <f t="shared" si="7"/>
        <v>4.4810160304681945</v>
      </c>
      <c r="BH6" s="59">
        <f t="shared" si="8"/>
        <v>264.81434936380151</v>
      </c>
      <c r="BI6" s="59">
        <f ca="1">AVERAGE(OFFSET($BH$3,0,0,'Données projet'!$E$11+1,1))-AVERAGE(OFFSET($H$3,0,0,'Données projet'!$E$11+1,1))</f>
        <v>324.86930206492627</v>
      </c>
      <c r="BJ6" s="59">
        <f t="shared" si="38"/>
        <v>317.03005098025352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3.65</v>
      </c>
      <c r="BY6" s="12">
        <f>IF('Données projet'!$A$114&gt;35,BY5+BX6-CG5,IF(A6&lt;'Données projet'!$A$114,$BV$205^A6,IF(A6='Données projet'!$A$114,'Données projet'!$B$114,BY5+BX6-CG5)))</f>
        <v>1.9032613528593461</v>
      </c>
      <c r="BZ6" s="13">
        <f>BY6*VLOOKUP('Données projet'!$B$12,Paramètres!$A$1:$I$89,3,0)*VLOOKUP('Données projet'!$B$12,Paramètres!$A$1:$I$89,5,0)</f>
        <v>1.9299070117993768</v>
      </c>
      <c r="CA6" s="13">
        <f t="shared" si="39"/>
        <v>0.82385733708903885</v>
      </c>
      <c r="CB6" s="20">
        <f t="shared" si="10"/>
        <v>4.7961395743139903</v>
      </c>
      <c r="CC6" s="59">
        <f t="shared" si="11"/>
        <v>265.12947290764731</v>
      </c>
      <c r="CD6" s="59">
        <f ca="1">AVERAGE(OFFSET($CC$3,0,0,'Données projet'!$E$12+1,1))-AVERAGE(OFFSET($H$3,0,0,'Données projet'!$E$12+1,1))</f>
        <v>487.18832528146936</v>
      </c>
      <c r="CE6" s="59">
        <f t="shared" si="40"/>
        <v>306.61893266146666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3.6141025641025637</v>
      </c>
      <c r="CT6" s="12">
        <f>IF('Données projet'!$A$140&gt;35,CT5+CS6-DB5,IF(A6&lt;'Données projet'!$A$140,$CQ$205^A6,IF(A6='Données projet'!$A$140,'Données projet'!$B$140,CT5+CS6-DB5)))</f>
        <v>1.5977623119270878</v>
      </c>
      <c r="CU6" s="17">
        <f>CT6*VLOOKUP('Données projet'!$B$13,Paramètres!$A$1:$I$89,3,0)*VLOOKUP('Données projet'!$B$13,Paramètres!$A$1:$I$89,5,0)</f>
        <v>1.5204306160298169</v>
      </c>
      <c r="CV6" s="13">
        <f t="shared" si="41"/>
        <v>0.66732555767831436</v>
      </c>
      <c r="CW6" s="20">
        <f t="shared" si="13"/>
        <v>3.8103420025416619</v>
      </c>
      <c r="CX6" s="59">
        <f t="shared" si="14"/>
        <v>264.143675335875</v>
      </c>
      <c r="CY6" s="59">
        <f ca="1">AVERAGE(OFFSET($CX$3,0,0,'Données projet'!$E$13+1,1))-AVERAGE(OFFSET($H$3,0,0,'Données projet'!$E$13+1,1))</f>
        <v>733.95677909788878</v>
      </c>
      <c r="CZ6" s="59">
        <f t="shared" si="42"/>
        <v>264.63778997972378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5.2</v>
      </c>
      <c r="N7" s="13">
        <f>IF('Données projet'!$A$36&gt;35,N6+M7-V6,IF(A7&lt;'Données projet'!$A$36,$K$205^A7,IF(A7='Données projet'!$A$36,'Données projet'!$B$36,N6+M7-V6)))</f>
        <v>3.1956452398695814</v>
      </c>
      <c r="O7" s="13">
        <f>N7*VLOOKUP('Données projet'!$B$9,Paramètres!$A$1:$I$89,3,0)*VLOOKUP('Données projet'!$B$9,Paramètres!$A$1:$I$89,5,0)</f>
        <v>1.4955619722589639</v>
      </c>
      <c r="P7" s="13">
        <f t="shared" si="33"/>
        <v>0.65767183717154076</v>
      </c>
      <c r="Q7" s="20">
        <f t="shared" si="2"/>
        <v>3.750215551424795</v>
      </c>
      <c r="R7" s="59">
        <f t="shared" si="0"/>
        <v>265.30577110698033</v>
      </c>
      <c r="S7" s="59">
        <f ca="1">AVERAGE(OFFSET($R$3,0,0,'Données projet'!$E$9+1,1))-AVERAGE(OFFSET($H$3,0,0,'Données projet'!$E$9+1,1))</f>
        <v>488.67934252295686</v>
      </c>
      <c r="T7" s="59">
        <f t="shared" si="34"/>
        <v>424.50324471331095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7.333333333333333</v>
      </c>
      <c r="AI7" s="13">
        <f>IF('Données projet'!$A$62&gt;35,AI6+AH7-AQ6,IF(A7&lt;'Données projet'!$A$62,$AF$205^A7,IF(A7='Données projet'!$A$62,'Données projet'!$B$62,AI6+AH7-AQ6)))</f>
        <v>3.5024454722749119</v>
      </c>
      <c r="AJ7" s="13">
        <f>AI7*VLOOKUP('Données projet'!$B$10,Paramètres!$A$1:$I$89,3,0)*VLOOKUP('Données projet'!$B$10,Paramètres!$A$1:$I$89,5,0)</f>
        <v>2.0944623924203976</v>
      </c>
      <c r="AK7" s="13">
        <f t="shared" si="35"/>
        <v>0.88562890963839402</v>
      </c>
      <c r="AL7" s="20">
        <f t="shared" si="4"/>
        <v>5.1903256844190615</v>
      </c>
      <c r="AM7" s="59">
        <f t="shared" si="5"/>
        <v>266.74588123997461</v>
      </c>
      <c r="AN7" s="59">
        <f ca="1">AVERAGE(OFFSET($AM$3,0,0,'Données projet'!$E$10+1,1))-AVERAGE(OFFSET($H$3,0,0,'Données projet'!$E$10+1,1))</f>
        <v>504.81063008331739</v>
      </c>
      <c r="AO7" s="59">
        <f t="shared" si="36"/>
        <v>441.82647565372287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2.2882304037341177</v>
      </c>
      <c r="BF7" s="13">
        <f t="shared" si="37"/>
        <v>0.95764830769786036</v>
      </c>
      <c r="BG7" s="20">
        <f t="shared" si="7"/>
        <v>5.6532387557440282</v>
      </c>
      <c r="BH7" s="59">
        <f t="shared" si="8"/>
        <v>267.20879431129958</v>
      </c>
      <c r="BI7" s="59">
        <f ca="1">AVERAGE(OFFSET($BH$3,0,0,'Données projet'!$E$11+1,1))-AVERAGE(OFFSET($H$3,0,0,'Données projet'!$E$11+1,1))</f>
        <v>324.86930206492627</v>
      </c>
      <c r="BJ7" s="59">
        <f t="shared" si="38"/>
        <v>317.03005098025352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3.65</v>
      </c>
      <c r="BY7" s="12">
        <f>IF('Données projet'!$A$114&gt;35,BY6+BX7-CG6,IF(A7&lt;'Données projet'!$A$114,$BV$205^A7,IF(A7='Données projet'!$A$114,'Données projet'!$B$114,BY6+BX7-CG6)))</f>
        <v>2.3586558182407358</v>
      </c>
      <c r="BZ7" s="13">
        <f>BY7*VLOOKUP('Données projet'!$B$12,Paramètres!$A$1:$I$89,3,0)*VLOOKUP('Données projet'!$B$12,Paramètres!$A$1:$I$89,5,0)</f>
        <v>2.3916769996961063</v>
      </c>
      <c r="CA7" s="13">
        <f t="shared" si="39"/>
        <v>0.9958034297612971</v>
      </c>
      <c r="CB7" s="20">
        <f t="shared" si="10"/>
        <v>5.8998617479716442</v>
      </c>
      <c r="CC7" s="59">
        <f t="shared" si="11"/>
        <v>267.45541730352721</v>
      </c>
      <c r="CD7" s="59">
        <f ca="1">AVERAGE(OFFSET($CC$3,0,0,'Données projet'!$E$12+1,1))-AVERAGE(OFFSET($H$3,0,0,'Données projet'!$E$12+1,1))</f>
        <v>487.18832528146936</v>
      </c>
      <c r="CE7" s="59">
        <f t="shared" si="40"/>
        <v>306.61893266146666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3.6141025641025637</v>
      </c>
      <c r="CT7" s="12">
        <f>IF('Données projet'!$A$140&gt;35,CT6+CS7-DB6,IF(A7&lt;'Données projet'!$A$140,$CQ$205^A7,IF(A7='Données projet'!$A$140,'Données projet'!$B$140,CT6+CS7-DB6)))</f>
        <v>1.8678825449842353</v>
      </c>
      <c r="CU7" s="17">
        <f>CT7*VLOOKUP('Données projet'!$B$13,Paramètres!$A$1:$I$89,3,0)*VLOOKUP('Données projet'!$B$13,Paramètres!$A$1:$I$89,5,0)</f>
        <v>1.7774770298069984</v>
      </c>
      <c r="CV7" s="13">
        <f t="shared" si="41"/>
        <v>0.76608838294062376</v>
      </c>
      <c r="CW7" s="20">
        <f t="shared" si="13"/>
        <v>4.4300430938687745</v>
      </c>
      <c r="CX7" s="59">
        <f t="shared" si="14"/>
        <v>265.98559864942433</v>
      </c>
      <c r="CY7" s="59">
        <f ca="1">AVERAGE(OFFSET($CX$3,0,0,'Données projet'!$E$13+1,1))-AVERAGE(OFFSET($H$3,0,0,'Données projet'!$E$13+1,1))</f>
        <v>733.95677909788878</v>
      </c>
      <c r="CZ7" s="59">
        <f t="shared" si="42"/>
        <v>264.63778997972378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5.2</v>
      </c>
      <c r="N8" s="13">
        <f>IF('Données projet'!$A$36&gt;35,N7+M8-V7,IF(A8&lt;'Données projet'!$A$36,$K$205^A8,IF(A8='Données projet'!$A$36,'Données projet'!$B$36,N7+M8-V7)))</f>
        <v>4.2726586816979157</v>
      </c>
      <c r="O8" s="13">
        <f>N8*VLOOKUP('Données projet'!$B$9,Paramètres!$A$1:$I$89,3,0)*VLOOKUP('Données projet'!$B$9,Paramètres!$A$1:$I$89,5,0)</f>
        <v>1.9996042630346245</v>
      </c>
      <c r="P8" s="13">
        <f t="shared" si="33"/>
        <v>0.85009259073978882</v>
      </c>
      <c r="Q8" s="20">
        <f t="shared" si="2"/>
        <v>4.9632220203237694</v>
      </c>
      <c r="R8" s="59">
        <f t="shared" si="0"/>
        <v>267.74099979810154</v>
      </c>
      <c r="S8" s="59">
        <f ca="1">AVERAGE(OFFSET($R$3,0,0,'Données projet'!$E$9+1,1))-AVERAGE(OFFSET($H$3,0,0,'Données projet'!$E$9+1,1))</f>
        <v>488.67934252295686</v>
      </c>
      <c r="T8" s="59">
        <f t="shared" si="34"/>
        <v>424.50324471331095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7.333333333333333</v>
      </c>
      <c r="AI8" s="13">
        <f>IF('Données projet'!$A$62&gt;35,AI7+AH8-AQ7,IF(A8&lt;'Données projet'!$A$62,$AF$205^A8,IF(A8='Données projet'!$A$62,'Données projet'!$B$62,AI7+AH8-AQ7)))</f>
        <v>4.7914198570627855</v>
      </c>
      <c r="AJ8" s="13">
        <f>AI8*VLOOKUP('Données projet'!$B$10,Paramètres!$A$1:$I$89,3,0)*VLOOKUP('Données projet'!$B$10,Paramètres!$A$1:$I$89,5,0)</f>
        <v>2.8652690745235461</v>
      </c>
      <c r="AK8" s="13">
        <f t="shared" si="35"/>
        <v>1.1681629376471956</v>
      </c>
      <c r="AL8" s="20">
        <f t="shared" si="4"/>
        <v>7.024894087864042</v>
      </c>
      <c r="AM8" s="59">
        <f t="shared" si="5"/>
        <v>269.8026718656418</v>
      </c>
      <c r="AN8" s="59">
        <f ca="1">AVERAGE(OFFSET($AM$3,0,0,'Données projet'!$E$10+1,1))-AVERAGE(OFFSET($H$3,0,0,'Données projet'!$E$10+1,1))</f>
        <v>504.81063008331739</v>
      </c>
      <c r="AO8" s="59">
        <f t="shared" si="36"/>
        <v>441.82647565372287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2.9110290095979048</v>
      </c>
      <c r="BF8" s="13">
        <f t="shared" si="37"/>
        <v>1.1846323324451606</v>
      </c>
      <c r="BG8" s="20">
        <f t="shared" si="7"/>
        <v>7.133276837391672</v>
      </c>
      <c r="BH8" s="59">
        <f t="shared" si="8"/>
        <v>269.91105461516946</v>
      </c>
      <c r="BI8" s="59">
        <f ca="1">AVERAGE(OFFSET($BH$3,0,0,'Données projet'!$E$11+1,1))-AVERAGE(OFFSET($H$3,0,0,'Données projet'!$E$11+1,1))</f>
        <v>324.86930206492627</v>
      </c>
      <c r="BJ8" s="59">
        <f t="shared" si="38"/>
        <v>317.03005098025352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3.65</v>
      </c>
      <c r="BY8" s="12">
        <f>IF('Données projet'!$A$114&gt;35,BY7+BX8-CG7,IF(A8&lt;'Données projet'!$A$114,$BV$205^A8,IF(A8='Données projet'!$A$114,'Données projet'!$B$114,BY7+BX8-CG7)))</f>
        <v>2.9230127856917649</v>
      </c>
      <c r="BZ8" s="13">
        <f>BY8*VLOOKUP('Données projet'!$B$12,Paramètres!$A$1:$I$89,3,0)*VLOOKUP('Données projet'!$B$12,Paramètres!$A$1:$I$89,5,0)</f>
        <v>2.9639349646914495</v>
      </c>
      <c r="CA8" s="13">
        <f t="shared" si="39"/>
        <v>1.2036361467970902</v>
      </c>
      <c r="CB8" s="20">
        <f t="shared" si="10"/>
        <v>7.2585196858425398</v>
      </c>
      <c r="CC8" s="59">
        <f t="shared" si="11"/>
        <v>270.03629746362031</v>
      </c>
      <c r="CD8" s="59">
        <f ca="1">AVERAGE(OFFSET($CC$3,0,0,'Données projet'!$E$12+1,1))-AVERAGE(OFFSET($H$3,0,0,'Données projet'!$E$12+1,1))</f>
        <v>487.18832528146936</v>
      </c>
      <c r="CE8" s="59">
        <f t="shared" si="40"/>
        <v>306.61893266146666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3.6141025641025637</v>
      </c>
      <c r="CT8" s="12">
        <f>IF('Données projet'!$A$140&gt;35,CT7+CS8-DB7,IF(A8&lt;'Données projet'!$A$140,$CQ$205^A8,IF(A8='Données projet'!$A$140,'Données projet'!$B$140,CT7+CS8-DB7)))</f>
        <v>2.1836697334841126</v>
      </c>
      <c r="CU8" s="17">
        <f>CT8*VLOOKUP('Données projet'!$B$13,Paramètres!$A$1:$I$89,3,0)*VLOOKUP('Données projet'!$B$13,Paramètres!$A$1:$I$89,5,0)</f>
        <v>2.0779801183834818</v>
      </c>
      <c r="CV8" s="13">
        <f t="shared" si="41"/>
        <v>0.87946790546795151</v>
      </c>
      <c r="CW8" s="20">
        <f t="shared" si="13"/>
        <v>5.150888641541246</v>
      </c>
      <c r="CX8" s="59">
        <f t="shared" si="14"/>
        <v>267.92866641931903</v>
      </c>
      <c r="CY8" s="59">
        <f ca="1">AVERAGE(OFFSET($CX$3,0,0,'Données projet'!$E$13+1,1))-AVERAGE(OFFSET($H$3,0,0,'Données projet'!$E$13+1,1))</f>
        <v>733.95677909788878</v>
      </c>
      <c r="CZ8" s="59">
        <f t="shared" si="42"/>
        <v>264.63778997972378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5.2</v>
      </c>
      <c r="N9" s="13">
        <f>IF('Données projet'!$A$36&gt;35,N8+M9-V8,IF(A9&lt;'Données projet'!$A$36,$K$205^A9,IF(A9='Données projet'!$A$36,'Données projet'!$B$36,N8+M9-V8)))</f>
        <v>5.7126529511247019</v>
      </c>
      <c r="O9" s="13">
        <f>N9*VLOOKUP('Données projet'!$B$9,Paramètres!$A$1:$I$89,3,0)*VLOOKUP('Données projet'!$B$9,Paramètres!$A$1:$I$89,5,0)</f>
        <v>2.6735215811263608</v>
      </c>
      <c r="P9" s="13">
        <f t="shared" si="33"/>
        <v>1.0988115530971037</v>
      </c>
      <c r="Q9" s="20">
        <f t="shared" si="2"/>
        <v>6.5701468754391996</v>
      </c>
      <c r="R9" s="59">
        <f t="shared" si="0"/>
        <v>270.57014687543921</v>
      </c>
      <c r="S9" s="59">
        <f ca="1">AVERAGE(OFFSET($R$3,0,0,'Données projet'!$E$9+1,1))-AVERAGE(OFFSET($H$3,0,0,'Données projet'!$E$9+1,1))</f>
        <v>488.67934252295686</v>
      </c>
      <c r="T9" s="59">
        <f t="shared" si="34"/>
        <v>424.50324471331095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7.333333333333333</v>
      </c>
      <c r="AI9" s="13">
        <f>IF('Données projet'!$A$62&gt;35,AI8+AH9-AQ8,IF(A9&lt;'Données projet'!$A$62,$AF$205^A9,IF(A9='Données projet'!$A$62,'Données projet'!$B$62,AI8+AH9-AQ8)))</f>
        <v>6.5547642149997696</v>
      </c>
      <c r="AJ9" s="13">
        <f>AI9*VLOOKUP('Données projet'!$B$10,Paramètres!$A$1:$I$89,3,0)*VLOOKUP('Données projet'!$B$10,Paramètres!$A$1:$I$89,5,0)</f>
        <v>3.9197490005698628</v>
      </c>
      <c r="AK9" s="13">
        <f t="shared" si="35"/>
        <v>1.5408311924344247</v>
      </c>
      <c r="AL9" s="20">
        <f t="shared" si="4"/>
        <v>9.5105105028157997</v>
      </c>
      <c r="AM9" s="59">
        <f t="shared" si="5"/>
        <v>273.51051050281581</v>
      </c>
      <c r="AN9" s="59">
        <f ca="1">AVERAGE(OFFSET($AM$3,0,0,'Données projet'!$E$10+1,1))-AVERAGE(OFFSET($H$3,0,0,'Données projet'!$E$10+1,1))</f>
        <v>504.81063008331739</v>
      </c>
      <c r="AO9" s="59">
        <f t="shared" si="36"/>
        <v>441.82647565372287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3.7033376887623981</v>
      </c>
      <c r="BF9" s="13">
        <f t="shared" si="37"/>
        <v>1.4654166376047331</v>
      </c>
      <c r="BG9" s="20">
        <f t="shared" si="7"/>
        <v>9.002247118422753</v>
      </c>
      <c r="BH9" s="59">
        <f t="shared" si="8"/>
        <v>273.00224711842276</v>
      </c>
      <c r="BI9" s="59">
        <f ca="1">AVERAGE(OFFSET($BH$3,0,0,'Données projet'!$E$11+1,1))-AVERAGE(OFFSET($H$3,0,0,'Données projet'!$E$11+1,1))</f>
        <v>324.86930206492627</v>
      </c>
      <c r="BJ9" s="59">
        <f t="shared" si="38"/>
        <v>317.03005098025352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3.65</v>
      </c>
      <c r="BY9" s="12">
        <f>IF('Données projet'!$A$114&gt;35,BY8+BX9-CG8,IF(A9&lt;'Données projet'!$A$114,$BV$205^A9,IF(A9='Données projet'!$A$114,'Données projet'!$B$114,BY8+BX9-CG8)))</f>
        <v>3.6224037772879885</v>
      </c>
      <c r="BZ9" s="13">
        <f>BY9*VLOOKUP('Données projet'!$B$12,Paramètres!$A$1:$I$89,3,0)*VLOOKUP('Données projet'!$B$12,Paramètres!$A$1:$I$89,5,0)</f>
        <v>3.6731174301700205</v>
      </c>
      <c r="CA9" s="13">
        <f t="shared" si="39"/>
        <v>1.4548453345092642</v>
      </c>
      <c r="CB9" s="20">
        <f t="shared" si="10"/>
        <v>8.9312018151497536</v>
      </c>
      <c r="CC9" s="59">
        <f t="shared" si="11"/>
        <v>272.93120181514973</v>
      </c>
      <c r="CD9" s="59">
        <f ca="1">AVERAGE(OFFSET($CC$3,0,0,'Données projet'!$E$12+1,1))-AVERAGE(OFFSET($H$3,0,0,'Données projet'!$E$12+1,1))</f>
        <v>487.18832528146936</v>
      </c>
      <c r="CE9" s="59">
        <f t="shared" si="40"/>
        <v>306.61893266146666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3.6141025641025637</v>
      </c>
      <c r="CT9" s="12">
        <f>IF('Données projet'!$A$140&gt;35,CT8+CS9-DB8,IF(A9&lt;'Données projet'!$A$140,$CQ$205^A9,IF(A9='Données projet'!$A$140,'Données projet'!$B$140,CT8+CS9-DB8)))</f>
        <v>2.5528444054145929</v>
      </c>
      <c r="CU9" s="17">
        <f>CT9*VLOOKUP('Données projet'!$B$13,Paramètres!$A$1:$I$89,3,0)*VLOOKUP('Données projet'!$B$13,Paramètres!$A$1:$I$89,5,0)</f>
        <v>2.4292867361925268</v>
      </c>
      <c r="CV9" s="13">
        <f t="shared" si="41"/>
        <v>1.009627366726606</v>
      </c>
      <c r="CW9" s="20">
        <f t="shared" si="13"/>
        <v>5.989442062584156</v>
      </c>
      <c r="CX9" s="59">
        <f t="shared" si="14"/>
        <v>269.98944206258415</v>
      </c>
      <c r="CY9" s="59">
        <f ca="1">AVERAGE(OFFSET($CX$3,0,0,'Données projet'!$E$13+1,1))-AVERAGE(OFFSET($H$3,0,0,'Données projet'!$E$13+1,1))</f>
        <v>733.95677909788878</v>
      </c>
      <c r="CZ9" s="59">
        <f t="shared" si="42"/>
        <v>264.63778997972378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5.2</v>
      </c>
      <c r="N10" s="13">
        <f>IF('Données projet'!$A$36&gt;35,N9+M10-V9,IF(A10&lt;'Données projet'!$A$36,$K$205^A10,IF(A10='Données projet'!$A$36,'Données projet'!$B$36,N9+M10-V9)))</f>
        <v>7.6379617870681749</v>
      </c>
      <c r="O10" s="13">
        <f>N10*VLOOKUP('Données projet'!$B$9,Paramètres!$A$1:$I$89,3,0)*VLOOKUP('Données projet'!$B$9,Paramètres!$A$1:$I$89,5,0)</f>
        <v>3.5745661163479054</v>
      </c>
      <c r="P10" s="13">
        <f t="shared" si="33"/>
        <v>1.4203003794786002</v>
      </c>
      <c r="Q10" s="20">
        <f t="shared" si="2"/>
        <v>8.6993924802311628</v>
      </c>
      <c r="R10" s="59">
        <f t="shared" si="0"/>
        <v>273.92161470245338</v>
      </c>
      <c r="S10" s="59">
        <f ca="1">AVERAGE(OFFSET($R$3,0,0,'Données projet'!$E$9+1,1))-AVERAGE(OFFSET($H$3,0,0,'Données projet'!$E$9+1,1))</f>
        <v>488.67934252295686</v>
      </c>
      <c r="T10" s="59">
        <f t="shared" si="34"/>
        <v>424.50324471331095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7.333333333333333</v>
      </c>
      <c r="AI10" s="13">
        <f>IF('Données projet'!$A$62&gt;35,AI9+AH10-AQ9,IF(A10&lt;'Données projet'!$A$62,$AF$205^A10,IF(A10='Données projet'!$A$62,'Données projet'!$B$62,AI9+AH10-AQ9)))</f>
        <v>8.9670567798205276</v>
      </c>
      <c r="AJ10" s="13">
        <f>AI10*VLOOKUP('Données projet'!$B$10,Paramètres!$A$1:$I$89,3,0)*VLOOKUP('Données projet'!$B$10,Paramètres!$A$1:$I$89,5,0)</f>
        <v>5.3622999543326761</v>
      </c>
      <c r="AK10" s="13">
        <f t="shared" si="35"/>
        <v>2.032388365582547</v>
      </c>
      <c r="AL10" s="20">
        <f t="shared" si="4"/>
        <v>12.87908215718568</v>
      </c>
      <c r="AM10" s="59">
        <f t="shared" si="5"/>
        <v>278.10130437940791</v>
      </c>
      <c r="AN10" s="59">
        <f ca="1">AVERAGE(OFFSET($AM$3,0,0,'Données projet'!$E$10+1,1))-AVERAGE(OFFSET($H$3,0,0,'Données projet'!$E$10+1,1))</f>
        <v>504.81063008331739</v>
      </c>
      <c r="AO10" s="59">
        <f t="shared" si="36"/>
        <v>441.82647565372287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4.711292808072157</v>
      </c>
      <c r="BF10" s="13">
        <f t="shared" si="37"/>
        <v>1.8127530905190552</v>
      </c>
      <c r="BG10" s="20">
        <f t="shared" si="7"/>
        <v>11.362713273379695</v>
      </c>
      <c r="BH10" s="59">
        <f t="shared" si="8"/>
        <v>276.58493549560194</v>
      </c>
      <c r="BI10" s="59">
        <f ca="1">AVERAGE(OFFSET($BH$3,0,0,'Données projet'!$E$11+1,1))-AVERAGE(OFFSET($H$3,0,0,'Données projet'!$E$11+1,1))</f>
        <v>324.86930206492627</v>
      </c>
      <c r="BJ10" s="59">
        <f t="shared" si="38"/>
        <v>317.03005098025352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3.65</v>
      </c>
      <c r="BY10" s="12">
        <f>IF('Données projet'!$A$114&gt;35,BY9+BX10-CG9,IF(A10&lt;'Données projet'!$A$114,$BV$205^A10,IF(A10='Données projet'!$A$114,'Données projet'!$B$114,BY9+BX10-CG9)))</f>
        <v>4.4891384635544309</v>
      </c>
      <c r="BZ10" s="13">
        <f>BY10*VLOOKUP('Données projet'!$B$12,Paramètres!$A$1:$I$89,3,0)*VLOOKUP('Données projet'!$B$12,Paramètres!$A$1:$I$89,5,0)</f>
        <v>4.5519864020441929</v>
      </c>
      <c r="CA10" s="13">
        <f t="shared" si="39"/>
        <v>1.7584840343783612</v>
      </c>
      <c r="CB10" s="20">
        <f t="shared" si="10"/>
        <v>10.990736010102614</v>
      </c>
      <c r="CC10" s="59">
        <f t="shared" si="11"/>
        <v>276.21295823232487</v>
      </c>
      <c r="CD10" s="59">
        <f ca="1">AVERAGE(OFFSET($CC$3,0,0,'Données projet'!$E$12+1,1))-AVERAGE(OFFSET($H$3,0,0,'Données projet'!$E$12+1,1))</f>
        <v>487.18832528146936</v>
      </c>
      <c r="CE10" s="59">
        <f t="shared" si="40"/>
        <v>306.61893266146666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3.6141025641025637</v>
      </c>
      <c r="CT10" s="12">
        <f>IF('Données projet'!$A$140&gt;35,CT9+CS10-DB9,IF(A10&lt;'Données projet'!$A$140,$CQ$205^A10,IF(A10='Données projet'!$A$140,'Données projet'!$B$140,CT9+CS10-DB9)))</f>
        <v>2.9844323334822644</v>
      </c>
      <c r="CU10" s="17">
        <f>CT10*VLOOKUP('Données projet'!$B$13,Paramètres!$A$1:$I$89,3,0)*VLOOKUP('Données projet'!$B$13,Paramètres!$A$1:$I$89,5,0)</f>
        <v>2.8399858085417229</v>
      </c>
      <c r="CV10" s="13">
        <f t="shared" si="41"/>
        <v>1.15905016352009</v>
      </c>
      <c r="CW10" s="20">
        <f t="shared" si="13"/>
        <v>6.9649876513409907</v>
      </c>
      <c r="CX10" s="59">
        <f t="shared" si="14"/>
        <v>272.18720987356323</v>
      </c>
      <c r="CY10" s="59">
        <f ca="1">AVERAGE(OFFSET($CX$3,0,0,'Données projet'!$E$13+1,1))-AVERAGE(OFFSET($H$3,0,0,'Données projet'!$E$13+1,1))</f>
        <v>733.95677909788878</v>
      </c>
      <c r="CZ10" s="59">
        <f t="shared" si="42"/>
        <v>264.63778997972378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5.2</v>
      </c>
      <c r="N11" s="13">
        <f>IF('Données projet'!$A$36&gt;35,N10+M11-V10,IF(A11&lt;'Données projet'!$A$36,$K$205^A11,IF(A11='Données projet'!$A$36,'Données projet'!$B$36,N10+M11-V10)))</f>
        <v>10.212148499101115</v>
      </c>
      <c r="O11" s="13">
        <f>N11*VLOOKUP('Données projet'!$B$9,Paramètres!$A$1:$I$89,3,0)*VLOOKUP('Données projet'!$B$9,Paramètres!$A$1:$I$89,5,0)</f>
        <v>4.7792854975793215</v>
      </c>
      <c r="P11" s="13">
        <f t="shared" si="33"/>
        <v>1.8358499801546853</v>
      </c>
      <c r="Q11" s="20">
        <f t="shared" si="2"/>
        <v>11.521360957053394</v>
      </c>
      <c r="R11" s="59">
        <f t="shared" si="0"/>
        <v>277.96580540149785</v>
      </c>
      <c r="S11" s="59">
        <f ca="1">AVERAGE(OFFSET($R$3,0,0,'Données projet'!$E$9+1,1))-AVERAGE(OFFSET($H$3,0,0,'Données projet'!$E$9+1,1))</f>
        <v>488.67934252295686</v>
      </c>
      <c r="T11" s="59">
        <f t="shared" si="34"/>
        <v>424.50324471331095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7.333333333333333</v>
      </c>
      <c r="AI11" s="13">
        <f>IF('Données projet'!$A$62&gt;35,AI10+AH11-AQ10,IF(A11&lt;'Données projet'!$A$62,$AF$205^A11,IF(A11='Données projet'!$A$62,'Données projet'!$B$62,AI10+AH11-AQ10)))</f>
        <v>12.26712428625903</v>
      </c>
      <c r="AJ11" s="13">
        <f>AI11*VLOOKUP('Données projet'!$B$10,Paramètres!$A$1:$I$89,3,0)*VLOOKUP('Données projet'!$B$10,Paramètres!$A$1:$I$89,5,0)</f>
        <v>7.3357403231829004</v>
      </c>
      <c r="AK11" s="13">
        <f t="shared" si="35"/>
        <v>2.6807624928913736</v>
      </c>
      <c r="AL11" s="20">
        <f t="shared" si="4"/>
        <v>17.445409071329362</v>
      </c>
      <c r="AM11" s="59">
        <f t="shared" si="5"/>
        <v>283.88985351577384</v>
      </c>
      <c r="AN11" s="59">
        <f ca="1">AVERAGE(OFFSET($AM$3,0,0,'Données projet'!$E$10+1,1))-AVERAGE(OFFSET($H$3,0,0,'Données projet'!$E$10+1,1))</f>
        <v>504.81063008331739</v>
      </c>
      <c r="AO11" s="59">
        <f t="shared" si="36"/>
        <v>441.82647565372287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5.9935878898502795</v>
      </c>
      <c r="BF11" s="13">
        <f t="shared" si="37"/>
        <v>2.2424160357272664</v>
      </c>
      <c r="BG11" s="20">
        <f t="shared" si="7"/>
        <v>14.344373503714223</v>
      </c>
      <c r="BH11" s="59">
        <f t="shared" si="8"/>
        <v>280.78881794815868</v>
      </c>
      <c r="BI11" s="59">
        <f ca="1">AVERAGE(OFFSET($BH$3,0,0,'Données projet'!$E$11+1,1))-AVERAGE(OFFSET($H$3,0,0,'Données projet'!$E$11+1,1))</f>
        <v>324.86930206492627</v>
      </c>
      <c r="BJ11" s="59">
        <f t="shared" si="38"/>
        <v>317.03005098025352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3.65</v>
      </c>
      <c r="BY11" s="12">
        <f>IF('Données projet'!$A$114&gt;35,BY10+BX11-CG10,IF(A11&lt;'Données projet'!$A$114,$BV$205^A11,IF(A11='Données projet'!$A$114,'Données projet'!$B$114,BY10+BX11-CG10)))</f>
        <v>5.563257268920875</v>
      </c>
      <c r="BZ11" s="13">
        <f>BY11*VLOOKUP('Données projet'!$B$12,Paramètres!$A$1:$I$89,3,0)*VLOOKUP('Données projet'!$B$12,Paramètres!$A$1:$I$89,5,0)</f>
        <v>5.6411428706857674</v>
      </c>
      <c r="CA11" s="13">
        <f t="shared" si="39"/>
        <v>2.125494735292019</v>
      </c>
      <c r="CB11" s="20">
        <f t="shared" si="10"/>
        <v>13.526893830411311</v>
      </c>
      <c r="CC11" s="59">
        <f t="shared" si="11"/>
        <v>279.97133827485578</v>
      </c>
      <c r="CD11" s="59">
        <f ca="1">AVERAGE(OFFSET($CC$3,0,0,'Données projet'!$E$12+1,1))-AVERAGE(OFFSET($H$3,0,0,'Données projet'!$E$12+1,1))</f>
        <v>487.18832528146936</v>
      </c>
      <c r="CE11" s="59">
        <f t="shared" si="40"/>
        <v>306.61893266146666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3.6141025641025637</v>
      </c>
      <c r="CT11" s="12">
        <f>IF('Données projet'!$A$140&gt;35,CT10+CS11-DB10,IF(A11&lt;'Données projet'!$A$140,$CQ$205^A11,IF(A11='Données projet'!$A$140,'Données projet'!$B$140,CT10+CS11-DB10)))</f>
        <v>3.4889852018567837</v>
      </c>
      <c r="CU11" s="17">
        <f>CT11*VLOOKUP('Données projet'!$B$13,Paramètres!$A$1:$I$89,3,0)*VLOOKUP('Données projet'!$B$13,Paramètres!$A$1:$I$89,5,0)</f>
        <v>3.3201183180869158</v>
      </c>
      <c r="CV11" s="13">
        <f t="shared" si="41"/>
        <v>1.3305872303278428</v>
      </c>
      <c r="CW11" s="20">
        <f t="shared" si="13"/>
        <v>8.0999788301557043</v>
      </c>
      <c r="CX11" s="59">
        <f t="shared" si="14"/>
        <v>274.54442327460015</v>
      </c>
      <c r="CY11" s="59">
        <f ca="1">AVERAGE(OFFSET($CX$3,0,0,'Données projet'!$E$13+1,1))-AVERAGE(OFFSET($H$3,0,0,'Données projet'!$E$13+1,1))</f>
        <v>733.95677909788878</v>
      </c>
      <c r="CZ11" s="59">
        <f t="shared" si="42"/>
        <v>264.63778997972378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5.2</v>
      </c>
      <c r="N12" s="13">
        <f>IF('Données projet'!$A$36&gt;35,N11+M12-V11,IF(A12&lt;'Données projet'!$A$36,$K$205^A12,IF(A12='Données projet'!$A$36,'Données projet'!$B$36,N11+M12-V11)))</f>
        <v>13.653901377755385</v>
      </c>
      <c r="O12" s="13">
        <f>N12*VLOOKUP('Données projet'!$B$9,Paramètres!$A$1:$I$89,3,0)*VLOOKUP('Données projet'!$B$9,Paramètres!$A$1:$I$89,5,0)</f>
        <v>6.3900258447895206</v>
      </c>
      <c r="P12" s="13">
        <f t="shared" si="33"/>
        <v>2.3729805316754398</v>
      </c>
      <c r="Q12" s="20">
        <f t="shared" si="2"/>
        <v>15.262236105676472</v>
      </c>
      <c r="R12" s="59">
        <f t="shared" si="0"/>
        <v>282.92890277234318</v>
      </c>
      <c r="S12" s="59">
        <f ca="1">AVERAGE(OFFSET($R$3,0,0,'Données projet'!$E$9+1,1))-AVERAGE(OFFSET($H$3,0,0,'Données projet'!$E$9+1,1))</f>
        <v>488.67934252295686</v>
      </c>
      <c r="T12" s="59">
        <f t="shared" si="34"/>
        <v>424.50324471331095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7.333333333333333</v>
      </c>
      <c r="AI12" s="13">
        <f>IF('Données projet'!$A$62&gt;35,AI11+AH12-AQ11,IF(A12&lt;'Données projet'!$A$62,$AF$205^A12,IF(A12='Données projet'!$A$62,'Données projet'!$B$62,AI11+AH12-AQ11)))</f>
        <v>16.781686784137655</v>
      </c>
      <c r="AJ12" s="13">
        <f>AI12*VLOOKUP('Données projet'!$B$10,Paramètres!$A$1:$I$89,3,0)*VLOOKUP('Données projet'!$B$10,Paramètres!$A$1:$I$89,5,0)</f>
        <v>10.035448696914319</v>
      </c>
      <c r="AK12" s="13">
        <f t="shared" si="35"/>
        <v>3.5359814418310247</v>
      </c>
      <c r="AL12" s="20">
        <f t="shared" si="4"/>
        <v>23.636907491648142</v>
      </c>
      <c r="AM12" s="59">
        <f t="shared" si="5"/>
        <v>291.3035741583148</v>
      </c>
      <c r="AN12" s="59">
        <f ca="1">AVERAGE(OFFSET($AM$3,0,0,'Données projet'!$E$10+1,1))-AVERAGE(OFFSET($H$3,0,0,'Données projet'!$E$10+1,1))</f>
        <v>504.81063008331739</v>
      </c>
      <c r="AO12" s="59">
        <f t="shared" si="36"/>
        <v>441.82647565372287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7.6248913529234681</v>
      </c>
      <c r="BF12" s="13">
        <f t="shared" si="37"/>
        <v>2.7739186895259813</v>
      </c>
      <c r="BG12" s="20">
        <f t="shared" si="7"/>
        <v>18.111260823932788</v>
      </c>
      <c r="BH12" s="59">
        <f t="shared" si="8"/>
        <v>285.7779274905995</v>
      </c>
      <c r="BI12" s="59">
        <f ca="1">AVERAGE(OFFSET($BH$3,0,0,'Données projet'!$E$11+1,1))-AVERAGE(OFFSET($H$3,0,0,'Données projet'!$E$11+1,1))</f>
        <v>324.86930206492627</v>
      </c>
      <c r="BJ12" s="59">
        <f t="shared" si="38"/>
        <v>317.03005098025352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3.65</v>
      </c>
      <c r="BY12" s="12">
        <f>IF('Données projet'!$A$114&gt;35,BY11+BX12-CG11,IF(A12&lt;'Données projet'!$A$114,$BV$205^A12,IF(A12='Données projet'!$A$114,'Données projet'!$B$114,BY11+BX12-CG11)))</f>
        <v>6.8943811137639424</v>
      </c>
      <c r="BZ12" s="13">
        <f>BY12*VLOOKUP('Données projet'!$B$12,Paramètres!$A$1:$I$89,3,0)*VLOOKUP('Données projet'!$B$12,Paramètres!$A$1:$I$89,5,0)</f>
        <v>6.9909024493566383</v>
      </c>
      <c r="CA12" s="13">
        <f t="shared" si="39"/>
        <v>2.5691037174250742</v>
      </c>
      <c r="CB12" s="20">
        <f t="shared" si="10"/>
        <v>16.650344073811482</v>
      </c>
      <c r="CC12" s="59">
        <f t="shared" si="11"/>
        <v>284.31701074047817</v>
      </c>
      <c r="CD12" s="59">
        <f ca="1">AVERAGE(OFFSET($CC$3,0,0,'Données projet'!$E$12+1,1))-AVERAGE(OFFSET($H$3,0,0,'Données projet'!$E$12+1,1))</f>
        <v>487.18832528146936</v>
      </c>
      <c r="CE12" s="59">
        <f t="shared" si="40"/>
        <v>306.61893266146666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3.6141025641025637</v>
      </c>
      <c r="CT12" s="12">
        <f>IF('Données projet'!$A$140&gt;35,CT11+CS12-DB11,IF(A12&lt;'Données projet'!$A$140,$CQ$205^A12,IF(A12='Données projet'!$A$140,'Données projet'!$B$140,CT11+CS12-DB11)))</f>
        <v>4.0788385791853514</v>
      </c>
      <c r="CU12" s="17">
        <f>CT12*VLOOKUP('Données projet'!$B$13,Paramètres!$A$1:$I$89,3,0)*VLOOKUP('Données projet'!$B$13,Paramètres!$A$1:$I$89,5,0)</f>
        <v>3.8814227919527804</v>
      </c>
      <c r="CV12" s="13">
        <f t="shared" si="41"/>
        <v>1.5275114341337406</v>
      </c>
      <c r="CW12" s="20">
        <f t="shared" si="13"/>
        <v>9.4205604437673554</v>
      </c>
      <c r="CX12" s="59">
        <f t="shared" si="14"/>
        <v>277.08722711043401</v>
      </c>
      <c r="CY12" s="59">
        <f ca="1">AVERAGE(OFFSET($CX$3,0,0,'Données projet'!$E$13+1,1))-AVERAGE(OFFSET($H$3,0,0,'Données projet'!$E$13+1,1))</f>
        <v>733.95677909788878</v>
      </c>
      <c r="CZ12" s="59">
        <f t="shared" si="42"/>
        <v>264.63778997972378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5.2</v>
      </c>
      <c r="N13" s="13">
        <f>IF('Données projet'!$A$36&gt;35,N12+M13-V12,IF(A13&lt;'Données projet'!$A$36,$K$205^A13,IF(A13='Données projet'!$A$36,'Données projet'!$B$36,N12+M13-V12)))</f>
        <v>18.255612210288572</v>
      </c>
      <c r="O13" s="13">
        <f>N13*VLOOKUP('Données projet'!$B$9,Paramètres!$A$1:$I$89,3,0)*VLOOKUP('Données projet'!$B$9,Paramètres!$A$1:$I$89,5,0)</f>
        <v>8.5436265144150525</v>
      </c>
      <c r="P13" s="13">
        <f t="shared" si="33"/>
        <v>3.0672640273341907</v>
      </c>
      <c r="Q13" s="20">
        <f t="shared" si="2"/>
        <v>20.222301026879929</v>
      </c>
      <c r="R13" s="59">
        <f t="shared" si="0"/>
        <v>289.11118991576876</v>
      </c>
      <c r="S13" s="59">
        <f ca="1">AVERAGE(OFFSET($R$3,0,0,'Données projet'!$E$9+1,1))-AVERAGE(OFFSET($H$3,0,0,'Données projet'!$E$9+1,1))</f>
        <v>488.67934252295686</v>
      </c>
      <c r="T13" s="59">
        <f t="shared" si="34"/>
        <v>424.50324471331095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7.333333333333333</v>
      </c>
      <c r="AI13" s="13">
        <f>IF('Données projet'!$A$62&gt;35,AI12+AH13-AQ12,IF(A13&lt;'Données projet'!$A$62,$AF$205^A13,IF(A13='Données projet'!$A$62,'Données projet'!$B$62,AI12+AH13-AQ12)))</f>
        <v>22.95770424665556</v>
      </c>
      <c r="AJ13" s="13">
        <f>AI13*VLOOKUP('Données projet'!$B$10,Paramètres!$A$1:$I$89,3,0)*VLOOKUP('Données projet'!$B$10,Paramètres!$A$1:$I$89,5,0)</f>
        <v>13.728707139500026</v>
      </c>
      <c r="AK13" s="13">
        <f t="shared" si="35"/>
        <v>4.6640330093129414</v>
      </c>
      <c r="AL13" s="20">
        <f t="shared" si="4"/>
        <v>32.034022425849251</v>
      </c>
      <c r="AM13" s="59">
        <f t="shared" si="5"/>
        <v>300.92291131473809</v>
      </c>
      <c r="AN13" s="59">
        <f ca="1">AVERAGE(OFFSET($AM$3,0,0,'Données projet'!$E$10+1,1))-AVERAGE(OFFSET($H$3,0,0,'Données projet'!$E$10+1,1))</f>
        <v>504.81063008331739</v>
      </c>
      <c r="AO13" s="59">
        <f t="shared" si="36"/>
        <v>441.82647565372287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9.7001944765574137</v>
      </c>
      <c r="BF13" s="13">
        <f t="shared" si="37"/>
        <v>3.4313993360317685</v>
      </c>
      <c r="BG13" s="20">
        <f t="shared" si="7"/>
        <v>22.870859223592827</v>
      </c>
      <c r="BH13" s="59">
        <f t="shared" si="8"/>
        <v>291.7597481124817</v>
      </c>
      <c r="BI13" s="59">
        <f ca="1">AVERAGE(OFFSET($BH$3,0,0,'Données projet'!$E$11+1,1))-AVERAGE(OFFSET($H$3,0,0,'Données projet'!$E$11+1,1))</f>
        <v>324.86930206492627</v>
      </c>
      <c r="BJ13" s="59">
        <f t="shared" si="38"/>
        <v>317.03005098025352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3.65</v>
      </c>
      <c r="BY13" s="12">
        <f>IF('Données projet'!$A$114&gt;35,BY12+BX13-CG12,IF(A13&lt;'Données projet'!$A$114,$BV$205^A13,IF(A13='Données projet'!$A$114,'Données projet'!$B$114,BY12+BX13-CG12)))</f>
        <v>8.5440037453175322</v>
      </c>
      <c r="BZ13" s="13">
        <f>BY13*VLOOKUP('Données projet'!$B$12,Paramètres!$A$1:$I$89,3,0)*VLOOKUP('Données projet'!$B$12,Paramètres!$A$1:$I$89,5,0)</f>
        <v>8.6636197977519771</v>
      </c>
      <c r="CA13" s="13">
        <f t="shared" si="39"/>
        <v>3.1052976990698267</v>
      </c>
      <c r="CB13" s="20">
        <f t="shared" si="10"/>
        <v>20.497531306964643</v>
      </c>
      <c r="CC13" s="59">
        <f t="shared" si="11"/>
        <v>289.38642019585347</v>
      </c>
      <c r="CD13" s="59">
        <f ca="1">AVERAGE(OFFSET($CC$3,0,0,'Données projet'!$E$12+1,1))-AVERAGE(OFFSET($H$3,0,0,'Données projet'!$E$12+1,1))</f>
        <v>487.18832528146936</v>
      </c>
      <c r="CE13" s="59">
        <f t="shared" si="40"/>
        <v>306.61893266146666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3.6141025641025637</v>
      </c>
      <c r="CT13" s="12">
        <f>IF('Données projet'!$A$140&gt;35,CT12+CS13-DB12,IF(A13&lt;'Données projet'!$A$140,$CQ$205^A13,IF(A13='Données projet'!$A$140,'Données projet'!$B$140,CT12+CS13-DB12)))</f>
        <v>4.7684135049345766</v>
      </c>
      <c r="CU13" s="17">
        <f>CT13*VLOOKUP('Données projet'!$B$13,Paramètres!$A$1:$I$89,3,0)*VLOOKUP('Données projet'!$B$13,Paramètres!$A$1:$I$89,5,0)</f>
        <v>4.5376222912957429</v>
      </c>
      <c r="CV13" s="13">
        <f t="shared" si="41"/>
        <v>1.7535800195785878</v>
      </c>
      <c r="CW13" s="20">
        <f t="shared" si="13"/>
        <v>10.957177358106124</v>
      </c>
      <c r="CX13" s="59">
        <f t="shared" si="14"/>
        <v>279.84606624699501</v>
      </c>
      <c r="CY13" s="59">
        <f ca="1">AVERAGE(OFFSET($CX$3,0,0,'Données projet'!$E$13+1,1))-AVERAGE(OFFSET($H$3,0,0,'Données projet'!$E$13+1,1))</f>
        <v>733.95677909788878</v>
      </c>
      <c r="CZ13" s="59">
        <f t="shared" si="42"/>
        <v>264.63778997972378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5.2</v>
      </c>
      <c r="N14" s="13">
        <f>IF('Données projet'!$A$36&gt;35,N13+M14-V13,IF(A14&lt;'Données projet'!$A$36,$K$205^A14,IF(A14='Données projet'!$A$36,'Données projet'!$B$36,N13+M14-V13)))</f>
        <v>24.408216227150177</v>
      </c>
      <c r="O14" s="13">
        <f>N14*VLOOKUP('Données projet'!$B$9,Paramètres!$A$1:$I$89,3,0)*VLOOKUP('Données projet'!$B$9,Paramètres!$A$1:$I$89,5,0)</f>
        <v>11.423045194306283</v>
      </c>
      <c r="P14" s="13">
        <f t="shared" si="33"/>
        <v>3.9646800670276767</v>
      </c>
      <c r="Q14" s="20">
        <f t="shared" si="2"/>
        <v>26.800288163489981</v>
      </c>
      <c r="R14" s="59">
        <f t="shared" si="0"/>
        <v>296.91139927460114</v>
      </c>
      <c r="S14" s="59">
        <f ca="1">AVERAGE(OFFSET($R$3,0,0,'Données projet'!$E$9+1,1))-AVERAGE(OFFSET($H$3,0,0,'Données projet'!$E$9+1,1))</f>
        <v>488.67934252295686</v>
      </c>
      <c r="T14" s="59">
        <f t="shared" si="34"/>
        <v>424.50324471331095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7.333333333333333</v>
      </c>
      <c r="AI14" s="13">
        <f>IF('Données projet'!$A$62&gt;35,AI13+AH14-AQ13,IF(A14&lt;'Données projet'!$A$62,$AF$205^A14,IF(A14='Données projet'!$A$62,'Données projet'!$B$62,AI13+AH14-AQ13)))</f>
        <v>31.406627418114457</v>
      </c>
      <c r="AJ14" s="13">
        <f>AI14*VLOOKUP('Données projet'!$B$10,Paramètres!$A$1:$I$89,3,0)*VLOOKUP('Données projet'!$B$10,Paramètres!$A$1:$I$89,5,0)</f>
        <v>18.781163196032448</v>
      </c>
      <c r="AK14" s="13">
        <f t="shared" si="35"/>
        <v>6.1519564708734276</v>
      </c>
      <c r="AL14" s="20">
        <f t="shared" si="4"/>
        <v>43.425183419861064</v>
      </c>
      <c r="AM14" s="59">
        <f t="shared" si="5"/>
        <v>313.53629453097221</v>
      </c>
      <c r="AN14" s="59">
        <f ca="1">AVERAGE(OFFSET($AM$3,0,0,'Données projet'!$E$10+1,1))-AVERAGE(OFFSET($H$3,0,0,'Données projet'!$E$10+1,1))</f>
        <v>504.81063008331739</v>
      </c>
      <c r="AO14" s="59">
        <f t="shared" si="36"/>
        <v>441.82647565372287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12.340342770518083</v>
      </c>
      <c r="BF14" s="13">
        <f t="shared" si="37"/>
        <v>4.2447175714913801</v>
      </c>
      <c r="BG14" s="20">
        <f t="shared" si="7"/>
        <v>28.885646762333149</v>
      </c>
      <c r="BH14" s="59">
        <f t="shared" si="8"/>
        <v>298.99675787344427</v>
      </c>
      <c r="BI14" s="59">
        <f ca="1">AVERAGE(OFFSET($BH$3,0,0,'Données projet'!$E$11+1,1))-AVERAGE(OFFSET($H$3,0,0,'Données projet'!$E$11+1,1))</f>
        <v>324.86930206492627</v>
      </c>
      <c r="BJ14" s="59">
        <f t="shared" si="38"/>
        <v>317.03005098025352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3.65</v>
      </c>
      <c r="BY14" s="12">
        <f>IF('Données projet'!$A$114&gt;35,BY13+BX14-CG13,IF(A14&lt;'Données projet'!$A$114,$BV$205^A14,IF(A14='Données projet'!$A$114,'Données projet'!$B$114,BY13+BX14-CG13)))</f>
        <v>10.588332555950936</v>
      </c>
      <c r="BZ14" s="13">
        <f>BY14*VLOOKUP('Données projet'!$B$12,Paramètres!$A$1:$I$89,3,0)*VLOOKUP('Données projet'!$B$12,Paramètres!$A$1:$I$89,5,0)</f>
        <v>10.736569211734251</v>
      </c>
      <c r="CA14" s="13">
        <f t="shared" si="39"/>
        <v>3.7533999637480915</v>
      </c>
      <c r="CB14" s="20">
        <f t="shared" si="10"/>
        <v>25.23669631396508</v>
      </c>
      <c r="CC14" s="59">
        <f t="shared" si="11"/>
        <v>295.34780742507621</v>
      </c>
      <c r="CD14" s="59">
        <f ca="1">AVERAGE(OFFSET($CC$3,0,0,'Données projet'!$E$12+1,1))-AVERAGE(OFFSET($H$3,0,0,'Données projet'!$E$12+1,1))</f>
        <v>487.18832528146936</v>
      </c>
      <c r="CE14" s="59">
        <f t="shared" si="40"/>
        <v>306.61893266146666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3.6141025641025637</v>
      </c>
      <c r="CT14" s="12">
        <f>IF('Données projet'!$A$140&gt;35,CT13+CS14-DB13,IF(A14&lt;'Données projet'!$A$140,$CQ$205^A14,IF(A14='Données projet'!$A$140,'Données projet'!$B$140,CT13+CS14-DB13)))</f>
        <v>5.5745690623980924</v>
      </c>
      <c r="CU14" s="17">
        <f>CT14*VLOOKUP('Données projet'!$B$13,Paramètres!$A$1:$I$89,3,0)*VLOOKUP('Données projet'!$B$13,Paramètres!$A$1:$I$89,5,0)</f>
        <v>5.3047599197780251</v>
      </c>
      <c r="CV14" s="13">
        <f t="shared" si="41"/>
        <v>2.0131062958681629</v>
      </c>
      <c r="CW14" s="20">
        <f t="shared" si="13"/>
        <v>12.74528365891711</v>
      </c>
      <c r="CX14" s="59">
        <f t="shared" si="14"/>
        <v>282.85639477002826</v>
      </c>
      <c r="CY14" s="59">
        <f ca="1">AVERAGE(OFFSET($CX$3,0,0,'Données projet'!$E$13+1,1))-AVERAGE(OFFSET($H$3,0,0,'Données projet'!$E$13+1,1))</f>
        <v>733.95677909788878</v>
      </c>
      <c r="CZ14" s="59">
        <f t="shared" si="42"/>
        <v>264.63778997972378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5.2</v>
      </c>
      <c r="N15" s="13">
        <f>IF('Données projet'!$A$36&gt;35,N14+M15-V14,IF(A15&lt;'Données projet'!$A$36,$K$205^A15,IF(A15='Données projet'!$A$36,'Données projet'!$B$36,N14+M15-V14)))</f>
        <v>32.634403739993772</v>
      </c>
      <c r="O15" s="13">
        <f>N15*VLOOKUP('Données projet'!$B$9,Paramètres!$A$1:$I$89,3,0)*VLOOKUP('Données projet'!$B$9,Paramètres!$A$1:$I$89,5,0)</f>
        <v>15.272900950317085</v>
      </c>
      <c r="P15" s="13">
        <f t="shared" si="33"/>
        <v>5.1246609009880242</v>
      </c>
      <c r="Q15" s="20">
        <f t="shared" si="2"/>
        <v>35.525753557689733</v>
      </c>
      <c r="R15" s="59">
        <f t="shared" si="0"/>
        <v>306.85908689102303</v>
      </c>
      <c r="S15" s="59">
        <f ca="1">AVERAGE(OFFSET($R$3,0,0,'Données projet'!$E$9+1,1))-AVERAGE(OFFSET($H$3,0,0,'Données projet'!$E$9+1,1))</f>
        <v>488.67934252295686</v>
      </c>
      <c r="T15" s="59">
        <f t="shared" si="34"/>
        <v>424.50324471331095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7.333333333333333</v>
      </c>
      <c r="AI15" s="13">
        <f>IF('Données projet'!$A$62&gt;35,AI14+AH15-AQ14,IF(A15&lt;'Données projet'!$A$62,$AF$205^A15,IF(A15='Données projet'!$A$62,'Données projet'!$B$62,AI14+AH15-AQ14)))</f>
        <v>42.964933914241549</v>
      </c>
      <c r="AJ15" s="13">
        <f>AI15*VLOOKUP('Données projet'!$B$10,Paramètres!$A$1:$I$89,3,0)*VLOOKUP('Données projet'!$B$10,Paramètres!$A$1:$I$89,5,0)</f>
        <v>25.693030480716448</v>
      </c>
      <c r="AK15" s="13">
        <f t="shared" si="35"/>
        <v>8.1145584398633126</v>
      </c>
      <c r="AL15" s="20">
        <f t="shared" si="4"/>
        <v>58.881550703343073</v>
      </c>
      <c r="AM15" s="59">
        <f t="shared" si="5"/>
        <v>330.21488403667638</v>
      </c>
      <c r="AN15" s="59">
        <f ca="1">AVERAGE(OFFSET($AM$3,0,0,'Données projet'!$E$10+1,1))-AVERAGE(OFFSET($H$3,0,0,'Données projet'!$E$10+1,1))</f>
        <v>504.81063008331739</v>
      </c>
      <c r="AO15" s="59">
        <f t="shared" si="36"/>
        <v>441.82647565372287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15.699072844560465</v>
      </c>
      <c r="BF15" s="13">
        <f t="shared" si="37"/>
        <v>5.250810382962916</v>
      </c>
      <c r="BG15" s="20">
        <f t="shared" si="7"/>
        <v>36.48771328793655</v>
      </c>
      <c r="BH15" s="59">
        <f t="shared" si="8"/>
        <v>307.82104662126989</v>
      </c>
      <c r="BI15" s="59">
        <f ca="1">AVERAGE(OFFSET($BH$3,0,0,'Données projet'!$E$11+1,1))-AVERAGE(OFFSET($H$3,0,0,'Données projet'!$E$11+1,1))</f>
        <v>324.86930206492627</v>
      </c>
      <c r="BJ15" s="59">
        <f t="shared" si="38"/>
        <v>317.03005098025352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3.65</v>
      </c>
      <c r="BY15" s="12">
        <f>IF('Données projet'!$A$114&gt;35,BY14+BX15-CG14,IF(A15&lt;'Données projet'!$A$114,$BV$205^A15,IF(A15='Données projet'!$A$114,'Données projet'!$B$114,BY14+BX15-CG14)))</f>
        <v>13.121809125710287</v>
      </c>
      <c r="BZ15" s="13">
        <f>BY15*VLOOKUP('Données projet'!$B$12,Paramètres!$A$1:$I$89,3,0)*VLOOKUP('Données projet'!$B$12,Paramètres!$A$1:$I$89,5,0)</f>
        <v>13.305514453470233</v>
      </c>
      <c r="CA15" s="13">
        <f t="shared" si="39"/>
        <v>4.5367667299931158</v>
      </c>
      <c r="CB15" s="20">
        <f t="shared" si="10"/>
        <v>31.075306394532003</v>
      </c>
      <c r="CC15" s="59">
        <f t="shared" si="11"/>
        <v>302.40863972786531</v>
      </c>
      <c r="CD15" s="59">
        <f ca="1">AVERAGE(OFFSET($CC$3,0,0,'Données projet'!$E$12+1,1))-AVERAGE(OFFSET($H$3,0,0,'Données projet'!$E$12+1,1))</f>
        <v>487.18832528146936</v>
      </c>
      <c r="CE15" s="59">
        <f t="shared" si="40"/>
        <v>306.61893266146666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3.6141025641025637</v>
      </c>
      <c r="CT15" s="12">
        <f>IF('Données projet'!$A$140&gt;35,CT14+CS15-DB14,IF(A15&lt;'Données projet'!$A$140,$CQ$205^A15,IF(A15='Données projet'!$A$140,'Données projet'!$B$140,CT14+CS15-DB14)))</f>
        <v>6.5170145582565855</v>
      </c>
      <c r="CU15" s="17">
        <f>CT15*VLOOKUP('Données projet'!$B$13,Paramètres!$A$1:$I$89,3,0)*VLOOKUP('Données projet'!$B$13,Paramètres!$A$1:$I$89,5,0)</f>
        <v>6.2015910536369665</v>
      </c>
      <c r="CV15" s="13">
        <f t="shared" si="41"/>
        <v>2.3110419331978571</v>
      </c>
      <c r="CW15" s="20">
        <f t="shared" si="13"/>
        <v>14.826169118737317</v>
      </c>
      <c r="CX15" s="59">
        <f t="shared" si="14"/>
        <v>286.15950245207063</v>
      </c>
      <c r="CY15" s="59">
        <f ca="1">AVERAGE(OFFSET($CX$3,0,0,'Données projet'!$E$13+1,1))-AVERAGE(OFFSET($H$3,0,0,'Données projet'!$E$13+1,1))</f>
        <v>733.95677909788878</v>
      </c>
      <c r="CZ15" s="59">
        <f t="shared" si="42"/>
        <v>264.63778997972378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5.2</v>
      </c>
      <c r="N16" s="13">
        <f>IF('Données projet'!$A$36&gt;35,N15+M16-V15,IF(A16&lt;'Données projet'!$A$36,$K$205^A16,IF(A16='Données projet'!$A$36,'Données projet'!$B$36,N15+M16-V15)))</f>
        <v>43.633024943472719</v>
      </c>
      <c r="O16" s="13">
        <f>N16*VLOOKUP('Données projet'!$B$9,Paramètres!$A$1:$I$89,3,0)*VLOOKUP('Données projet'!$B$9,Paramètres!$A$1:$I$89,5,0)</f>
        <v>20.420255673545231</v>
      </c>
      <c r="P16" s="13">
        <f t="shared" si="33"/>
        <v>6.6240273883698597</v>
      </c>
      <c r="Q16" s="20">
        <f t="shared" si="2"/>
        <v>47.102126332835446</v>
      </c>
      <c r="R16" s="59">
        <f t="shared" si="0"/>
        <v>319.65768188839098</v>
      </c>
      <c r="S16" s="59">
        <f ca="1">AVERAGE(OFFSET($R$3,0,0,'Données projet'!$E$9+1,1))-AVERAGE(OFFSET($H$3,0,0,'Données projet'!$E$9+1,1))</f>
        <v>488.67934252295686</v>
      </c>
      <c r="T16" s="59">
        <f t="shared" si="34"/>
        <v>424.50324471331095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7.333333333333333</v>
      </c>
      <c r="AI16" s="13">
        <f>IF('Données projet'!$A$62&gt;35,AI15+AH16-AQ15,IF(A16&lt;'Données projet'!$A$62,$AF$205^A16,IF(A16='Données projet'!$A$62,'Données projet'!$B$62,AI15+AH16-AQ15)))</f>
        <v>58.776942894238665</v>
      </c>
      <c r="AJ16" s="13">
        <f>AI16*VLOOKUP('Données projet'!$B$10,Paramètres!$A$1:$I$89,3,0)*VLOOKUP('Données projet'!$B$10,Paramètres!$A$1:$I$89,5,0)</f>
        <v>35.148611850754726</v>
      </c>
      <c r="AK16" s="13">
        <f t="shared" si="35"/>
        <v>10.703271225293379</v>
      </c>
      <c r="AL16" s="20">
        <f t="shared" si="4"/>
        <v>79.858696357450455</v>
      </c>
      <c r="AM16" s="59">
        <f t="shared" si="5"/>
        <v>352.41425191300601</v>
      </c>
      <c r="AN16" s="59">
        <f ca="1">AVERAGE(OFFSET($AM$3,0,0,'Données projet'!$E$10+1,1))-AVERAGE(OFFSET($H$3,0,0,'Données projet'!$E$10+1,1))</f>
        <v>504.81063008331739</v>
      </c>
      <c r="AO16" s="59">
        <f t="shared" si="36"/>
        <v>441.82647565372287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19.971964536319657</v>
      </c>
      <c r="BF16" s="13">
        <f t="shared" si="37"/>
        <v>6.4953696479137237</v>
      </c>
      <c r="BG16" s="20">
        <f t="shared" si="7"/>
        <v>46.097273704206465</v>
      </c>
      <c r="BH16" s="59">
        <f t="shared" si="8"/>
        <v>318.65282925976203</v>
      </c>
      <c r="BI16" s="59">
        <f ca="1">AVERAGE(OFFSET($BH$3,0,0,'Données projet'!$E$11+1,1))-AVERAGE(OFFSET($H$3,0,0,'Données projet'!$E$11+1,1))</f>
        <v>324.86930206492627</v>
      </c>
      <c r="BJ16" s="59">
        <f t="shared" si="38"/>
        <v>317.03005098025352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3.65</v>
      </c>
      <c r="BY16" s="12">
        <f>IF('Données projet'!$A$114&gt;35,BY15+BX16-CG15,IF(A16&lt;'Données projet'!$A$114,$BV$205^A16,IF(A16='Données projet'!$A$114,'Données projet'!$B$114,BY15+BX16-CG15)))</f>
        <v>16.261472127148366</v>
      </c>
      <c r="BZ16" s="13">
        <f>BY16*VLOOKUP('Données projet'!$B$12,Paramètres!$A$1:$I$89,3,0)*VLOOKUP('Données projet'!$B$12,Paramètres!$A$1:$I$89,5,0)</f>
        <v>16.489132736928447</v>
      </c>
      <c r="CA16" s="13">
        <f t="shared" si="39"/>
        <v>5.4836288594779292</v>
      </c>
      <c r="CB16" s="20">
        <f t="shared" si="10"/>
        <v>38.269226447074438</v>
      </c>
      <c r="CC16" s="59">
        <f t="shared" si="11"/>
        <v>310.82478200263</v>
      </c>
      <c r="CD16" s="59">
        <f ca="1">AVERAGE(OFFSET($CC$3,0,0,'Données projet'!$E$12+1,1))-AVERAGE(OFFSET($H$3,0,0,'Données projet'!$E$12+1,1))</f>
        <v>487.18832528146936</v>
      </c>
      <c r="CE16" s="59">
        <f t="shared" si="40"/>
        <v>306.61893266146666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3.6141025641025637</v>
      </c>
      <c r="CT16" s="12">
        <f>IF('Données projet'!$A$140&gt;35,CT15+CS16-DB15,IF(A16&lt;'Données projet'!$A$140,$CQ$205^A16,IF(A16='Données projet'!$A$140,'Données projet'!$B$140,CT15+CS16-DB15)))</f>
        <v>7.618791385868616</v>
      </c>
      <c r="CU16" s="17">
        <f>CT16*VLOOKUP('Données projet'!$B$13,Paramètres!$A$1:$I$89,3,0)*VLOOKUP('Données projet'!$B$13,Paramètres!$A$1:$I$89,5,0)</f>
        <v>7.2500418827925746</v>
      </c>
      <c r="CV16" s="13">
        <f t="shared" si="41"/>
        <v>2.6530714388807719</v>
      </c>
      <c r="CW16" s="20">
        <f t="shared" si="13"/>
        <v>17.247922368581079</v>
      </c>
      <c r="CX16" s="59">
        <f t="shared" si="14"/>
        <v>289.80347792413664</v>
      </c>
      <c r="CY16" s="59">
        <f ca="1">AVERAGE(OFFSET($CX$3,0,0,'Données projet'!$E$13+1,1))-AVERAGE(OFFSET($H$3,0,0,'Données projet'!$E$13+1,1))</f>
        <v>733.95677909788878</v>
      </c>
      <c r="CZ16" s="59">
        <f t="shared" si="42"/>
        <v>264.63778997972378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5.2</v>
      </c>
      <c r="N17" s="13">
        <f>IF('Données projet'!$A$36&gt;35,N16+M17-V16,IF(A17&lt;'Données projet'!$A$36,$K$205^A17,IF(A17='Données projet'!$A$36,'Données projet'!$B$36,N16+M17-V16)))</f>
        <v>58.338460260713681</v>
      </c>
      <c r="O17" s="13">
        <f>N17*VLOOKUP('Données projet'!$B$9,Paramètres!$A$1:$I$89,3,0)*VLOOKUP('Données projet'!$B$9,Paramètres!$A$1:$I$89,5,0)</f>
        <v>27.302399402014004</v>
      </c>
      <c r="P17" s="13">
        <f t="shared" si="33"/>
        <v>8.5620765333789173</v>
      </c>
      <c r="Q17" s="20">
        <f t="shared" si="2"/>
        <v>62.463962254142665</v>
      </c>
      <c r="R17" s="59">
        <f t="shared" si="0"/>
        <v>336.24174003192041</v>
      </c>
      <c r="S17" s="59">
        <f ca="1">AVERAGE(OFFSET($R$3,0,0,'Données projet'!$E$9+1,1))-AVERAGE(OFFSET($H$3,0,0,'Données projet'!$E$9+1,1))</f>
        <v>488.67934252295686</v>
      </c>
      <c r="T17" s="59">
        <f t="shared" si="34"/>
        <v>424.50324471331095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7.333333333333333</v>
      </c>
      <c r="AI17" s="13">
        <f>IF('Données projet'!$A$62&gt;35,AI16+AH17-AQ16,IF(A17&lt;'Données projet'!$A$62,$AF$205^A17,IF(A17='Données projet'!$A$62,'Données projet'!$B$62,AI16+AH17-AQ16)))</f>
        <v>80.408107292525273</v>
      </c>
      <c r="AJ17" s="13">
        <f>AI17*VLOOKUP('Données projet'!$B$10,Paramètres!$A$1:$I$89,3,0)*VLOOKUP('Données projet'!$B$10,Paramètres!$A$1:$I$89,5,0)</f>
        <v>48.084048160930124</v>
      </c>
      <c r="AK17" s="13">
        <f t="shared" si="35"/>
        <v>14.11783718993377</v>
      </c>
      <c r="AL17" s="20">
        <f t="shared" si="4"/>
        <v>108.33495031942128</v>
      </c>
      <c r="AM17" s="59">
        <f t="shared" si="5"/>
        <v>382.11272809719907</v>
      </c>
      <c r="AN17" s="59">
        <f ca="1">AVERAGE(OFFSET($AM$3,0,0,'Données projet'!$E$10+1,1))-AVERAGE(OFFSET($H$3,0,0,'Données projet'!$E$10+1,1))</f>
        <v>504.81063008331739</v>
      </c>
      <c r="AO17" s="59">
        <f t="shared" si="36"/>
        <v>441.82647565372287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25.407829582637852</v>
      </c>
      <c r="BF17" s="13">
        <f t="shared" si="37"/>
        <v>8.0349172386667025</v>
      </c>
      <c r="BG17" s="20">
        <f t="shared" si="7"/>
        <v>58.246117380438761</v>
      </c>
      <c r="BH17" s="59">
        <f t="shared" si="8"/>
        <v>332.02389515821653</v>
      </c>
      <c r="BI17" s="59">
        <f ca="1">AVERAGE(OFFSET($BH$3,0,0,'Données projet'!$E$11+1,1))-AVERAGE(OFFSET($H$3,0,0,'Données projet'!$E$11+1,1))</f>
        <v>324.86930206492627</v>
      </c>
      <c r="BJ17" s="59">
        <f t="shared" si="38"/>
        <v>317.03005098025352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3.65</v>
      </c>
      <c r="BY17" s="12">
        <f>IF('Données projet'!$A$114&gt;35,BY16+BX17-CG16,IF(A17&lt;'Données projet'!$A$114,$BV$205^A17,IF(A17='Données projet'!$A$114,'Données projet'!$B$114,BY16+BX17-CG16)))</f>
        <v>20.152364144963837</v>
      </c>
      <c r="BZ17" s="13">
        <f>BY17*VLOOKUP('Données projet'!$B$12,Paramètres!$A$1:$I$89,3,0)*VLOOKUP('Données projet'!$B$12,Paramètres!$A$1:$I$89,5,0)</f>
        <v>20.434497242993334</v>
      </c>
      <c r="CA17" s="13">
        <f t="shared" si="39"/>
        <v>6.6281092368495731</v>
      </c>
      <c r="CB17" s="20">
        <f t="shared" si="10"/>
        <v>47.134039619059727</v>
      </c>
      <c r="CC17" s="59">
        <f t="shared" si="11"/>
        <v>320.91181739683748</v>
      </c>
      <c r="CD17" s="59">
        <f ca="1">AVERAGE(OFFSET($CC$3,0,0,'Données projet'!$E$12+1,1))-AVERAGE(OFFSET($H$3,0,0,'Données projet'!$E$12+1,1))</f>
        <v>487.18832528146936</v>
      </c>
      <c r="CE17" s="59">
        <f t="shared" si="40"/>
        <v>306.61893266146666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3.6141025641025637</v>
      </c>
      <c r="CT17" s="12">
        <f>IF('Données projet'!$A$140&gt;35,CT16+CS17-DB16,IF(A17&lt;'Données projet'!$A$140,$CQ$205^A17,IF(A17='Données projet'!$A$140,'Données projet'!$B$140,CT16+CS17-DB16)))</f>
        <v>8.9068363531343948</v>
      </c>
      <c r="CU17" s="17">
        <f>CT17*VLOOKUP('Données projet'!$B$13,Paramètres!$A$1:$I$89,3,0)*VLOOKUP('Données projet'!$B$13,Paramètres!$A$1:$I$89,5,0)</f>
        <v>8.4757454736426894</v>
      </c>
      <c r="CV17" s="13">
        <f t="shared" si="41"/>
        <v>3.045720615750624</v>
      </c>
      <c r="CW17" s="20">
        <f t="shared" si="13"/>
        <v>20.066553439026688</v>
      </c>
      <c r="CX17" s="59">
        <f t="shared" si="14"/>
        <v>293.84433121680445</v>
      </c>
      <c r="CY17" s="59">
        <f ca="1">AVERAGE(OFFSET($CX$3,0,0,'Données projet'!$E$13+1,1))-AVERAGE(OFFSET($H$3,0,0,'Données projet'!$E$13+1,1))</f>
        <v>733.95677909788878</v>
      </c>
      <c r="CZ17" s="59">
        <f t="shared" si="42"/>
        <v>264.63778997972378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78</v>
      </c>
      <c r="L18" s="12">
        <f>VLOOKUP(A18,'Données projet'!$A$35:$I$55,9,0)</f>
        <v>5.2</v>
      </c>
      <c r="M18" s="12">
        <f t="array" ref="M18">INDEX(L:L,MIN(IF(ISNUMBER(L18:L214),ROW(L18:L214),"")))</f>
        <v>5.2</v>
      </c>
      <c r="N18" s="13">
        <f>IF('Données projet'!$A$36&gt;35,N17+M18-V17,IF(A18&lt;'Données projet'!$A$36,$K$205^A18,IF(A18='Données projet'!$A$36,'Données projet'!$B$36,N17+M18-V17)))</f>
        <v>78</v>
      </c>
      <c r="O18" s="13">
        <f>N18*VLOOKUP('Données projet'!$B$9,Paramètres!$A$1:$I$89,3,0)*VLOOKUP('Données projet'!$B$9,Paramètres!$A$1:$I$89,5,0)</f>
        <v>36.503999999999998</v>
      </c>
      <c r="P18" s="13">
        <f t="shared" si="33"/>
        <v>11.067157525971377</v>
      </c>
      <c r="Q18" s="20">
        <f t="shared" si="2"/>
        <v>82.85309935773347</v>
      </c>
      <c r="R18" s="59">
        <f t="shared" si="0"/>
        <v>357.85309935773347</v>
      </c>
      <c r="S18" s="59">
        <f ca="1">AVERAGE(OFFSET($R$3,0,0,'Données projet'!$E$9+1,1))-AVERAGE(OFFSET($H$3,0,0,'Données projet'!$E$9+1,1))</f>
        <v>488.67934252295686</v>
      </c>
      <c r="T18" s="59">
        <f t="shared" si="34"/>
        <v>424.50324471331095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110</v>
      </c>
      <c r="AG18" s="12">
        <f>VLOOKUP(A18,'Données projet'!$A$61:$I$81,9,0)</f>
        <v>7.333333333333333</v>
      </c>
      <c r="AH18" s="12">
        <f t="array" ref="AH18">INDEX(AG:AG,MIN(IF(ISNUMBER(AG18:AG214),ROW(AG18:AG214),"")))</f>
        <v>7.333333333333333</v>
      </c>
      <c r="AI18" s="13">
        <f>IF('Données projet'!$A$62&gt;35,AI17+AH18-AQ17,IF(A18&lt;'Données projet'!$A$62,$AF$205^A18,IF(A18='Données projet'!$A$62,'Données projet'!$B$62,AI17+AH18-AQ17)))</f>
        <v>110</v>
      </c>
      <c r="AJ18" s="13">
        <f>AI18*VLOOKUP('Données projet'!$B$10,Paramètres!$A$1:$I$89,3,0)*VLOOKUP('Données projet'!$B$10,Paramètres!$A$1:$I$89,5,0)</f>
        <v>65.78</v>
      </c>
      <c r="AK18" s="13">
        <f t="shared" si="35"/>
        <v>18.621720661480644</v>
      </c>
      <c r="AL18" s="20">
        <f t="shared" si="4"/>
        <v>146.99966348541213</v>
      </c>
      <c r="AM18" s="59">
        <f t="shared" si="5"/>
        <v>421.99966348541216</v>
      </c>
      <c r="AN18" s="59">
        <f ca="1">AVERAGE(OFFSET($AM$3,0,0,'Données projet'!$E$10+1,1))-AVERAGE(OFFSET($H$3,0,0,'Données projet'!$E$10+1,1))</f>
        <v>504.81063008331739</v>
      </c>
      <c r="AO18" s="59">
        <f t="shared" si="36"/>
        <v>441.82647565372287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14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1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9.4790487948915736</v>
      </c>
      <c r="AX18" s="21">
        <f t="shared" si="6"/>
        <v>9.4790487948915736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32.323200000000007</v>
      </c>
      <c r="BF18" s="13">
        <f t="shared" si="37"/>
        <v>9.9393719729191545</v>
      </c>
      <c r="BG18" s="20">
        <f t="shared" si="7"/>
        <v>73.607312852834198</v>
      </c>
      <c r="BH18" s="59">
        <f t="shared" si="8"/>
        <v>348.60731285283418</v>
      </c>
      <c r="BI18" s="59">
        <f ca="1">AVERAGE(OFFSET($BH$3,0,0,'Données projet'!$E$11+1,1))-AVERAGE(OFFSET($H$3,0,0,'Données projet'!$E$11+1,1))</f>
        <v>324.86930206492627</v>
      </c>
      <c r="BJ18" s="59">
        <f t="shared" si="38"/>
        <v>317.03005098025352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3.65</v>
      </c>
      <c r="BY18" s="12">
        <f>IF('Données projet'!$A$114&gt;35,BY17+BX18-CG17,IF(A18&lt;'Données projet'!$A$114,$BV$205^A18,IF(A18='Données projet'!$A$114,'Données projet'!$B$114,BY17+BX18-CG17)))</f>
        <v>24.974232188561476</v>
      </c>
      <c r="BZ18" s="13">
        <f>BY18*VLOOKUP('Données projet'!$B$12,Paramètres!$A$1:$I$89,3,0)*VLOOKUP('Données projet'!$B$12,Paramètres!$A$1:$I$89,5,0)</f>
        <v>25.323871439201337</v>
      </c>
      <c r="CA18" s="13">
        <f t="shared" si="39"/>
        <v>8.0114524854610902</v>
      </c>
      <c r="CB18" s="20">
        <f t="shared" si="10"/>
        <v>58.059022502120392</v>
      </c>
      <c r="CC18" s="59">
        <f t="shared" si="11"/>
        <v>333.0590225021204</v>
      </c>
      <c r="CD18" s="59">
        <f ca="1">AVERAGE(OFFSET($CC$3,0,0,'Données projet'!$E$12+1,1))-AVERAGE(OFFSET($H$3,0,0,'Données projet'!$E$12+1,1))</f>
        <v>487.18832528146936</v>
      </c>
      <c r="CE18" s="59">
        <f t="shared" si="40"/>
        <v>306.61893266146666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3.6141025641025637</v>
      </c>
      <c r="CT18" s="12">
        <f>IF('Données projet'!$A$140&gt;35,CT17+CS18-DB17,IF(A18&lt;'Données projet'!$A$140,$CQ$205^A18,IF(A18='Données projet'!$A$140,'Données projet'!$B$140,CT17+CS18-DB17)))</f>
        <v>10.41264024746253</v>
      </c>
      <c r="CU18" s="17">
        <f>CT18*VLOOKUP('Données projet'!$B$13,Paramètres!$A$1:$I$89,3,0)*VLOOKUP('Données projet'!$B$13,Paramètres!$A$1:$I$89,5,0)</f>
        <v>9.9086684594853445</v>
      </c>
      <c r="CV18" s="13">
        <f t="shared" si="41"/>
        <v>3.4964810721876831</v>
      </c>
      <c r="CW18" s="20">
        <f t="shared" si="13"/>
        <v>23.347302100997187</v>
      </c>
      <c r="CX18" s="59">
        <f t="shared" si="14"/>
        <v>298.34730210099718</v>
      </c>
      <c r="CY18" s="59">
        <f ca="1">AVERAGE(OFFSET($CX$3,0,0,'Données projet'!$E$13+1,1))-AVERAGE(OFFSET($H$3,0,0,'Données projet'!$E$13+1,1))</f>
        <v>733.95677909788878</v>
      </c>
      <c r="CZ18" s="59">
        <f t="shared" si="42"/>
        <v>264.63778997972378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24</v>
      </c>
      <c r="N19" s="13">
        <f>IF('Données projet'!$A$36&gt;35,N18+M19-V18,IF(A19&lt;'Données projet'!$A$36,$K$205^A19,IF(A19='Données projet'!$A$36,'Données projet'!$B$36,N18+M19-V18)))</f>
        <v>102</v>
      </c>
      <c r="O19" s="13">
        <f>N19*VLOOKUP('Données projet'!$B$9,Paramètres!$A$1:$I$89,3,0)*VLOOKUP('Données projet'!$B$9,Paramètres!$A$1:$I$89,5,0)</f>
        <v>47.735999999999997</v>
      </c>
      <c r="P19" s="13">
        <f t="shared" si="33"/>
        <v>14.027504361700418</v>
      </c>
      <c r="Q19" s="20">
        <f t="shared" si="2"/>
        <v>107.5714367632949</v>
      </c>
      <c r="R19" s="59">
        <f t="shared" si="0"/>
        <v>383.79365898551714</v>
      </c>
      <c r="S19" s="59">
        <f ca="1">AVERAGE(OFFSET($R$3,0,0,'Données projet'!$E$9+1,1))-AVERAGE(OFFSET($H$3,0,0,'Données projet'!$E$9+1,1))</f>
        <v>488.67934252295686</v>
      </c>
      <c r="T19" s="59">
        <f t="shared" si="34"/>
        <v>424.50324471331095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21.4</v>
      </c>
      <c r="AI19" s="13">
        <f>IF('Données projet'!$A$62&gt;35,AI18+AH19-AQ18,IF(A19&lt;'Données projet'!$A$62,$AF$205^A19,IF(A19='Données projet'!$A$62,'Données projet'!$B$62,AI18+AH19-AQ18)))</f>
        <v>117.4</v>
      </c>
      <c r="AJ19" s="13">
        <f>AI19*VLOOKUP('Données projet'!$B$10,Paramètres!$A$1:$I$89,3,0)*VLOOKUP('Données projet'!$B$10,Paramètres!$A$1:$I$89,5,0)</f>
        <v>70.205200000000005</v>
      </c>
      <c r="AK19" s="13">
        <f t="shared" si="35"/>
        <v>19.724407279037784</v>
      </c>
      <c r="AL19" s="20">
        <f t="shared" si="4"/>
        <v>156.62739934432412</v>
      </c>
      <c r="AM19" s="59">
        <f t="shared" si="5"/>
        <v>432.84962156654638</v>
      </c>
      <c r="AN19" s="59">
        <f ca="1">AVERAGE(OFFSET($AM$3,0,0,'Données projet'!$E$10+1,1))-AVERAGE(OFFSET($H$3,0,0,'Données projet'!$E$10+1,1))</f>
        <v>504.81063008331739</v>
      </c>
      <c r="AO19" s="59">
        <f t="shared" si="36"/>
        <v>441.82647565372287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6.7026996820660036</v>
      </c>
      <c r="AX19" s="21">
        <f t="shared" si="6"/>
        <v>6.7026996820660036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11.6</v>
      </c>
      <c r="BD19" s="12">
        <f>IF('Données projet'!$A$88&gt;35,BD18+BC19-BL18,IF(A19&lt;'Données projet'!$A$88,$BA$205^A19,IF(A19='Données projet'!$A$88,'Données projet'!$B$88,BD18+BC19-BL18)))</f>
        <v>33.6</v>
      </c>
      <c r="BE19" s="13">
        <f>BD19*VLOOKUP('Données projet'!$B$11,Paramètres!$A$1:$I$89,3,0)*VLOOKUP('Données projet'!$B$11,Paramètres!$A$1:$I$89,5,0)</f>
        <v>29.352960000000007</v>
      </c>
      <c r="BF19" s="13">
        <f t="shared" si="37"/>
        <v>9.1278666361046881</v>
      </c>
      <c r="BG19" s="20">
        <f t="shared" si="7"/>
        <v>67.020773057882352</v>
      </c>
      <c r="BH19" s="59">
        <f t="shared" si="8"/>
        <v>343.24299528010459</v>
      </c>
      <c r="BI19" s="59">
        <f ca="1">AVERAGE(OFFSET($BH$3,0,0,'Données projet'!$E$11+1,1))-AVERAGE(OFFSET($H$3,0,0,'Données projet'!$E$11+1,1))</f>
        <v>324.86930206492627</v>
      </c>
      <c r="BJ19" s="59">
        <f t="shared" si="38"/>
        <v>317.03005098025352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3.65</v>
      </c>
      <c r="BY19" s="12">
        <f>IF('Données projet'!$A$114&gt;35,BY18+BX19-CG18,IF(A19&lt;'Données projet'!$A$114,$BV$205^A19,IF(A19='Données projet'!$A$114,'Données projet'!$B$114,BY18+BX19-CG18)))</f>
        <v>30.949831440200953</v>
      </c>
      <c r="BZ19" s="13">
        <f>BY19*VLOOKUP('Données projet'!$B$12,Paramètres!$A$1:$I$89,3,0)*VLOOKUP('Données projet'!$B$12,Paramètres!$A$1:$I$89,5,0)</f>
        <v>31.383129080363769</v>
      </c>
      <c r="CA19" s="13">
        <f t="shared" si="39"/>
        <v>9.6835113353243223</v>
      </c>
      <c r="CB19" s="20">
        <f t="shared" si="10"/>
        <v>71.524398723990075</v>
      </c>
      <c r="CC19" s="59">
        <f t="shared" si="11"/>
        <v>347.74662094621232</v>
      </c>
      <c r="CD19" s="59">
        <f ca="1">AVERAGE(OFFSET($CC$3,0,0,'Données projet'!$E$12+1,1))-AVERAGE(OFFSET($H$3,0,0,'Données projet'!$E$12+1,1))</f>
        <v>487.18832528146936</v>
      </c>
      <c r="CE19" s="59">
        <f t="shared" si="40"/>
        <v>306.61893266146666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3.6141025641025637</v>
      </c>
      <c r="CT19" s="12">
        <f>IF('Données projet'!$A$140&gt;35,CT18+CS19-DB18,IF(A19&lt;'Données projet'!$A$140,$CQ$205^A19,IF(A19='Données projet'!$A$140,'Données projet'!$B$140,CT18+CS19-DB18)))</f>
        <v>12.173017738775622</v>
      </c>
      <c r="CU19" s="17">
        <f>CT19*VLOOKUP('Données projet'!$B$13,Paramètres!$A$1:$I$89,3,0)*VLOOKUP('Données projet'!$B$13,Paramètres!$A$1:$I$89,5,0)</f>
        <v>11.583843680218882</v>
      </c>
      <c r="CV19" s="13">
        <f t="shared" si="41"/>
        <v>4.0139531593753102</v>
      </c>
      <c r="CW19" s="20">
        <f t="shared" si="13"/>
        <v>27.166162828959884</v>
      </c>
      <c r="CX19" s="59">
        <f t="shared" si="14"/>
        <v>303.38838505118213</v>
      </c>
      <c r="CY19" s="59">
        <f ca="1">AVERAGE(OFFSET($CX$3,0,0,'Données projet'!$E$13+1,1))-AVERAGE(OFFSET($H$3,0,0,'Données projet'!$E$13+1,1))</f>
        <v>733.95677909788878</v>
      </c>
      <c r="CZ19" s="59">
        <f t="shared" si="42"/>
        <v>264.63778997972378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24</v>
      </c>
      <c r="N20" s="13">
        <f>IF('Données projet'!$A$36&gt;35,N19+M20-V19,IF(A20&lt;'Données projet'!$A$36,$K$205^A20,IF(A20='Données projet'!$A$36,'Données projet'!$B$36,N19+M20-V19)))</f>
        <v>126</v>
      </c>
      <c r="O20" s="13">
        <f>N20*VLOOKUP('Données projet'!$B$9,Paramètres!$A$1:$I$89,3,0)*VLOOKUP('Données projet'!$B$9,Paramètres!$A$1:$I$89,5,0)</f>
        <v>58.968000000000004</v>
      </c>
      <c r="P20" s="13">
        <f t="shared" si="33"/>
        <v>16.90708415297112</v>
      </c>
      <c r="Q20" s="20">
        <f t="shared" si="2"/>
        <v>132.14910489975804</v>
      </c>
      <c r="R20" s="59">
        <f t="shared" si="0"/>
        <v>409.59354934420253</v>
      </c>
      <c r="S20" s="59">
        <f ca="1">AVERAGE(OFFSET($R$3,0,0,'Données projet'!$E$9+1,1))-AVERAGE(OFFSET($H$3,0,0,'Données projet'!$E$9+1,1))</f>
        <v>488.67934252295686</v>
      </c>
      <c r="T20" s="59">
        <f t="shared" si="34"/>
        <v>424.50324471331095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21.4</v>
      </c>
      <c r="AI20" s="13">
        <f>IF('Données projet'!$A$62&gt;35,AI19+AH20-AQ19,IF(A20&lt;'Données projet'!$A$62,$AF$205^A20,IF(A20='Données projet'!$A$62,'Données projet'!$B$62,AI19+AH20-AQ19)))</f>
        <v>138.80000000000001</v>
      </c>
      <c r="AJ20" s="13">
        <f>AI20*VLOOKUP('Données projet'!$B$10,Paramètres!$A$1:$I$89,3,0)*VLOOKUP('Données projet'!$B$10,Paramètres!$A$1:$I$89,5,0)</f>
        <v>83.002400000000009</v>
      </c>
      <c r="AK20" s="13">
        <f t="shared" si="35"/>
        <v>22.869705036637765</v>
      </c>
      <c r="AL20" s="20">
        <f t="shared" si="4"/>
        <v>184.39391627214411</v>
      </c>
      <c r="AM20" s="59">
        <f t="shared" si="5"/>
        <v>461.83836071658857</v>
      </c>
      <c r="AN20" s="59">
        <f ca="1">AVERAGE(OFFSET($AM$3,0,0,'Données projet'!$E$10+1,1))-AVERAGE(OFFSET($H$3,0,0,'Données projet'!$E$10+1,1))</f>
        <v>504.81063008331739</v>
      </c>
      <c r="AO20" s="59">
        <f t="shared" si="36"/>
        <v>441.82647565372287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4.7395243974457877</v>
      </c>
      <c r="AX20" s="21">
        <f t="shared" si="6"/>
        <v>4.7395243974457877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11.6</v>
      </c>
      <c r="BD20" s="12">
        <f>IF('Données projet'!$A$88&gt;35,BD19+BC20-BL19,IF(A20&lt;'Données projet'!$A$88,$BA$205^A20,IF(A20='Données projet'!$A$88,'Données projet'!$B$88,BD19+BC20-BL19)))</f>
        <v>45.2</v>
      </c>
      <c r="BE20" s="13">
        <f>BD20*VLOOKUP('Données projet'!$B$11,Paramètres!$A$1:$I$89,3,0)*VLOOKUP('Données projet'!$B$11,Paramètres!$A$1:$I$89,5,0)</f>
        <v>39.486720000000005</v>
      </c>
      <c r="BF20" s="13">
        <f t="shared" si="37"/>
        <v>11.862499896265861</v>
      </c>
      <c r="BG20" s="20">
        <f t="shared" si="7"/>
        <v>89.433224652663043</v>
      </c>
      <c r="BH20" s="59">
        <f t="shared" si="8"/>
        <v>366.87766909710751</v>
      </c>
      <c r="BI20" s="59">
        <f ca="1">AVERAGE(OFFSET($BH$3,0,0,'Données projet'!$E$11+1,1))-AVERAGE(OFFSET($H$3,0,0,'Données projet'!$E$11+1,1))</f>
        <v>324.86930206492627</v>
      </c>
      <c r="BJ20" s="59">
        <f t="shared" si="38"/>
        <v>317.03005098025352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3.65</v>
      </c>
      <c r="BY20" s="12">
        <f>IF('Données projet'!$A$114&gt;35,BY19+BX20-CG19,IF(A20&lt;'Données projet'!$A$114,$BV$205^A20,IF(A20='Données projet'!$A$114,'Données projet'!$B$114,BY19+BX20-CG19)))</f>
        <v>38.355215845858055</v>
      </c>
      <c r="BZ20" s="13">
        <f>BY20*VLOOKUP('Données projet'!$B$12,Paramètres!$A$1:$I$89,3,0)*VLOOKUP('Données projet'!$B$12,Paramètres!$A$1:$I$89,5,0)</f>
        <v>38.892188867700071</v>
      </c>
      <c r="CA20" s="13">
        <f t="shared" si="39"/>
        <v>11.704543208803392</v>
      </c>
      <c r="CB20" s="20">
        <f t="shared" si="10"/>
        <v>88.122641699910204</v>
      </c>
      <c r="CC20" s="59">
        <f t="shared" si="11"/>
        <v>365.56708614435468</v>
      </c>
      <c r="CD20" s="59">
        <f ca="1">AVERAGE(OFFSET($CC$3,0,0,'Données projet'!$E$12+1,1))-AVERAGE(OFFSET($H$3,0,0,'Données projet'!$E$12+1,1))</f>
        <v>487.18832528146936</v>
      </c>
      <c r="CE20" s="59">
        <f t="shared" si="40"/>
        <v>306.61893266146666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3.6141025641025637</v>
      </c>
      <c r="CT20" s="12">
        <f>IF('Données projet'!$A$140&gt;35,CT19+CS20-DB19,IF(A20&lt;'Données projet'!$A$140,$CQ$205^A20,IF(A20='Données projet'!$A$140,'Données projet'!$B$140,CT19+CS20-DB19)))</f>
        <v>14.231007443540239</v>
      </c>
      <c r="CU20" s="17">
        <f>CT20*VLOOKUP('Données projet'!$B$13,Paramètres!$A$1:$I$89,3,0)*VLOOKUP('Données projet'!$B$13,Paramètres!$A$1:$I$89,5,0)</f>
        <v>13.54222668327289</v>
      </c>
      <c r="CV20" s="13">
        <f t="shared" si="41"/>
        <v>4.6080100629797398</v>
      </c>
      <c r="CW20" s="20">
        <f t="shared" si="13"/>
        <v>31.61166233305666</v>
      </c>
      <c r="CX20" s="59">
        <f t="shared" si="14"/>
        <v>309.0561067775011</v>
      </c>
      <c r="CY20" s="59">
        <f ca="1">AVERAGE(OFFSET($CX$3,0,0,'Données projet'!$E$13+1,1))-AVERAGE(OFFSET($H$3,0,0,'Données projet'!$E$13+1,1))</f>
        <v>733.95677909788878</v>
      </c>
      <c r="CZ20" s="59">
        <f t="shared" si="42"/>
        <v>264.63778997972378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24</v>
      </c>
      <c r="N21" s="13">
        <f>IF('Données projet'!$A$36&gt;35,N20+M21-V20,IF(A21&lt;'Données projet'!$A$36,$K$205^A21,IF(A21='Données projet'!$A$36,'Données projet'!$B$36,N20+M21-V20)))</f>
        <v>150</v>
      </c>
      <c r="O21" s="13">
        <f>N21*VLOOKUP('Données projet'!$B$9,Paramètres!$A$1:$I$89,3,0)*VLOOKUP('Données projet'!$B$9,Paramètres!$A$1:$I$89,5,0)</f>
        <v>70.2</v>
      </c>
      <c r="P21" s="13">
        <f t="shared" si="33"/>
        <v>19.723116370112194</v>
      </c>
      <c r="Q21" s="20">
        <f t="shared" si="2"/>
        <v>156.61609434461207</v>
      </c>
      <c r="R21" s="59">
        <f t="shared" si="0"/>
        <v>435.28276101127875</v>
      </c>
      <c r="S21" s="59">
        <f ca="1">AVERAGE(OFFSET($R$3,0,0,'Données projet'!$E$9+1,1))-AVERAGE(OFFSET($H$3,0,0,'Données projet'!$E$9+1,1))</f>
        <v>488.67934252295686</v>
      </c>
      <c r="T21" s="59">
        <f t="shared" si="34"/>
        <v>424.50324471331095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21.4</v>
      </c>
      <c r="AI21" s="13">
        <f>IF('Données projet'!$A$62&gt;35,AI20+AH21-AQ20,IF(A21&lt;'Données projet'!$A$62,$AF$205^A21,IF(A21='Données projet'!$A$62,'Données projet'!$B$62,AI20+AH21-AQ20)))</f>
        <v>160.20000000000002</v>
      </c>
      <c r="AJ21" s="13">
        <f>AI21*VLOOKUP('Données projet'!$B$10,Paramètres!$A$1:$I$89,3,0)*VLOOKUP('Données projet'!$B$10,Paramètres!$A$1:$I$89,5,0)</f>
        <v>95.799600000000012</v>
      </c>
      <c r="AK21" s="13">
        <f t="shared" si="35"/>
        <v>25.958824745990441</v>
      </c>
      <c r="AL21" s="20">
        <f t="shared" si="4"/>
        <v>212.06258976593335</v>
      </c>
      <c r="AM21" s="59">
        <f t="shared" si="5"/>
        <v>490.72925643260004</v>
      </c>
      <c r="AN21" s="59">
        <f ca="1">AVERAGE(OFFSET($AM$3,0,0,'Données projet'!$E$10+1,1))-AVERAGE(OFFSET($H$3,0,0,'Données projet'!$E$10+1,1))</f>
        <v>504.81063008331739</v>
      </c>
      <c r="AO21" s="59">
        <f t="shared" si="36"/>
        <v>441.82647565372287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3.3513498410330023</v>
      </c>
      <c r="AX21" s="21">
        <f t="shared" si="6"/>
        <v>3.3513498410330023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11.6</v>
      </c>
      <c r="BD21" s="12">
        <f>IF('Données projet'!$A$88&gt;35,BD20+BC21-BL20,IF(A21&lt;'Données projet'!$A$88,$BA$205^A21,IF(A21='Données projet'!$A$88,'Données projet'!$B$88,BD20+BC21-BL20)))</f>
        <v>56.800000000000004</v>
      </c>
      <c r="BE21" s="13">
        <f>BD21*VLOOKUP('Données projet'!$B$11,Paramètres!$A$1:$I$89,3,0)*VLOOKUP('Données projet'!$B$11,Paramètres!$A$1:$I$89,5,0)</f>
        <v>49.620480000000015</v>
      </c>
      <c r="BF21" s="13">
        <f t="shared" si="37"/>
        <v>14.515703547444382</v>
      </c>
      <c r="BG21" s="20">
        <f t="shared" si="7"/>
        <v>111.70385301179901</v>
      </c>
      <c r="BH21" s="59">
        <f t="shared" si="8"/>
        <v>390.37051967846571</v>
      </c>
      <c r="BI21" s="59">
        <f ca="1">AVERAGE(OFFSET($BH$3,0,0,'Données projet'!$E$11+1,1))-AVERAGE(OFFSET($H$3,0,0,'Données projet'!$E$11+1,1))</f>
        <v>324.86930206492627</v>
      </c>
      <c r="BJ21" s="59">
        <f t="shared" si="38"/>
        <v>317.03005098025352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3.65</v>
      </c>
      <c r="BY21" s="12">
        <f>IF('Données projet'!$A$114&gt;35,BY20+BX21-CG20,IF(A21&lt;'Données projet'!$A$114,$BV$205^A21,IF(A21='Données projet'!$A$114,'Données projet'!$B$114,BY20+BX21-CG20)))</f>
        <v>47.532490941824946</v>
      </c>
      <c r="BZ21" s="13">
        <f>BY21*VLOOKUP('Données projet'!$B$12,Paramètres!$A$1:$I$89,3,0)*VLOOKUP('Données projet'!$B$12,Paramètres!$A$1:$I$89,5,0)</f>
        <v>48.197945815010499</v>
      </c>
      <c r="CA21" s="13">
        <f t="shared" si="39"/>
        <v>14.147381769152156</v>
      </c>
      <c r="CB21" s="20">
        <f t="shared" si="10"/>
        <v>108.58477887574996</v>
      </c>
      <c r="CC21" s="59">
        <f t="shared" si="11"/>
        <v>387.25144554241666</v>
      </c>
      <c r="CD21" s="59">
        <f ca="1">AVERAGE(OFFSET($CC$3,0,0,'Données projet'!$E$12+1,1))-AVERAGE(OFFSET($H$3,0,0,'Données projet'!$E$12+1,1))</f>
        <v>487.18832528146936</v>
      </c>
      <c r="CE21" s="59">
        <f t="shared" si="40"/>
        <v>306.61893266146666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3.6141025641025637</v>
      </c>
      <c r="CT21" s="12">
        <f>IF('Données projet'!$A$140&gt;35,CT20+CS21-DB20,IF(A21&lt;'Données projet'!$A$140,$CQ$205^A21,IF(A21='Données projet'!$A$140,'Données projet'!$B$140,CT20+CS21-DB20)))</f>
        <v>16.636924155050774</v>
      </c>
      <c r="CU21" s="17">
        <f>CT21*VLOOKUP('Données projet'!$B$13,Paramètres!$A$1:$I$89,3,0)*VLOOKUP('Données projet'!$B$13,Paramètres!$A$1:$I$89,5,0)</f>
        <v>15.831697025946319</v>
      </c>
      <c r="CV21" s="13">
        <f t="shared" si="41"/>
        <v>5.2899861800647283</v>
      </c>
      <c r="CW21" s="20">
        <f t="shared" si="13"/>
        <v>36.786931583802577</v>
      </c>
      <c r="CX21" s="59">
        <f t="shared" si="14"/>
        <v>315.45359825046927</v>
      </c>
      <c r="CY21" s="59">
        <f ca="1">AVERAGE(OFFSET($CX$3,0,0,'Données projet'!$E$13+1,1))-AVERAGE(OFFSET($H$3,0,0,'Données projet'!$E$13+1,1))</f>
        <v>733.95677909788878</v>
      </c>
      <c r="CZ21" s="59">
        <f t="shared" si="42"/>
        <v>264.63778997972378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24</v>
      </c>
      <c r="N22" s="13">
        <f>IF('Données projet'!$A$36&gt;35,N21+M22-V21,IF(A22&lt;'Données projet'!$A$36,$K$205^A22,IF(A22='Données projet'!$A$36,'Données projet'!$B$36,N21+M22-V21)))</f>
        <v>174</v>
      </c>
      <c r="O22" s="13">
        <f>N22*VLOOKUP('Données projet'!$B$9,Paramètres!$A$1:$I$89,3,0)*VLOOKUP('Données projet'!$B$9,Paramètres!$A$1:$I$89,5,0)</f>
        <v>81.432000000000002</v>
      </c>
      <c r="P22" s="13">
        <f t="shared" si="33"/>
        <v>22.486953220240881</v>
      </c>
      <c r="Q22" s="20">
        <f t="shared" si="2"/>
        <v>180.99217685858619</v>
      </c>
      <c r="R22" s="59">
        <f t="shared" si="0"/>
        <v>460.88106574747508</v>
      </c>
      <c r="S22" s="59">
        <f ca="1">AVERAGE(OFFSET($R$3,0,0,'Données projet'!$E$9+1,1))-AVERAGE(OFFSET($H$3,0,0,'Données projet'!$E$9+1,1))</f>
        <v>488.67934252295686</v>
      </c>
      <c r="T22" s="59">
        <f t="shared" si="34"/>
        <v>424.50324471331095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21.4</v>
      </c>
      <c r="AI22" s="13">
        <f>IF('Données projet'!$A$62&gt;35,AI21+AH22-AQ21,IF(A22&lt;'Données projet'!$A$62,$AF$205^A22,IF(A22='Données projet'!$A$62,'Données projet'!$B$62,AI21+AH22-AQ21)))</f>
        <v>181.60000000000002</v>
      </c>
      <c r="AJ22" s="13">
        <f>AI22*VLOOKUP('Données projet'!$B$10,Paramètres!$A$1:$I$89,3,0)*VLOOKUP('Données projet'!$B$10,Paramètres!$A$1:$I$89,5,0)</f>
        <v>108.59680000000003</v>
      </c>
      <c r="AK22" s="13">
        <f t="shared" si="35"/>
        <v>29.000133087134955</v>
      </c>
      <c r="AL22" s="20">
        <f t="shared" si="4"/>
        <v>239.64799179342674</v>
      </c>
      <c r="AM22" s="59">
        <f t="shared" si="5"/>
        <v>519.53688068231554</v>
      </c>
      <c r="AN22" s="59">
        <f ca="1">AVERAGE(OFFSET($AM$3,0,0,'Données projet'!$E$10+1,1))-AVERAGE(OFFSET($H$3,0,0,'Données projet'!$E$10+1,1))</f>
        <v>504.81063008331739</v>
      </c>
      <c r="AO22" s="59">
        <f t="shared" si="36"/>
        <v>441.82647565372287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2.3697621987228943</v>
      </c>
      <c r="AX22" s="21">
        <f t="shared" si="6"/>
        <v>2.3697621987228943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11.6</v>
      </c>
      <c r="BD22" s="12">
        <f>IF('Données projet'!$A$88&gt;35,BD21+BC22-BL21,IF(A22&lt;'Données projet'!$A$88,$BA$205^A22,IF(A22='Données projet'!$A$88,'Données projet'!$B$88,BD21+BC22-BL21)))</f>
        <v>68.400000000000006</v>
      </c>
      <c r="BE22" s="13">
        <f>BD22*VLOOKUP('Données projet'!$B$11,Paramètres!$A$1:$I$89,3,0)*VLOOKUP('Données projet'!$B$11,Paramètres!$A$1:$I$89,5,0)</f>
        <v>59.754240000000017</v>
      </c>
      <c r="BF22" s="13">
        <f t="shared" si="37"/>
        <v>17.106118338764027</v>
      </c>
      <c r="BG22" s="20">
        <f t="shared" si="7"/>
        <v>133.8651241066807</v>
      </c>
      <c r="BH22" s="59">
        <f t="shared" si="8"/>
        <v>413.75401299556955</v>
      </c>
      <c r="BI22" s="59">
        <f ca="1">AVERAGE(OFFSET($BH$3,0,0,'Données projet'!$E$11+1,1))-AVERAGE(OFFSET($H$3,0,0,'Données projet'!$E$11+1,1))</f>
        <v>324.86930206492627</v>
      </c>
      <c r="BJ22" s="59">
        <f t="shared" si="38"/>
        <v>317.03005098025352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3.65</v>
      </c>
      <c r="BY22" s="12">
        <f>IF('Données projet'!$A$114&gt;35,BY21+BX22-CG21,IF(A22&lt;'Données projet'!$A$114,$BV$205^A22,IF(A22='Données projet'!$A$114,'Données projet'!$B$114,BY21+BX22-CG21)))</f>
        <v>58.90561805764559</v>
      </c>
      <c r="BZ22" s="13">
        <f>BY22*VLOOKUP('Données projet'!$B$12,Paramètres!$A$1:$I$89,3,0)*VLOOKUP('Données projet'!$B$12,Paramètres!$A$1:$I$89,5,0)</f>
        <v>59.730296710452635</v>
      </c>
      <c r="CA22" s="13">
        <f t="shared" si="39"/>
        <v>17.100061689857345</v>
      </c>
      <c r="CB22" s="20">
        <f t="shared" si="10"/>
        <v>133.81287421387319</v>
      </c>
      <c r="CC22" s="59">
        <f t="shared" si="11"/>
        <v>413.70176310276202</v>
      </c>
      <c r="CD22" s="59">
        <f ca="1">AVERAGE(OFFSET($CC$3,0,0,'Données projet'!$E$12+1,1))-AVERAGE(OFFSET($H$3,0,0,'Données projet'!$E$12+1,1))</f>
        <v>487.18832528146936</v>
      </c>
      <c r="CE22" s="59">
        <f t="shared" si="40"/>
        <v>306.61893266146666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3.6141025641025637</v>
      </c>
      <c r="CT22" s="12">
        <f>IF('Données projet'!$A$140&gt;35,CT21+CS22-DB21,IF(A22&lt;'Données projet'!$A$140,$CQ$205^A22,IF(A22='Données projet'!$A$140,'Données projet'!$B$140,CT21+CS22-DB21)))</f>
        <v>19.449588965435588</v>
      </c>
      <c r="CU22" s="17">
        <f>CT22*VLOOKUP('Données projet'!$B$13,Paramètres!$A$1:$I$89,3,0)*VLOOKUP('Données projet'!$B$13,Paramètres!$A$1:$I$89,5,0)</f>
        <v>18.508228859508506</v>
      </c>
      <c r="CV22" s="13">
        <f t="shared" si="41"/>
        <v>6.0728933754064283</v>
      </c>
      <c r="CW22" s="20">
        <f t="shared" si="13"/>
        <v>42.812121225810181</v>
      </c>
      <c r="CX22" s="59">
        <f t="shared" si="14"/>
        <v>322.70101011469905</v>
      </c>
      <c r="CY22" s="59">
        <f ca="1">AVERAGE(OFFSET($CX$3,0,0,'Données projet'!$E$13+1,1))-AVERAGE(OFFSET($H$3,0,0,'Données projet'!$E$13+1,1))</f>
        <v>733.95677909788878</v>
      </c>
      <c r="CZ22" s="59">
        <f t="shared" si="42"/>
        <v>264.63778997972378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198</v>
      </c>
      <c r="L23" s="12">
        <f>VLOOKUP(A23,'Données projet'!$A$35:$I$55,9,0)</f>
        <v>24</v>
      </c>
      <c r="M23" s="12">
        <f t="array" ref="M23">INDEX(L:L,MIN(IF(ISNUMBER(L23:L219),ROW(L23:L219),"")))</f>
        <v>24</v>
      </c>
      <c r="N23" s="13">
        <f>IF('Données projet'!$A$36&gt;35,N22+M23-V22,IF(A23&lt;'Données projet'!$A$36,$K$205^A23,IF(A23='Données projet'!$A$36,'Données projet'!$B$36,N22+M23-V22)))</f>
        <v>198</v>
      </c>
      <c r="O23" s="13">
        <f>N23*VLOOKUP('Données projet'!$B$9,Paramètres!$A$1:$I$89,3,0)*VLOOKUP('Données projet'!$B$9,Paramètres!$A$1:$I$89,5,0)</f>
        <v>92.664000000000001</v>
      </c>
      <c r="P23" s="13">
        <f t="shared" si="33"/>
        <v>25.206622814445748</v>
      </c>
      <c r="Q23" s="20">
        <f t="shared" si="2"/>
        <v>205.29133473515969</v>
      </c>
      <c r="R23" s="59">
        <f t="shared" si="0"/>
        <v>486.40244584627084</v>
      </c>
      <c r="S23" s="59">
        <f ca="1">AVERAGE(OFFSET($R$3,0,0,'Données projet'!$E$9+1,1))-AVERAGE(OFFSET($H$3,0,0,'Données projet'!$E$9+1,1))</f>
        <v>488.67934252295686</v>
      </c>
      <c r="T23" s="59">
        <f t="shared" si="34"/>
        <v>424.50324471331095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49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1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25.964351046876914</v>
      </c>
      <c r="AC23" s="22">
        <f t="shared" si="3"/>
        <v>25.964351046876914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203</v>
      </c>
      <c r="AG23" s="12">
        <f>VLOOKUP(A23,'Données projet'!$A$61:$I$81,9,0)</f>
        <v>21.4</v>
      </c>
      <c r="AH23" s="12">
        <f t="array" ref="AH23">INDEX(AG:AG,MIN(IF(ISNUMBER(AG23:AG219),ROW(AG23:AG219),"")))</f>
        <v>21.4</v>
      </c>
      <c r="AI23" s="13">
        <f>IF('Données projet'!$A$62&gt;35,AI22+AH23-AQ22,IF(A23&lt;'Données projet'!$A$62,$AF$205^A23,IF(A23='Données projet'!$A$62,'Données projet'!$B$62,AI22+AH23-AQ22)))</f>
        <v>203.00000000000003</v>
      </c>
      <c r="AJ23" s="13">
        <f>AI23*VLOOKUP('Données projet'!$B$10,Paramètres!$A$1:$I$89,3,0)*VLOOKUP('Données projet'!$B$10,Paramètres!$A$1:$I$89,5,0)</f>
        <v>121.39400000000003</v>
      </c>
      <c r="AK23" s="13">
        <f t="shared" si="35"/>
        <v>31.999908030972463</v>
      </c>
      <c r="AL23" s="20">
        <f t="shared" si="4"/>
        <v>267.16105648727711</v>
      </c>
      <c r="AM23" s="59">
        <f t="shared" si="5"/>
        <v>548.27216759838825</v>
      </c>
      <c r="AN23" s="59">
        <f ca="1">AVERAGE(OFFSET($AM$3,0,0,'Données projet'!$E$10+1,1))-AVERAGE(OFFSET($H$3,0,0,'Données projet'!$E$10+1,1))</f>
        <v>504.81063008331739</v>
      </c>
      <c r="AO23" s="59">
        <f t="shared" si="36"/>
        <v>441.82647565372287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63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0.45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22.401094880093407</v>
      </c>
      <c r="AW23" s="21">
        <f>EXP(-LN(2)/2)*AW22+(1-EXP(-LN(2)/2))/(LN(2)/2)*AQ23*AT23*VLOOKUP('Données projet'!$B$10,Paramètres!$A$1:$I$89,3,0)*0.475*44/12</f>
        <v>1.6756749205165016</v>
      </c>
      <c r="AX23" s="21">
        <f t="shared" si="6"/>
        <v>24.07676980060991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80</v>
      </c>
      <c r="BB23" s="12">
        <f>VLOOKUP(A23,'Données projet'!$A$87:$I$107,9,0)</f>
        <v>11.6</v>
      </c>
      <c r="BC23" s="12">
        <f t="array" ref="BC23">INDEX(BB:BB,MIN(IF(ISNUMBER(BB23:BB219),ROW(BB23:BB219),"")))</f>
        <v>11.6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69.888000000000005</v>
      </c>
      <c r="BF23" s="13">
        <f t="shared" si="37"/>
        <v>19.645641432461961</v>
      </c>
      <c r="BG23" s="20">
        <f t="shared" si="7"/>
        <v>155.93775882820458</v>
      </c>
      <c r="BH23" s="59">
        <f t="shared" si="8"/>
        <v>437.04886993931575</v>
      </c>
      <c r="BI23" s="59">
        <f ca="1">AVERAGE(OFFSET($BH$3,0,0,'Données projet'!$E$11+1,1))-AVERAGE(OFFSET($H$3,0,0,'Données projet'!$E$11+1,1))</f>
        <v>324.86930206492627</v>
      </c>
      <c r="BJ23" s="59">
        <f t="shared" si="38"/>
        <v>317.03005098025352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73</v>
      </c>
      <c r="BW23" s="12">
        <f>VLOOKUP(A23,'Données projet'!$A$113:$I$133,9,0)</f>
        <v>3.65</v>
      </c>
      <c r="BX23" s="12">
        <f t="array" ref="BX23">INDEX(BW:BW,MIN(IF(ISNUMBER(BW23:BW219),ROW(BW23:BW219),"")))</f>
        <v>3.65</v>
      </c>
      <c r="BY23" s="12">
        <f>IF('Données projet'!$A$114&gt;35,BY22+BX23-CG22,IF(A23&lt;'Données projet'!$A$114,$BV$205^A23,IF(A23='Données projet'!$A$114,'Données projet'!$B$114,BY22+BX23-CG22)))</f>
        <v>73</v>
      </c>
      <c r="BZ23" s="13">
        <f>BY23*VLOOKUP('Données projet'!$B$12,Paramètres!$A$1:$I$89,3,0)*VLOOKUP('Données projet'!$B$12,Paramètres!$A$1:$I$89,5,0)</f>
        <v>74.022000000000006</v>
      </c>
      <c r="CA23" s="13">
        <f t="shared" si="39"/>
        <v>20.668991235856851</v>
      </c>
      <c r="CB23" s="20">
        <f t="shared" si="10"/>
        <v>164.92014306911736</v>
      </c>
      <c r="CC23" s="59">
        <f t="shared" si="11"/>
        <v>446.03125418022853</v>
      </c>
      <c r="CD23" s="59">
        <f ca="1">AVERAGE(OFFSET($CC$3,0,0,'Données projet'!$E$12+1,1))-AVERAGE(OFFSET($H$3,0,0,'Données projet'!$E$12+1,1))</f>
        <v>487.18832528146936</v>
      </c>
      <c r="CE23" s="59">
        <f t="shared" si="40"/>
        <v>306.61893266146666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3.6141025641025637</v>
      </c>
      <c r="CT23" s="12">
        <f>IF('Données projet'!$A$140&gt;35,CT22+CS23-DB22,IF(A23&lt;'Données projet'!$A$140,$CQ$205^A23,IF(A23='Données projet'!$A$140,'Données projet'!$B$140,CT22+CS23-DB22)))</f>
        <v>22.73776735404245</v>
      </c>
      <c r="CU23" s="17">
        <f>CT23*VLOOKUP('Données projet'!$B$13,Paramètres!$A$1:$I$89,3,0)*VLOOKUP('Données projet'!$B$13,Paramètres!$A$1:$I$89,5,0)</f>
        <v>21.637259414106797</v>
      </c>
      <c r="CV23" s="13">
        <f t="shared" si="41"/>
        <v>6.9716692433030127</v>
      </c>
      <c r="CW23" s="20">
        <f t="shared" si="13"/>
        <v>49.827217411655418</v>
      </c>
      <c r="CX23" s="59">
        <f t="shared" si="14"/>
        <v>330.93832852276654</v>
      </c>
      <c r="CY23" s="59">
        <f ca="1">AVERAGE(OFFSET($CX$3,0,0,'Données projet'!$E$13+1,1))-AVERAGE(OFFSET($H$3,0,0,'Données projet'!$E$13+1,1))</f>
        <v>733.95677909788878</v>
      </c>
      <c r="CZ23" s="59">
        <f t="shared" si="42"/>
        <v>264.63778997972378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29.8</v>
      </c>
      <c r="N24" s="13">
        <f>IF('Données projet'!$A$36&gt;35,N23+M24-V23,IF(A24&lt;'Données projet'!$A$36,$K$205^A24,IF(A24='Données projet'!$A$36,'Données projet'!$B$36,N23+M24-V23)))</f>
        <v>178.8</v>
      </c>
      <c r="O24" s="13">
        <f>N24*VLOOKUP('Données projet'!$B$9,Paramètres!$A$1:$I$89,3,0)*VLOOKUP('Données projet'!$B$9,Paramètres!$A$1:$I$89,5,0)</f>
        <v>83.678399999999996</v>
      </c>
      <c r="P24" s="13">
        <f t="shared" si="33"/>
        <v>23.034205464980609</v>
      </c>
      <c r="Q24" s="20">
        <f t="shared" si="2"/>
        <v>185.85778785150788</v>
      </c>
      <c r="R24" s="59">
        <f t="shared" si="0"/>
        <v>468.19112118484122</v>
      </c>
      <c r="S24" s="59">
        <f ca="1">AVERAGE(OFFSET($R$3,0,0,'Données projet'!$E$9+1,1))-AVERAGE(OFFSET($H$3,0,0,'Données projet'!$E$9+1,1))</f>
        <v>488.67934252295686</v>
      </c>
      <c r="T24" s="59">
        <f t="shared" si="34"/>
        <v>424.50324471331095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18.359568694354699</v>
      </c>
      <c r="AC24" s="22">
        <f t="shared" si="3"/>
        <v>18.359568694354699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22.8</v>
      </c>
      <c r="AI24" s="13">
        <f>IF('Données projet'!$A$62&gt;35,AI23+AH24-AQ23,IF(A24&lt;'Données projet'!$A$62,$AF$205^A24,IF(A24='Données projet'!$A$62,'Données projet'!$B$62,AI23+AH24-AQ23)))</f>
        <v>162.80000000000004</v>
      </c>
      <c r="AJ24" s="13">
        <f>AI24*VLOOKUP('Données projet'!$B$10,Paramètres!$A$1:$I$89,3,0)*VLOOKUP('Données projet'!$B$10,Paramètres!$A$1:$I$89,5,0)</f>
        <v>97.354400000000027</v>
      </c>
      <c r="AK24" s="13">
        <f t="shared" si="35"/>
        <v>26.330739676620471</v>
      </c>
      <c r="AL24" s="20">
        <f t="shared" si="4"/>
        <v>215.41828493678068</v>
      </c>
      <c r="AM24" s="59">
        <f t="shared" si="5"/>
        <v>497.75161827011402</v>
      </c>
      <c r="AN24" s="59">
        <f ca="1">AVERAGE(OFFSET($AM$3,0,0,'Données projet'!$E$10+1,1))-AVERAGE(OFFSET($H$3,0,0,'Données projet'!$E$10+1,1))</f>
        <v>504.81063008331739</v>
      </c>
      <c r="AO24" s="59">
        <f t="shared" si="36"/>
        <v>441.82647565372287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21.78853576257487</v>
      </c>
      <c r="AW24" s="21">
        <f>EXP(-LN(2)/2)*AW23+(1-EXP(-LN(2)/2))/(LN(2)/2)*AQ24*AT24*VLOOKUP('Données projet'!$B$10,Paramètres!$A$1:$I$89,3,0)*0.475*44/12</f>
        <v>1.1848810993614474</v>
      </c>
      <c r="AX24" s="21">
        <f t="shared" si="6"/>
        <v>22.973416861936318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64.599999999999994</v>
      </c>
      <c r="BE24" s="13">
        <f>BD24*VLOOKUP('Données projet'!$B$11,Paramètres!$A$1:$I$89,3,0)*VLOOKUP('Données projet'!$B$11,Paramètres!$A$1:$I$89,5,0)</f>
        <v>56.434560000000005</v>
      </c>
      <c r="BF24" s="13">
        <f t="shared" si="37"/>
        <v>16.26362505907256</v>
      </c>
      <c r="BG24" s="20">
        <f t="shared" si="7"/>
        <v>126.61600564455136</v>
      </c>
      <c r="BH24" s="59">
        <f t="shared" si="8"/>
        <v>408.94933897788468</v>
      </c>
      <c r="BI24" s="59">
        <f ca="1">AVERAGE(OFFSET($BH$3,0,0,'Données projet'!$E$11+1,1))-AVERAGE(OFFSET($H$3,0,0,'Données projet'!$E$11+1,1))</f>
        <v>324.86930206492627</v>
      </c>
      <c r="BJ24" s="59">
        <f t="shared" si="38"/>
        <v>317.03005098025352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7.2</v>
      </c>
      <c r="BY24" s="12">
        <f>IF('Données projet'!$A$114&gt;35,BY23+BX24-CG23,IF(A24&lt;'Données projet'!$A$114,$BV$205^A24,IF(A24='Données projet'!$A$114,'Données projet'!$B$114,BY23+BX24-CG23)))</f>
        <v>74.2</v>
      </c>
      <c r="BZ24" s="13">
        <f>BY24*VLOOKUP('Données projet'!$B$12,Paramètres!$A$1:$I$89,3,0)*VLOOKUP('Données projet'!$B$12,Paramètres!$A$1:$I$89,5,0)</f>
        <v>75.238800000000012</v>
      </c>
      <c r="CA24" s="13">
        <f t="shared" si="39"/>
        <v>20.96892143970209</v>
      </c>
      <c r="CB24" s="20">
        <f t="shared" si="10"/>
        <v>167.56178150748116</v>
      </c>
      <c r="CC24" s="59">
        <f t="shared" si="11"/>
        <v>449.89511484081447</v>
      </c>
      <c r="CD24" s="59">
        <f ca="1">AVERAGE(OFFSET($CC$3,0,0,'Données projet'!$E$12+1,1))-AVERAGE(OFFSET($H$3,0,0,'Données projet'!$E$12+1,1))</f>
        <v>487.18832528146936</v>
      </c>
      <c r="CE24" s="59">
        <f t="shared" si="40"/>
        <v>306.61893266146666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3.6141025641025637</v>
      </c>
      <c r="CT24" s="12">
        <f>IF('Données projet'!$A$140&gt;35,CT23+CS24-DB23,IF(A24&lt;'Données projet'!$A$140,$CQ$205^A24,IF(A24='Données projet'!$A$140,'Données projet'!$B$140,CT23+CS24-DB23)))</f>
        <v>26.581850401329536</v>
      </c>
      <c r="CU24" s="17">
        <f>CT24*VLOOKUP('Données projet'!$B$13,Paramètres!$A$1:$I$89,3,0)*VLOOKUP('Données projet'!$B$13,Paramètres!$A$1:$I$89,5,0)</f>
        <v>25.295288841905183</v>
      </c>
      <c r="CV24" s="13">
        <f t="shared" si="41"/>
        <v>8.0034621116272078</v>
      </c>
      <c r="CW24" s="20">
        <f t="shared" si="13"/>
        <v>57.995324577402243</v>
      </c>
      <c r="CX24" s="59">
        <f t="shared" si="14"/>
        <v>340.32865791073556</v>
      </c>
      <c r="CY24" s="59">
        <f ca="1">AVERAGE(OFFSET($CX$3,0,0,'Données projet'!$E$13+1,1))-AVERAGE(OFFSET($H$3,0,0,'Données projet'!$E$13+1,1))</f>
        <v>733.95677909788878</v>
      </c>
      <c r="CZ24" s="59">
        <f t="shared" si="42"/>
        <v>264.63778997972378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29.8</v>
      </c>
      <c r="N25" s="13">
        <f>IF('Données projet'!$A$36&gt;35,N24+M25-V24,IF(A25&lt;'Données projet'!$A$36,$K$205^A25,IF(A25='Données projet'!$A$36,'Données projet'!$B$36,N24+M25-V24)))</f>
        <v>208.60000000000002</v>
      </c>
      <c r="O25" s="13">
        <f>N25*VLOOKUP('Données projet'!$B$9,Paramètres!$A$1:$I$89,3,0)*VLOOKUP('Données projet'!$B$9,Paramètres!$A$1:$I$89,5,0)</f>
        <v>97.624800000000008</v>
      </c>
      <c r="P25" s="13">
        <f t="shared" si="33"/>
        <v>26.395349675372152</v>
      </c>
      <c r="Q25" s="20">
        <f t="shared" si="2"/>
        <v>216.00176068460652</v>
      </c>
      <c r="R25" s="59">
        <f t="shared" si="0"/>
        <v>499.55731624016209</v>
      </c>
      <c r="S25" s="59">
        <f ca="1">AVERAGE(OFFSET($R$3,0,0,'Données projet'!$E$9+1,1))-AVERAGE(OFFSET($H$3,0,0,'Données projet'!$E$9+1,1))</f>
        <v>488.67934252295686</v>
      </c>
      <c r="T25" s="59">
        <f t="shared" si="34"/>
        <v>424.50324471331095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12.982175523438457</v>
      </c>
      <c r="AC25" s="22">
        <f t="shared" si="3"/>
        <v>12.982175523438457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22.8</v>
      </c>
      <c r="AI25" s="13">
        <f>IF('Données projet'!$A$62&gt;35,AI24+AH25-AQ24,IF(A25&lt;'Données projet'!$A$62,$AF$205^A25,IF(A25='Données projet'!$A$62,'Données projet'!$B$62,AI24+AH25-AQ24)))</f>
        <v>185.60000000000005</v>
      </c>
      <c r="AJ25" s="13">
        <f>AI25*VLOOKUP('Données projet'!$B$10,Paramètres!$A$1:$I$89,3,0)*VLOOKUP('Données projet'!$B$10,Paramètres!$A$1:$I$89,5,0)</f>
        <v>110.98880000000004</v>
      </c>
      <c r="AK25" s="13">
        <f t="shared" si="35"/>
        <v>29.56383208945169</v>
      </c>
      <c r="AL25" s="20">
        <f t="shared" si="4"/>
        <v>244.79583422246174</v>
      </c>
      <c r="AM25" s="59">
        <f t="shared" si="5"/>
        <v>528.35138977801728</v>
      </c>
      <c r="AN25" s="59">
        <f ca="1">AVERAGE(OFFSET($AM$3,0,0,'Données projet'!$E$10+1,1))-AVERAGE(OFFSET($H$3,0,0,'Données projet'!$E$10+1,1))</f>
        <v>504.81063008331739</v>
      </c>
      <c r="AO25" s="59">
        <f t="shared" si="36"/>
        <v>441.82647565372287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21.192727106337962</v>
      </c>
      <c r="AW25" s="21">
        <f>EXP(-LN(2)/2)*AW24+(1-EXP(-LN(2)/2))/(LN(2)/2)*AQ25*AT25*VLOOKUP('Données projet'!$B$10,Paramètres!$A$1:$I$89,3,0)*0.475*44/12</f>
        <v>0.8378374602582509</v>
      </c>
      <c r="AX25" s="21">
        <f t="shared" si="6"/>
        <v>22.030564566596212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77.199999999999989</v>
      </c>
      <c r="BE25" s="13">
        <f>BD25*VLOOKUP('Données projet'!$B$11,Paramètres!$A$1:$I$89,3,0)*VLOOKUP('Données projet'!$B$11,Paramètres!$A$1:$I$89,5,0)</f>
        <v>67.441919999999996</v>
      </c>
      <c r="BF25" s="13">
        <f t="shared" si="37"/>
        <v>19.036826299015036</v>
      </c>
      <c r="BG25" s="20">
        <f t="shared" si="7"/>
        <v>150.61714980411784</v>
      </c>
      <c r="BH25" s="59">
        <f t="shared" si="8"/>
        <v>434.17270535967339</v>
      </c>
      <c r="BI25" s="59">
        <f ca="1">AVERAGE(OFFSET($BH$3,0,0,'Données projet'!$E$11+1,1))-AVERAGE(OFFSET($H$3,0,0,'Données projet'!$E$11+1,1))</f>
        <v>324.86930206492627</v>
      </c>
      <c r="BJ25" s="59">
        <f t="shared" si="38"/>
        <v>317.03005098025352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7.2</v>
      </c>
      <c r="BY25" s="12">
        <f>IF('Données projet'!$A$114&gt;35,BY24+BX25-CG24,IF(A25&lt;'Données projet'!$A$114,$BV$205^A25,IF(A25='Données projet'!$A$114,'Données projet'!$B$114,BY24+BX25-CG24)))</f>
        <v>81.400000000000006</v>
      </c>
      <c r="BZ25" s="13">
        <f>BY25*VLOOKUP('Données projet'!$B$12,Paramètres!$A$1:$I$89,3,0)*VLOOKUP('Données projet'!$B$12,Paramètres!$A$1:$I$89,5,0)</f>
        <v>82.539600000000007</v>
      </c>
      <c r="CA25" s="13">
        <f t="shared" si="39"/>
        <v>22.756995627482848</v>
      </c>
      <c r="CB25" s="20">
        <f t="shared" si="10"/>
        <v>183.39157071786599</v>
      </c>
      <c r="CC25" s="59">
        <f t="shared" si="11"/>
        <v>466.94712627342153</v>
      </c>
      <c r="CD25" s="59">
        <f ca="1">AVERAGE(OFFSET($CC$3,0,0,'Données projet'!$E$12+1,1))-AVERAGE(OFFSET($H$3,0,0,'Données projet'!$E$12+1,1))</f>
        <v>487.18832528146936</v>
      </c>
      <c r="CE25" s="59">
        <f t="shared" si="40"/>
        <v>306.61893266146666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3.6141025641025637</v>
      </c>
      <c r="CT25" s="12">
        <f>IF('Données projet'!$A$140&gt;35,CT24+CS25-DB24,IF(A25&lt;'Données projet'!$A$140,$CQ$205^A25,IF(A25='Données projet'!$A$140,'Données projet'!$B$140,CT24+CS25-DB24)))</f>
        <v>31.075820231445945</v>
      </c>
      <c r="CU25" s="17">
        <f>CT25*VLOOKUP('Données projet'!$B$13,Paramètres!$A$1:$I$89,3,0)*VLOOKUP('Données projet'!$B$13,Paramètres!$A$1:$I$89,5,0)</f>
        <v>29.571750532243964</v>
      </c>
      <c r="CV25" s="13">
        <f t="shared" si="41"/>
        <v>9.1879582258989032</v>
      </c>
      <c r="CW25" s="20">
        <f t="shared" si="13"/>
        <v>67.506492753765485</v>
      </c>
      <c r="CX25" s="59">
        <f t="shared" si="14"/>
        <v>351.06204830932103</v>
      </c>
      <c r="CY25" s="59">
        <f ca="1">AVERAGE(OFFSET($CX$3,0,0,'Données projet'!$E$13+1,1))-AVERAGE(OFFSET($H$3,0,0,'Données projet'!$E$13+1,1))</f>
        <v>733.95677909788878</v>
      </c>
      <c r="CZ25" s="59">
        <f t="shared" si="42"/>
        <v>264.63778997972378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29.8</v>
      </c>
      <c r="N26" s="13">
        <f>IF('Données projet'!$A$36&gt;35,N25+M26-V25,IF(A26&lt;'Données projet'!$A$36,$K$205^A26,IF(A26='Données projet'!$A$36,'Données projet'!$B$36,N25+M26-V25)))</f>
        <v>238.40000000000003</v>
      </c>
      <c r="O26" s="13">
        <f>N26*VLOOKUP('Données projet'!$B$9,Paramètres!$A$1:$I$89,3,0)*VLOOKUP('Données projet'!$B$9,Paramètres!$A$1:$I$89,5,0)</f>
        <v>111.57120000000002</v>
      </c>
      <c r="P26" s="13">
        <f t="shared" si="33"/>
        <v>29.700865431716629</v>
      </c>
      <c r="Q26" s="20">
        <f t="shared" si="2"/>
        <v>246.04884729357317</v>
      </c>
      <c r="R26" s="59">
        <f t="shared" si="0"/>
        <v>530.82662507135092</v>
      </c>
      <c r="S26" s="59">
        <f ca="1">AVERAGE(OFFSET($R$3,0,0,'Données projet'!$E$9+1,1))-AVERAGE(OFFSET($H$3,0,0,'Données projet'!$E$9+1,1))</f>
        <v>488.67934252295686</v>
      </c>
      <c r="T26" s="59">
        <f t="shared" si="34"/>
        <v>424.50324471331095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9.1797843471773497</v>
      </c>
      <c r="AC26" s="22">
        <f t="shared" si="3"/>
        <v>9.1797843471773497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22.8</v>
      </c>
      <c r="AI26" s="13">
        <f>IF('Données projet'!$A$62&gt;35,AI25+AH26-AQ25,IF(A26&lt;'Données projet'!$A$62,$AF$205^A26,IF(A26='Données projet'!$A$62,'Données projet'!$B$62,AI25+AH26-AQ25)))</f>
        <v>208.40000000000006</v>
      </c>
      <c r="AJ26" s="13">
        <f>AI26*VLOOKUP('Données projet'!$B$10,Paramètres!$A$1:$I$89,3,0)*VLOOKUP('Données projet'!$B$10,Paramètres!$A$1:$I$89,5,0)</f>
        <v>124.62320000000004</v>
      </c>
      <c r="AK26" s="13">
        <f t="shared" si="35"/>
        <v>32.750900958675722</v>
      </c>
      <c r="AL26" s="20">
        <f t="shared" si="4"/>
        <v>274.09322583636032</v>
      </c>
      <c r="AM26" s="59">
        <f t="shared" si="5"/>
        <v>558.87100361413809</v>
      </c>
      <c r="AN26" s="59">
        <f ca="1">AVERAGE(OFFSET($AM$3,0,0,'Données projet'!$E$10+1,1))-AVERAGE(OFFSET($H$3,0,0,'Données projet'!$E$10+1,1))</f>
        <v>504.81063008331739</v>
      </c>
      <c r="AO26" s="59">
        <f t="shared" si="36"/>
        <v>441.82647565372287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20.613210869138069</v>
      </c>
      <c r="AW26" s="21">
        <f>EXP(-LN(2)/2)*AW25+(1-EXP(-LN(2)/2))/(LN(2)/2)*AQ26*AT26*VLOOKUP('Données projet'!$B$10,Paramètres!$A$1:$I$89,3,0)*0.475*44/12</f>
        <v>0.59244054968072379</v>
      </c>
      <c r="AX26" s="21">
        <f t="shared" si="6"/>
        <v>21.205651418818793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89.799999999999983</v>
      </c>
      <c r="BE26" s="13">
        <f>BD26*VLOOKUP('Données projet'!$B$11,Paramètres!$A$1:$I$89,3,0)*VLOOKUP('Données projet'!$B$11,Paramètres!$A$1:$I$89,5,0)</f>
        <v>78.449280000000002</v>
      </c>
      <c r="BF26" s="13">
        <f t="shared" si="37"/>
        <v>21.757594161482565</v>
      </c>
      <c r="BG26" s="20">
        <f t="shared" si="7"/>
        <v>174.52697249791549</v>
      </c>
      <c r="BH26" s="59">
        <f t="shared" si="8"/>
        <v>459.30475027569327</v>
      </c>
      <c r="BI26" s="59">
        <f ca="1">AVERAGE(OFFSET($BH$3,0,0,'Données projet'!$E$11+1,1))-AVERAGE(OFFSET($H$3,0,0,'Données projet'!$E$11+1,1))</f>
        <v>324.86930206492627</v>
      </c>
      <c r="BJ26" s="59">
        <f t="shared" si="38"/>
        <v>317.03005098025352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7.2</v>
      </c>
      <c r="BY26" s="12">
        <f>IF('Données projet'!$A$114&gt;35,BY25+BX26-CG25,IF(A26&lt;'Données projet'!$A$114,$BV$205^A26,IF(A26='Données projet'!$A$114,'Données projet'!$B$114,BY25+BX26-CG25)))</f>
        <v>88.600000000000009</v>
      </c>
      <c r="BZ26" s="13">
        <f>BY26*VLOOKUP('Données projet'!$B$12,Paramètres!$A$1:$I$89,3,0)*VLOOKUP('Données projet'!$B$12,Paramètres!$A$1:$I$89,5,0)</f>
        <v>89.840400000000017</v>
      </c>
      <c r="CA26" s="13">
        <f t="shared" si="39"/>
        <v>24.526729341796202</v>
      </c>
      <c r="CB26" s="20">
        <f t="shared" si="10"/>
        <v>199.18941693696172</v>
      </c>
      <c r="CC26" s="59">
        <f t="shared" si="11"/>
        <v>483.96719471473949</v>
      </c>
      <c r="CD26" s="59">
        <f ca="1">AVERAGE(OFFSET($CC$3,0,0,'Données projet'!$E$12+1,1))-AVERAGE(OFFSET($H$3,0,0,'Données projet'!$E$12+1,1))</f>
        <v>487.18832528146936</v>
      </c>
      <c r="CE26" s="59">
        <f t="shared" si="40"/>
        <v>306.61893266146666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3.6141025641025637</v>
      </c>
      <c r="CT26" s="12">
        <f>IF('Données projet'!$A$140&gt;35,CT25+CS26-DB25,IF(A26&lt;'Données projet'!$A$140,$CQ$205^A26,IF(A26='Données projet'!$A$140,'Données projet'!$B$140,CT25+CS26-DB25)))</f>
        <v>36.329547735655126</v>
      </c>
      <c r="CU26" s="17">
        <f>CT26*VLOOKUP('Données projet'!$B$13,Paramètres!$A$1:$I$89,3,0)*VLOOKUP('Données projet'!$B$13,Paramètres!$A$1:$I$89,5,0)</f>
        <v>34.571197625249418</v>
      </c>
      <c r="CV26" s="13">
        <f t="shared" si="41"/>
        <v>10.547757355935035</v>
      </c>
      <c r="CW26" s="20">
        <f t="shared" si="13"/>
        <v>78.582179925562912</v>
      </c>
      <c r="CX26" s="59">
        <f t="shared" si="14"/>
        <v>363.35995770334068</v>
      </c>
      <c r="CY26" s="59">
        <f ca="1">AVERAGE(OFFSET($CX$3,0,0,'Données projet'!$E$13+1,1))-AVERAGE(OFFSET($H$3,0,0,'Données projet'!$E$13+1,1))</f>
        <v>733.95677909788878</v>
      </c>
      <c r="CZ26" s="59">
        <f t="shared" si="42"/>
        <v>264.63778997972378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29.8</v>
      </c>
      <c r="N27" s="13">
        <f>IF('Données projet'!$A$36&gt;35,N26+M27-V26,IF(A27&lt;'Données projet'!$A$36,$K$205^A27,IF(A27='Données projet'!$A$36,'Données projet'!$B$36,N26+M27-V26)))</f>
        <v>268.20000000000005</v>
      </c>
      <c r="O27" s="13">
        <f>N27*VLOOKUP('Données projet'!$B$9,Paramètres!$A$1:$I$89,3,0)*VLOOKUP('Données projet'!$B$9,Paramètres!$A$1:$I$89,5,0)</f>
        <v>125.51760000000002</v>
      </c>
      <c r="P27" s="13">
        <f t="shared" si="33"/>
        <v>32.95850265342969</v>
      </c>
      <c r="Q27" s="20">
        <f t="shared" si="2"/>
        <v>276.01254545472335</v>
      </c>
      <c r="R27" s="59">
        <f t="shared" si="0"/>
        <v>562.01254545472329</v>
      </c>
      <c r="S27" s="59">
        <f ca="1">AVERAGE(OFFSET($R$3,0,0,'Données projet'!$E$9+1,1))-AVERAGE(OFFSET($H$3,0,0,'Données projet'!$E$9+1,1))</f>
        <v>488.67934252295686</v>
      </c>
      <c r="T27" s="59">
        <f t="shared" si="34"/>
        <v>424.50324471331095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6.4910877617192284</v>
      </c>
      <c r="AC27" s="22">
        <f t="shared" si="3"/>
        <v>6.4910877617192284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22.8</v>
      </c>
      <c r="AI27" s="13">
        <f>IF('Données projet'!$A$62&gt;35,AI26+AH27-AQ26,IF(A27&lt;'Données projet'!$A$62,$AF$205^A27,IF(A27='Données projet'!$A$62,'Données projet'!$B$62,AI26+AH27-AQ26)))</f>
        <v>231.20000000000007</v>
      </c>
      <c r="AJ27" s="13">
        <f>AI27*VLOOKUP('Données projet'!$B$10,Paramètres!$A$1:$I$89,3,0)*VLOOKUP('Données projet'!$B$10,Paramètres!$A$1:$I$89,5,0)</f>
        <v>138.25760000000005</v>
      </c>
      <c r="AK27" s="13">
        <f t="shared" si="35"/>
        <v>35.897555647294986</v>
      </c>
      <c r="AL27" s="20">
        <f t="shared" si="4"/>
        <v>303.32022941903887</v>
      </c>
      <c r="AM27" s="59">
        <f t="shared" si="5"/>
        <v>589.32022941903892</v>
      </c>
      <c r="AN27" s="59">
        <f ca="1">AVERAGE(OFFSET($AM$3,0,0,'Données projet'!$E$10+1,1))-AVERAGE(OFFSET($H$3,0,0,'Données projet'!$E$10+1,1))</f>
        <v>504.81063008331739</v>
      </c>
      <c r="AO27" s="59">
        <f t="shared" si="36"/>
        <v>441.82647565372287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20.04954153391984</v>
      </c>
      <c r="AW27" s="21">
        <f>EXP(-LN(2)/2)*AW26+(1-EXP(-LN(2)/2))/(LN(2)/2)*AQ27*AT27*VLOOKUP('Données projet'!$B$10,Paramètres!$A$1:$I$89,3,0)*0.475*44/12</f>
        <v>0.41891873012912551</v>
      </c>
      <c r="AX27" s="21">
        <f t="shared" si="6"/>
        <v>20.468460264048964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102.39999999999998</v>
      </c>
      <c r="BE27" s="13">
        <f>BD27*VLOOKUP('Données projet'!$B$11,Paramètres!$A$1:$I$89,3,0)*VLOOKUP('Données projet'!$B$11,Paramètres!$A$1:$I$89,5,0)</f>
        <v>89.456639999999993</v>
      </c>
      <c r="BF27" s="13">
        <f t="shared" si="37"/>
        <v>24.434133496437113</v>
      </c>
      <c r="BG27" s="20">
        <f t="shared" si="7"/>
        <v>198.35976383962796</v>
      </c>
      <c r="BH27" s="59">
        <f t="shared" si="8"/>
        <v>484.35976383962793</v>
      </c>
      <c r="BI27" s="59">
        <f ca="1">AVERAGE(OFFSET($BH$3,0,0,'Données projet'!$E$11+1,1))-AVERAGE(OFFSET($H$3,0,0,'Données projet'!$E$11+1,1))</f>
        <v>324.86930206492627</v>
      </c>
      <c r="BJ27" s="59">
        <f t="shared" si="38"/>
        <v>317.03005098025352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7.2</v>
      </c>
      <c r="BY27" s="12">
        <f>IF('Données projet'!$A$114&gt;35,BY26+BX27-CG26,IF(A27&lt;'Données projet'!$A$114,$BV$205^A27,IF(A27='Données projet'!$A$114,'Données projet'!$B$114,BY26+BX27-CG26)))</f>
        <v>95.800000000000011</v>
      </c>
      <c r="BZ27" s="13">
        <f>BY27*VLOOKUP('Données projet'!$B$12,Paramètres!$A$1:$I$89,3,0)*VLOOKUP('Données projet'!$B$12,Paramètres!$A$1:$I$89,5,0)</f>
        <v>97.141200000000026</v>
      </c>
      <c r="CA27" s="13">
        <f t="shared" si="39"/>
        <v>26.279782450761708</v>
      </c>
      <c r="CB27" s="20">
        <f t="shared" si="10"/>
        <v>214.95821110174333</v>
      </c>
      <c r="CC27" s="59">
        <f t="shared" si="11"/>
        <v>500.95821110174336</v>
      </c>
      <c r="CD27" s="59">
        <f ca="1">AVERAGE(OFFSET($CC$3,0,0,'Données projet'!$E$12+1,1))-AVERAGE(OFFSET($H$3,0,0,'Données projet'!$E$12+1,1))</f>
        <v>487.18832528146936</v>
      </c>
      <c r="CE27" s="59">
        <f t="shared" si="40"/>
        <v>306.61893266146666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3.6141025641025637</v>
      </c>
      <c r="CT27" s="12">
        <f>IF('Données projet'!$A$140&gt;35,CT26+CS27-DB26,IF(A27&lt;'Données projet'!$A$140,$CQ$205^A27,IF(A27='Données projet'!$A$140,'Données projet'!$B$140,CT26+CS27-DB26)))</f>
        <v>42.47147875252827</v>
      </c>
      <c r="CU27" s="17">
        <f>CT27*VLOOKUP('Données projet'!$B$13,Paramètres!$A$1:$I$89,3,0)*VLOOKUP('Données projet'!$B$13,Paramètres!$A$1:$I$89,5,0)</f>
        <v>40.415859180905905</v>
      </c>
      <c r="CV27" s="13">
        <f t="shared" si="41"/>
        <v>12.108803991519782</v>
      </c>
      <c r="CW27" s="20">
        <f t="shared" si="13"/>
        <v>91.480455025308061</v>
      </c>
      <c r="CX27" s="59">
        <f t="shared" si="14"/>
        <v>377.48045502530806</v>
      </c>
      <c r="CY27" s="59">
        <f ca="1">AVERAGE(OFFSET($CX$3,0,0,'Données projet'!$E$13+1,1))-AVERAGE(OFFSET($H$3,0,0,'Données projet'!$E$13+1,1))</f>
        <v>733.95677909788878</v>
      </c>
      <c r="CZ27" s="59">
        <f t="shared" si="42"/>
        <v>264.63778997972378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298</v>
      </c>
      <c r="L28" s="12">
        <f>VLOOKUP(A28,'Données projet'!$A$35:$I$55,9,0)</f>
        <v>29.8</v>
      </c>
      <c r="M28" s="12">
        <f t="array" ref="M28">INDEX(L:L,MIN(IF(ISNUMBER(L28:L224),ROW(L28:L224),"")))</f>
        <v>29.8</v>
      </c>
      <c r="N28" s="13">
        <f>IF('Données projet'!$A$36&gt;35,N27+M28-V27,IF(A28&lt;'Données projet'!$A$36,$K$205^A28,IF(A28='Données projet'!$A$36,'Données projet'!$B$36,N27+M28-V27)))</f>
        <v>298.00000000000006</v>
      </c>
      <c r="O28" s="13">
        <f>N28*VLOOKUP('Données projet'!$B$9,Paramètres!$A$1:$I$89,3,0)*VLOOKUP('Données projet'!$B$9,Paramètres!$A$1:$I$89,5,0)</f>
        <v>139.46400000000003</v>
      </c>
      <c r="P28" s="13">
        <f t="shared" si="33"/>
        <v>36.174188022271792</v>
      </c>
      <c r="Q28" s="20">
        <f t="shared" si="2"/>
        <v>305.90317747212345</v>
      </c>
      <c r="R28" s="59">
        <f t="shared" si="0"/>
        <v>593.12539969434567</v>
      </c>
      <c r="S28" s="59">
        <f ca="1">AVERAGE(OFFSET($R$3,0,0,'Données projet'!$E$9+1,1))-AVERAGE(OFFSET($H$3,0,0,'Données projet'!$E$9+1,1))</f>
        <v>488.67934252295686</v>
      </c>
      <c r="T28" s="59">
        <f t="shared" si="34"/>
        <v>424.50324471331095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77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0.55000000000000004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26.188719618273449</v>
      </c>
      <c r="AB28" s="21">
        <f>EXP(-LN(2)/2)*AB27+(1-EXP(-LN(2)/2))/(LN(2)/2)*V28*Y28*VLOOKUP('Données projet'!$B$9,Paramètres!$A$1:$I$89,3,0)*0.475*44/12</f>
        <v>4.5898921735886749</v>
      </c>
      <c r="AC28" s="22">
        <f t="shared" si="3"/>
        <v>30.778611791862126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254</v>
      </c>
      <c r="AG28" s="12">
        <f>VLOOKUP(A28,'Données projet'!$A$61:$I$81,9,0)</f>
        <v>22.8</v>
      </c>
      <c r="AH28" s="12">
        <f t="array" ref="AH28">INDEX(AG:AG,MIN(IF(ISNUMBER(AG28:AG224),ROW(AG28:AG224),"")))</f>
        <v>22.8</v>
      </c>
      <c r="AI28" s="13">
        <f>IF('Données projet'!$A$62&gt;35,AI27+AH28-AQ27,IF(A28&lt;'Données projet'!$A$62,$AF$205^A28,IF(A28='Données projet'!$A$62,'Données projet'!$B$62,AI27+AH28-AQ27)))</f>
        <v>254.00000000000009</v>
      </c>
      <c r="AJ28" s="13">
        <f>AI28*VLOOKUP('Données projet'!$B$10,Paramètres!$A$1:$I$89,3,0)*VLOOKUP('Données projet'!$B$10,Paramètres!$A$1:$I$89,5,0)</f>
        <v>151.89200000000005</v>
      </c>
      <c r="AK28" s="13">
        <f t="shared" si="35"/>
        <v>39.008235247069457</v>
      </c>
      <c r="AL28" s="20">
        <f t="shared" si="4"/>
        <v>332.48457638864602</v>
      </c>
      <c r="AM28" s="59">
        <f t="shared" si="5"/>
        <v>619.70679861086819</v>
      </c>
      <c r="AN28" s="59">
        <f ca="1">AVERAGE(OFFSET($AM$3,0,0,'Données projet'!$E$10+1,1))-AVERAGE(OFFSET($H$3,0,0,'Données projet'!$E$10+1,1))</f>
        <v>504.81063008331739</v>
      </c>
      <c r="AO28" s="59">
        <f t="shared" si="36"/>
        <v>441.82647565372287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63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0.45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41.902380646408645</v>
      </c>
      <c r="AW28" s="21">
        <f>EXP(-LN(2)/2)*AW27+(1-EXP(-LN(2)/2))/(LN(2)/2)*AQ28*AT28*VLOOKUP('Données projet'!$B$10,Paramètres!$A$1:$I$89,3,0)*0.475*44/12</f>
        <v>0.2962202748403619</v>
      </c>
      <c r="AX28" s="21">
        <f t="shared" si="6"/>
        <v>42.198600921249003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115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114.99999999999997</v>
      </c>
      <c r="BE28" s="13">
        <f>BD28*VLOOKUP('Données projet'!$B$11,Paramètres!$A$1:$I$89,3,0)*VLOOKUP('Données projet'!$B$11,Paramètres!$A$1:$I$89,5,0)</f>
        <v>100.46399999999998</v>
      </c>
      <c r="BF28" s="13">
        <f t="shared" si="37"/>
        <v>27.072509349827456</v>
      </c>
      <c r="BG28" s="20">
        <f t="shared" si="7"/>
        <v>222.12608711761615</v>
      </c>
      <c r="BH28" s="59">
        <f t="shared" si="8"/>
        <v>509.34830933983835</v>
      </c>
      <c r="BI28" s="59">
        <f ca="1">AVERAGE(OFFSET($BH$3,0,0,'Données projet'!$E$11+1,1))-AVERAGE(OFFSET($H$3,0,0,'Données projet'!$E$11+1,1))</f>
        <v>324.86930206492627</v>
      </c>
      <c r="BJ28" s="59">
        <f t="shared" si="38"/>
        <v>317.03005098025352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103</v>
      </c>
      <c r="BW28" s="12">
        <f>VLOOKUP(A28,'Données projet'!$A$113:$I$133,9,0)</f>
        <v>7.2</v>
      </c>
      <c r="BX28" s="12">
        <f t="array" ref="BX28">INDEX(BW:BW,MIN(IF(ISNUMBER(BW28:BW224),ROW(BW28:BW224),"")))</f>
        <v>7.2</v>
      </c>
      <c r="BY28" s="12">
        <f>IF('Données projet'!$A$114&gt;35,BY27+BX28-CG27,IF(A28&lt;'Données projet'!$A$114,$BV$205^A28,IF(A28='Données projet'!$A$114,'Données projet'!$B$114,BY27+BX28-CG27)))</f>
        <v>103.00000000000001</v>
      </c>
      <c r="BZ28" s="13">
        <f>BY28*VLOOKUP('Données projet'!$B$12,Paramètres!$A$1:$I$89,3,0)*VLOOKUP('Données projet'!$B$12,Paramètres!$A$1:$I$89,5,0)</f>
        <v>104.44200000000004</v>
      </c>
      <c r="CA28" s="13">
        <f t="shared" si="39"/>
        <v>28.01755116176631</v>
      </c>
      <c r="CB28" s="20">
        <f t="shared" si="10"/>
        <v>230.70038494007636</v>
      </c>
      <c r="CC28" s="59">
        <f t="shared" si="11"/>
        <v>517.92260716229862</v>
      </c>
      <c r="CD28" s="59">
        <f ca="1">AVERAGE(OFFSET($CC$3,0,0,'Données projet'!$E$12+1,1))-AVERAGE(OFFSET($H$3,0,0,'Données projet'!$E$12+1,1))</f>
        <v>487.18832528146936</v>
      </c>
      <c r="CE28" s="59">
        <f t="shared" si="40"/>
        <v>306.61893266146666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3.6141025641025637</v>
      </c>
      <c r="CT28" s="12">
        <f>IF('Données projet'!$A$140&gt;35,CT27+CS28-DB27,IF(A28&lt;'Données projet'!$A$140,$CQ$205^A28,IF(A28='Données projet'!$A$140,'Données projet'!$B$140,CT27+CS28-DB27)))</f>
        <v>49.651774378025635</v>
      </c>
      <c r="CU28" s="17">
        <f>CT28*VLOOKUP('Données projet'!$B$13,Paramètres!$A$1:$I$89,3,0)*VLOOKUP('Données projet'!$B$13,Paramètres!$A$1:$I$89,5,0)</f>
        <v>47.248628498129193</v>
      </c>
      <c r="CV28" s="13">
        <f t="shared" si="41"/>
        <v>13.900882354156852</v>
      </c>
      <c r="CW28" s="20">
        <f t="shared" si="13"/>
        <v>106.50206473439818</v>
      </c>
      <c r="CX28" s="59">
        <f t="shared" si="14"/>
        <v>393.7242869566204</v>
      </c>
      <c r="CY28" s="59">
        <f ca="1">AVERAGE(OFFSET($CX$3,0,0,'Données projet'!$E$13+1,1))-AVERAGE(OFFSET($H$3,0,0,'Données projet'!$E$13+1,1))</f>
        <v>733.95677909788878</v>
      </c>
      <c r="CZ28" s="59">
        <f t="shared" si="42"/>
        <v>264.63778997972378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31.8</v>
      </c>
      <c r="N29" s="13">
        <f>IF('Données projet'!$A$36&gt;35,N28+M29-V28,IF(A29&lt;'Données projet'!$A$36,$K$205^A29,IF(A29='Données projet'!$A$36,'Données projet'!$B$36,N28+M29-V28)))</f>
        <v>252.80000000000007</v>
      </c>
      <c r="O29" s="13">
        <f>N29*VLOOKUP('Données projet'!$B$9,Paramètres!$A$1:$I$89,3,0)*VLOOKUP('Données projet'!$B$9,Paramètres!$A$1:$I$89,5,0)</f>
        <v>118.31040000000003</v>
      </c>
      <c r="P29" s="13">
        <f t="shared" si="33"/>
        <v>31.280603211565367</v>
      </c>
      <c r="Q29" s="20">
        <f t="shared" si="2"/>
        <v>260.53766392680978</v>
      </c>
      <c r="R29" s="59">
        <f t="shared" si="0"/>
        <v>548.9821083712543</v>
      </c>
      <c r="S29" s="59">
        <f ca="1">AVERAGE(OFFSET($R$3,0,0,'Données projet'!$E$9+1,1))-AVERAGE(OFFSET($H$3,0,0,'Données projet'!$E$9+1,1))</f>
        <v>488.67934252295686</v>
      </c>
      <c r="T29" s="59">
        <f t="shared" si="34"/>
        <v>424.50324471331095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25.472587703106853</v>
      </c>
      <c r="AB29" s="21">
        <f>EXP(-LN(2)/2)*AB28+(1-EXP(-LN(2)/2))/(LN(2)/2)*V29*Y29*VLOOKUP('Données projet'!$B$9,Paramètres!$A$1:$I$89,3,0)*0.475*44/12</f>
        <v>3.2455438808596142</v>
      </c>
      <c r="AC29" s="22">
        <f t="shared" si="3"/>
        <v>28.718131583966468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24</v>
      </c>
      <c r="AI29" s="13">
        <f>IF('Données projet'!$A$62&gt;35,AI28+AH29-AQ28,IF(A29&lt;'Données projet'!$A$62,$AF$205^A29,IF(A29='Données projet'!$A$62,'Données projet'!$B$62,AI28+AH29-AQ28)))</f>
        <v>215.00000000000011</v>
      </c>
      <c r="AJ29" s="13">
        <f>AI29*VLOOKUP('Données projet'!$B$10,Paramètres!$A$1:$I$89,3,0)*VLOOKUP('Données projet'!$B$10,Paramètres!$A$1:$I$89,5,0)</f>
        <v>128.57000000000008</v>
      </c>
      <c r="AK29" s="13">
        <f t="shared" si="35"/>
        <v>33.665715905233277</v>
      </c>
      <c r="AL29" s="20">
        <f t="shared" si="4"/>
        <v>282.56053853494808</v>
      </c>
      <c r="AM29" s="59">
        <f t="shared" si="5"/>
        <v>571.00498297939248</v>
      </c>
      <c r="AN29" s="59">
        <f ca="1">AVERAGE(OFFSET($AM$3,0,0,'Données projet'!$E$10+1,1))-AVERAGE(OFFSET($H$3,0,0,'Données projet'!$E$10+1,1))</f>
        <v>504.81063008331739</v>
      </c>
      <c r="AO29" s="59">
        <f t="shared" si="36"/>
        <v>441.82647565372287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40.756557844082174</v>
      </c>
      <c r="AW29" s="21">
        <f>EXP(-LN(2)/2)*AW28+(1-EXP(-LN(2)/2))/(LN(2)/2)*AQ29*AT29*VLOOKUP('Données projet'!$B$10,Paramètres!$A$1:$I$89,3,0)*0.475*44/12</f>
        <v>0.20945936506456275</v>
      </c>
      <c r="AX29" s="21">
        <f t="shared" si="6"/>
        <v>40.966017209146735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98.799999999999969</v>
      </c>
      <c r="BE29" s="13">
        <f>BD29*VLOOKUP('Données projet'!$B$11,Paramètres!$A$1:$I$89,3,0)*VLOOKUP('Données projet'!$B$11,Paramètres!$A$1:$I$89,5,0)</f>
        <v>86.311679999999981</v>
      </c>
      <c r="BF29" s="13">
        <f t="shared" si="37"/>
        <v>23.673536308765939</v>
      </c>
      <c r="BG29" s="20">
        <f t="shared" si="7"/>
        <v>191.55758507110065</v>
      </c>
      <c r="BH29" s="59">
        <f t="shared" si="8"/>
        <v>480.00202951554513</v>
      </c>
      <c r="BI29" s="59">
        <f ca="1">AVERAGE(OFFSET($BH$3,0,0,'Données projet'!$E$11+1,1))-AVERAGE(OFFSET($H$3,0,0,'Données projet'!$E$11+1,1))</f>
        <v>324.86930206492627</v>
      </c>
      <c r="BJ29" s="59">
        <f t="shared" si="38"/>
        <v>317.03005098025352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9.1999999999999993</v>
      </c>
      <c r="BY29" s="12">
        <f>IF('Données projet'!$A$114&gt;35,BY28+BX29-CG28,IF(A29&lt;'Données projet'!$A$114,$BV$205^A29,IF(A29='Données projet'!$A$114,'Données projet'!$B$114,BY28+BX29-CG28)))</f>
        <v>84.200000000000017</v>
      </c>
      <c r="BZ29" s="13">
        <f>BY29*VLOOKUP('Données projet'!$B$12,Paramètres!$A$1:$I$89,3,0)*VLOOKUP('Données projet'!$B$12,Paramètres!$A$1:$I$89,5,0)</f>
        <v>85.378800000000027</v>
      </c>
      <c r="CA29" s="13">
        <f t="shared" si="39"/>
        <v>23.447306793896516</v>
      </c>
      <c r="CB29" s="20">
        <f t="shared" si="10"/>
        <v>189.53880266603645</v>
      </c>
      <c r="CC29" s="59">
        <f t="shared" si="11"/>
        <v>477.98324711048087</v>
      </c>
      <c r="CD29" s="59">
        <f ca="1">AVERAGE(OFFSET($CC$3,0,0,'Données projet'!$E$12+1,1))-AVERAGE(OFFSET($H$3,0,0,'Données projet'!$E$12+1,1))</f>
        <v>487.18832528146936</v>
      </c>
      <c r="CE29" s="59">
        <f t="shared" si="40"/>
        <v>306.61893266146666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3.6141025641025637</v>
      </c>
      <c r="CT29" s="12">
        <f>IF('Données projet'!$A$140&gt;35,CT28+CS29-DB28,IF(A29&lt;'Données projet'!$A$140,$CQ$205^A29,IF(A29='Données projet'!$A$140,'Données projet'!$B$140,CT28+CS29-DB28)))</f>
        <v>58.045982181385838</v>
      </c>
      <c r="CU29" s="17">
        <f>CT29*VLOOKUP('Données projet'!$B$13,Paramètres!$A$1:$I$89,3,0)*VLOOKUP('Données projet'!$B$13,Paramètres!$A$1:$I$89,5,0)</f>
        <v>55.236556643806765</v>
      </c>
      <c r="CV29" s="13">
        <f t="shared" si="41"/>
        <v>15.958184669554344</v>
      </c>
      <c r="CW29" s="20">
        <f t="shared" si="13"/>
        <v>123.99750778743726</v>
      </c>
      <c r="CX29" s="59">
        <f t="shared" si="14"/>
        <v>412.44195223188171</v>
      </c>
      <c r="CY29" s="59">
        <f ca="1">AVERAGE(OFFSET($CX$3,0,0,'Données projet'!$E$13+1,1))-AVERAGE(OFFSET($H$3,0,0,'Données projet'!$E$13+1,1))</f>
        <v>733.95677909788878</v>
      </c>
      <c r="CZ29" s="59">
        <f t="shared" si="42"/>
        <v>264.63778997972378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31.8</v>
      </c>
      <c r="N30" s="13">
        <f>IF('Données projet'!$A$36&gt;35,N29+M30-V29,IF(A30&lt;'Données projet'!$A$36,$K$205^A30,IF(A30='Données projet'!$A$36,'Données projet'!$B$36,N29+M30-V29)))</f>
        <v>284.60000000000008</v>
      </c>
      <c r="O30" s="13">
        <f>N30*VLOOKUP('Données projet'!$B$9,Paramètres!$A$1:$I$89,3,0)*VLOOKUP('Données projet'!$B$9,Paramètres!$A$1:$I$89,5,0)</f>
        <v>133.19280000000003</v>
      </c>
      <c r="P30" s="13">
        <f t="shared" si="33"/>
        <v>34.733076632666538</v>
      </c>
      <c r="Q30" s="20">
        <f t="shared" si="2"/>
        <v>292.47090180189429</v>
      </c>
      <c r="R30" s="59">
        <f t="shared" si="0"/>
        <v>582.13756846856097</v>
      </c>
      <c r="S30" s="59">
        <f ca="1">AVERAGE(OFFSET($R$3,0,0,'Données projet'!$E$9+1,1))-AVERAGE(OFFSET($H$3,0,0,'Données projet'!$E$9+1,1))</f>
        <v>488.67934252295686</v>
      </c>
      <c r="T30" s="59">
        <f t="shared" si="34"/>
        <v>424.50324471331095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24.776038452820227</v>
      </c>
      <c r="AB30" s="21">
        <f>EXP(-LN(2)/2)*AB29+(1-EXP(-LN(2)/2))/(LN(2)/2)*V30*Y30*VLOOKUP('Données projet'!$B$9,Paramètres!$A$1:$I$89,3,0)*0.475*44/12</f>
        <v>2.2949460867943374</v>
      </c>
      <c r="AC30" s="22">
        <f t="shared" si="3"/>
        <v>27.070984539614564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24</v>
      </c>
      <c r="AI30" s="13">
        <f>IF('Données projet'!$A$62&gt;35,AI29+AH30-AQ29,IF(A30&lt;'Données projet'!$A$62,$AF$205^A30,IF(A30='Données projet'!$A$62,'Données projet'!$B$62,AI29+AH30-AQ29)))</f>
        <v>239.00000000000011</v>
      </c>
      <c r="AJ30" s="13">
        <f>AI30*VLOOKUP('Données projet'!$B$10,Paramètres!$A$1:$I$89,3,0)*VLOOKUP('Données projet'!$B$10,Paramètres!$A$1:$I$89,5,0)</f>
        <v>142.92200000000008</v>
      </c>
      <c r="AK30" s="13">
        <f t="shared" si="35"/>
        <v>36.965587791044591</v>
      </c>
      <c r="AL30" s="20">
        <f t="shared" si="4"/>
        <v>313.30421540273613</v>
      </c>
      <c r="AM30" s="59">
        <f t="shared" si="5"/>
        <v>602.97088206940282</v>
      </c>
      <c r="AN30" s="59">
        <f ca="1">AVERAGE(OFFSET($AM$3,0,0,'Données projet'!$E$10+1,1))-AVERAGE(OFFSET($H$3,0,0,'Données projet'!$E$10+1,1))</f>
        <v>504.81063008331739</v>
      </c>
      <c r="AO30" s="59">
        <f t="shared" si="36"/>
        <v>441.82647565372287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39.642067626541518</v>
      </c>
      <c r="AW30" s="21">
        <f>EXP(-LN(2)/2)*AW29+(1-EXP(-LN(2)/2))/(LN(2)/2)*AQ30*AT30*VLOOKUP('Données projet'!$B$10,Paramètres!$A$1:$I$89,3,0)*0.475*44/12</f>
        <v>0.14811013742018095</v>
      </c>
      <c r="AX30" s="21">
        <f t="shared" si="6"/>
        <v>39.790177763961701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110.59999999999997</v>
      </c>
      <c r="BE30" s="13">
        <f>BD30*VLOOKUP('Données projet'!$B$11,Paramètres!$A$1:$I$89,3,0)*VLOOKUP('Données projet'!$B$11,Paramètres!$A$1:$I$89,5,0)</f>
        <v>96.620159999999984</v>
      </c>
      <c r="BF30" s="13">
        <f t="shared" si="37"/>
        <v>26.155193107181663</v>
      </c>
      <c r="BG30" s="20">
        <f t="shared" si="7"/>
        <v>213.83373999500802</v>
      </c>
      <c r="BH30" s="59">
        <f t="shared" si="8"/>
        <v>503.50040666167467</v>
      </c>
      <c r="BI30" s="59">
        <f ca="1">AVERAGE(OFFSET($BH$3,0,0,'Données projet'!$E$11+1,1))-AVERAGE(OFFSET($H$3,0,0,'Données projet'!$E$11+1,1))</f>
        <v>324.86930206492627</v>
      </c>
      <c r="BJ30" s="59">
        <f t="shared" si="38"/>
        <v>317.03005098025352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9.1999999999999993</v>
      </c>
      <c r="BY30" s="12">
        <f>IF('Données projet'!$A$114&gt;35,BY29+BX30-CG29,IF(A30&lt;'Données projet'!$A$114,$BV$205^A30,IF(A30='Données projet'!$A$114,'Données projet'!$B$114,BY29+BX30-CG29)))</f>
        <v>93.40000000000002</v>
      </c>
      <c r="BZ30" s="13">
        <f>BY30*VLOOKUP('Données projet'!$B$12,Paramètres!$A$1:$I$89,3,0)*VLOOKUP('Données projet'!$B$12,Paramètres!$A$1:$I$89,5,0)</f>
        <v>94.707600000000028</v>
      </c>
      <c r="CA30" s="13">
        <f t="shared" si="39"/>
        <v>25.697193912523566</v>
      </c>
      <c r="CB30" s="20">
        <f t="shared" si="10"/>
        <v>209.70501606431188</v>
      </c>
      <c r="CC30" s="59">
        <f t="shared" si="11"/>
        <v>499.37168273097859</v>
      </c>
      <c r="CD30" s="59">
        <f ca="1">AVERAGE(OFFSET($CC$3,0,0,'Données projet'!$E$12+1,1))-AVERAGE(OFFSET($H$3,0,0,'Données projet'!$E$12+1,1))</f>
        <v>487.18832528146936</v>
      </c>
      <c r="CE30" s="59">
        <f t="shared" si="40"/>
        <v>306.61893266146666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3.6141025641025637</v>
      </c>
      <c r="CT30" s="12">
        <f>IF('Données projet'!$A$140&gt;35,CT29+CS30-DB29,IF(A30&lt;'Données projet'!$A$140,$CQ$205^A30,IF(A30='Données projet'!$A$140,'Données projet'!$B$140,CT29+CS30-DB29)))</f>
        <v>67.859328082601763</v>
      </c>
      <c r="CU30" s="17">
        <f>CT30*VLOOKUP('Données projet'!$B$13,Paramètres!$A$1:$I$89,3,0)*VLOOKUP('Données projet'!$B$13,Paramètres!$A$1:$I$89,5,0)</f>
        <v>64.574936603403842</v>
      </c>
      <c r="CV30" s="13">
        <f t="shared" si="41"/>
        <v>18.319963543281538</v>
      </c>
      <c r="CW30" s="20">
        <f t="shared" si="13"/>
        <v>144.37528442214369</v>
      </c>
      <c r="CX30" s="59">
        <f t="shared" si="14"/>
        <v>434.04195108881038</v>
      </c>
      <c r="CY30" s="59">
        <f ca="1">AVERAGE(OFFSET($CX$3,0,0,'Données projet'!$E$13+1,1))-AVERAGE(OFFSET($H$3,0,0,'Données projet'!$E$13+1,1))</f>
        <v>733.95677909788878</v>
      </c>
      <c r="CZ30" s="59">
        <f t="shared" si="42"/>
        <v>264.63778997972378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31.8</v>
      </c>
      <c r="N31" s="13">
        <f>IF('Données projet'!$A$36&gt;35,N30+M31-V30,IF(A31&lt;'Données projet'!$A$36,$K$205^A31,IF(A31='Données projet'!$A$36,'Données projet'!$B$36,N30+M31-V30)))</f>
        <v>316.40000000000009</v>
      </c>
      <c r="O31" s="13">
        <f>N31*VLOOKUP('Données projet'!$B$9,Paramètres!$A$1:$I$89,3,0)*VLOOKUP('Données projet'!$B$9,Paramètres!$A$1:$I$89,5,0)</f>
        <v>148.07520000000002</v>
      </c>
      <c r="P31" s="13">
        <f t="shared" si="33"/>
        <v>38.140839670017264</v>
      </c>
      <c r="Q31" s="20">
        <f t="shared" si="2"/>
        <v>324.32626909194676</v>
      </c>
      <c r="R31" s="59">
        <f t="shared" si="0"/>
        <v>615.21515798083556</v>
      </c>
      <c r="S31" s="59">
        <f ca="1">AVERAGE(OFFSET($R$3,0,0,'Données projet'!$E$9+1,1))-AVERAGE(OFFSET($H$3,0,0,'Données projet'!$E$9+1,1))</f>
        <v>488.67934252295686</v>
      </c>
      <c r="T31" s="59">
        <f t="shared" si="34"/>
        <v>424.50324471331095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24.098536378412621</v>
      </c>
      <c r="AB31" s="21">
        <f>EXP(-LN(2)/2)*AB30+(1-EXP(-LN(2)/2))/(LN(2)/2)*V31*Y31*VLOOKUP('Données projet'!$B$9,Paramètres!$A$1:$I$89,3,0)*0.475*44/12</f>
        <v>1.6227719404298071</v>
      </c>
      <c r="AC31" s="22">
        <f t="shared" si="3"/>
        <v>25.721308318842429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24</v>
      </c>
      <c r="AI31" s="13">
        <f>IF('Données projet'!$A$62&gt;35,AI30+AH31-AQ30,IF(A31&lt;'Données projet'!$A$62,$AF$205^A31,IF(A31='Données projet'!$A$62,'Données projet'!$B$62,AI30+AH31-AQ30)))</f>
        <v>263.00000000000011</v>
      </c>
      <c r="AJ31" s="13">
        <f>AI31*VLOOKUP('Données projet'!$B$10,Paramètres!$A$1:$I$89,3,0)*VLOOKUP('Données projet'!$B$10,Paramètres!$A$1:$I$89,5,0)</f>
        <v>157.27400000000009</v>
      </c>
      <c r="AK31" s="13">
        <f t="shared" si="35"/>
        <v>40.22704491543449</v>
      </c>
      <c r="AL31" s="20">
        <f t="shared" si="4"/>
        <v>343.98098656104861</v>
      </c>
      <c r="AM31" s="59">
        <f t="shared" si="5"/>
        <v>634.86987544993747</v>
      </c>
      <c r="AN31" s="59">
        <f ca="1">AVERAGE(OFFSET($AM$3,0,0,'Données projet'!$E$10+1,1))-AVERAGE(OFFSET($H$3,0,0,'Données projet'!$E$10+1,1))</f>
        <v>504.81063008331739</v>
      </c>
      <c r="AO31" s="59">
        <f t="shared" si="36"/>
        <v>441.82647565372287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38.558053202608008</v>
      </c>
      <c r="AW31" s="21">
        <f>EXP(-LN(2)/2)*AW30+(1-EXP(-LN(2)/2))/(LN(2)/2)*AQ31*AT31*VLOOKUP('Données projet'!$B$10,Paramètres!$A$1:$I$89,3,0)*0.475*44/12</f>
        <v>0.10472968253228138</v>
      </c>
      <c r="AX31" s="21">
        <f t="shared" si="6"/>
        <v>38.662782885140288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122.39999999999996</v>
      </c>
      <c r="BE31" s="13">
        <f>BD31*VLOOKUP('Données projet'!$B$11,Paramètres!$A$1:$I$89,3,0)*VLOOKUP('Données projet'!$B$11,Paramètres!$A$1:$I$89,5,0)</f>
        <v>106.92863999999997</v>
      </c>
      <c r="BF31" s="13">
        <f t="shared" si="37"/>
        <v>28.606159868782917</v>
      </c>
      <c r="BG31" s="20">
        <f t="shared" si="7"/>
        <v>236.05644310479684</v>
      </c>
      <c r="BH31" s="59">
        <f t="shared" si="8"/>
        <v>526.94533199368573</v>
      </c>
      <c r="BI31" s="59">
        <f ca="1">AVERAGE(OFFSET($BH$3,0,0,'Données projet'!$E$11+1,1))-AVERAGE(OFFSET($H$3,0,0,'Données projet'!$E$11+1,1))</f>
        <v>324.86930206492627</v>
      </c>
      <c r="BJ31" s="59">
        <f t="shared" si="38"/>
        <v>317.03005098025352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9.1999999999999993</v>
      </c>
      <c r="BY31" s="12">
        <f>IF('Données projet'!$A$114&gt;35,BY30+BX31-CG30,IF(A31&lt;'Données projet'!$A$114,$BV$205^A31,IF(A31='Données projet'!$A$114,'Données projet'!$B$114,BY30+BX31-CG30)))</f>
        <v>102.60000000000002</v>
      </c>
      <c r="BZ31" s="13">
        <f>BY31*VLOOKUP('Données projet'!$B$12,Paramètres!$A$1:$I$89,3,0)*VLOOKUP('Données projet'!$B$12,Paramètres!$A$1:$I$89,5,0)</f>
        <v>104.03640000000003</v>
      </c>
      <c r="CA31" s="13">
        <f t="shared" si="39"/>
        <v>27.921388397820998</v>
      </c>
      <c r="CB31" s="20">
        <f t="shared" si="10"/>
        <v>229.82648145953826</v>
      </c>
      <c r="CC31" s="59">
        <f t="shared" si="11"/>
        <v>520.71537034842709</v>
      </c>
      <c r="CD31" s="59">
        <f ca="1">AVERAGE(OFFSET($CC$3,0,0,'Données projet'!$E$12+1,1))-AVERAGE(OFFSET($H$3,0,0,'Données projet'!$E$12+1,1))</f>
        <v>487.18832528146936</v>
      </c>
      <c r="CE31" s="59">
        <f t="shared" si="40"/>
        <v>306.61893266146666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3.6141025641025637</v>
      </c>
      <c r="CT31" s="12">
        <f>IF('Données projet'!$A$140&gt;35,CT30+CS31-DB30,IF(A31&lt;'Données projet'!$A$140,$CQ$205^A31,IF(A31='Données projet'!$A$140,'Données projet'!$B$140,CT30+CS31-DB30)))</f>
        <v>79.331733821516394</v>
      </c>
      <c r="CU31" s="17">
        <f>CT31*VLOOKUP('Données projet'!$B$13,Paramètres!$A$1:$I$89,3,0)*VLOOKUP('Données projet'!$B$13,Paramètres!$A$1:$I$89,5,0)</f>
        <v>75.492077904555003</v>
      </c>
      <c r="CV31" s="13">
        <f t="shared" si="41"/>
        <v>21.03128088669607</v>
      </c>
      <c r="CW31" s="20">
        <f t="shared" si="13"/>
        <v>168.11151656142894</v>
      </c>
      <c r="CX31" s="59">
        <f t="shared" si="14"/>
        <v>459.00040545031777</v>
      </c>
      <c r="CY31" s="59">
        <f ca="1">AVERAGE(OFFSET($CX$3,0,0,'Données projet'!$E$13+1,1))-AVERAGE(OFFSET($H$3,0,0,'Données projet'!$E$13+1,1))</f>
        <v>733.95677909788878</v>
      </c>
      <c r="CZ31" s="59">
        <f t="shared" si="42"/>
        <v>264.63778997972378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31.8</v>
      </c>
      <c r="N32" s="13">
        <f>IF('Données projet'!$A$36&gt;35,N31+M32-V31,IF(A32&lt;'Données projet'!$A$36,$K$205^A32,IF(A32='Données projet'!$A$36,'Données projet'!$B$36,N31+M32-V31)))</f>
        <v>348.2000000000001</v>
      </c>
      <c r="O32" s="13">
        <f>N32*VLOOKUP('Données projet'!$B$9,Paramètres!$A$1:$I$89,3,0)*VLOOKUP('Données projet'!$B$9,Paramètres!$A$1:$I$89,5,0)</f>
        <v>162.95760000000004</v>
      </c>
      <c r="P32" s="13">
        <f t="shared" si="33"/>
        <v>41.508897552694833</v>
      </c>
      <c r="Q32" s="20">
        <f t="shared" si="2"/>
        <v>356.11248323761021</v>
      </c>
      <c r="R32" s="59">
        <f t="shared" si="0"/>
        <v>648.22359434872135</v>
      </c>
      <c r="S32" s="59">
        <f ca="1">AVERAGE(OFFSET($R$3,0,0,'Données projet'!$E$9+1,1))-AVERAGE(OFFSET($H$3,0,0,'Données projet'!$E$9+1,1))</f>
        <v>488.67934252295686</v>
      </c>
      <c r="T32" s="59">
        <f t="shared" si="34"/>
        <v>424.50324471331095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23.43956063385798</v>
      </c>
      <c r="AB32" s="21">
        <f>EXP(-LN(2)/2)*AB31+(1-EXP(-LN(2)/2))/(LN(2)/2)*V32*Y32*VLOOKUP('Données projet'!$B$9,Paramètres!$A$1:$I$89,3,0)*0.475*44/12</f>
        <v>1.1474730433971687</v>
      </c>
      <c r="AC32" s="22">
        <f t="shared" si="3"/>
        <v>24.58703367725515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24</v>
      </c>
      <c r="AI32" s="13">
        <f>IF('Données projet'!$A$62&gt;35,AI31+AH32-AQ31,IF(A32&lt;'Données projet'!$A$62,$AF$205^A32,IF(A32='Données projet'!$A$62,'Données projet'!$B$62,AI31+AH32-AQ31)))</f>
        <v>287.00000000000011</v>
      </c>
      <c r="AJ32" s="13">
        <f>AI32*VLOOKUP('Données projet'!$B$10,Paramètres!$A$1:$I$89,3,0)*VLOOKUP('Données projet'!$B$10,Paramètres!$A$1:$I$89,5,0)</f>
        <v>171.62600000000009</v>
      </c>
      <c r="AK32" s="13">
        <f t="shared" si="35"/>
        <v>43.453991492329642</v>
      </c>
      <c r="AL32" s="20">
        <f t="shared" si="4"/>
        <v>374.5976518491409</v>
      </c>
      <c r="AM32" s="59">
        <f t="shared" si="5"/>
        <v>666.70876296025199</v>
      </c>
      <c r="AN32" s="59">
        <f ca="1">AVERAGE(OFFSET($AM$3,0,0,'Données projet'!$E$10+1,1))-AVERAGE(OFFSET($H$3,0,0,'Données projet'!$E$10+1,1))</f>
        <v>504.81063008331739</v>
      </c>
      <c r="AO32" s="59">
        <f t="shared" si="36"/>
        <v>441.82647565372287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37.503681210102798</v>
      </c>
      <c r="AW32" s="21">
        <f>EXP(-LN(2)/2)*AW31+(1-EXP(-LN(2)/2))/(LN(2)/2)*AQ32*AT32*VLOOKUP('Données projet'!$B$10,Paramètres!$A$1:$I$89,3,0)*0.475*44/12</f>
        <v>7.4055068710090474E-2</v>
      </c>
      <c r="AX32" s="21">
        <f t="shared" si="6"/>
        <v>37.577736278812885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134.19999999999996</v>
      </c>
      <c r="BE32" s="13">
        <f>BD32*VLOOKUP('Données projet'!$B$11,Paramètres!$A$1:$I$89,3,0)*VLOOKUP('Données projet'!$B$11,Paramètres!$A$1:$I$89,5,0)</f>
        <v>117.23711999999999</v>
      </c>
      <c r="BF32" s="13">
        <f t="shared" si="37"/>
        <v>31.029731926851227</v>
      </c>
      <c r="BG32" s="20">
        <f t="shared" si="7"/>
        <v>258.23143377259919</v>
      </c>
      <c r="BH32" s="59">
        <f t="shared" si="8"/>
        <v>550.34254488371039</v>
      </c>
      <c r="BI32" s="59">
        <f ca="1">AVERAGE(OFFSET($BH$3,0,0,'Données projet'!$E$11+1,1))-AVERAGE(OFFSET($H$3,0,0,'Données projet'!$E$11+1,1))</f>
        <v>324.86930206492627</v>
      </c>
      <c r="BJ32" s="59">
        <f t="shared" si="38"/>
        <v>317.03005098025352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9.1999999999999993</v>
      </c>
      <c r="BY32" s="12">
        <f>IF('Données projet'!$A$114&gt;35,BY31+BX32-CG31,IF(A32&lt;'Données projet'!$A$114,$BV$205^A32,IF(A32='Données projet'!$A$114,'Données projet'!$B$114,BY31+BX32-CG31)))</f>
        <v>111.80000000000003</v>
      </c>
      <c r="BZ32" s="13">
        <f>BY32*VLOOKUP('Données projet'!$B$12,Paramètres!$A$1:$I$89,3,0)*VLOOKUP('Données projet'!$B$12,Paramètres!$A$1:$I$89,5,0)</f>
        <v>113.36520000000003</v>
      </c>
      <c r="CA32" s="13">
        <f t="shared" si="39"/>
        <v>30.122456058687614</v>
      </c>
      <c r="CB32" s="20">
        <f t="shared" si="10"/>
        <v>249.9076676355476</v>
      </c>
      <c r="CC32" s="59">
        <f t="shared" si="11"/>
        <v>542.01877874665877</v>
      </c>
      <c r="CD32" s="59">
        <f ca="1">AVERAGE(OFFSET($CC$3,0,0,'Données projet'!$E$12+1,1))-AVERAGE(OFFSET($H$3,0,0,'Données projet'!$E$12+1,1))</f>
        <v>487.18832528146936</v>
      </c>
      <c r="CE32" s="59">
        <f t="shared" si="40"/>
        <v>306.61893266146666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3.6141025641025637</v>
      </c>
      <c r="CT32" s="12">
        <f>IF('Données projet'!$A$140&gt;35,CT31+CS32-DB31,IF(A32&lt;'Données projet'!$A$140,$CQ$205^A32,IF(A32='Données projet'!$A$140,'Données projet'!$B$140,CT31+CS32-DB31)))</f>
        <v>92.74368268820956</v>
      </c>
      <c r="CU32" s="17">
        <f>CT32*VLOOKUP('Données projet'!$B$13,Paramètres!$A$1:$I$89,3,0)*VLOOKUP('Données projet'!$B$13,Paramètres!$A$1:$I$89,5,0)</f>
        <v>88.254888446100225</v>
      </c>
      <c r="CV32" s="13">
        <f t="shared" si="41"/>
        <v>24.143867682385046</v>
      </c>
      <c r="CW32" s="20">
        <f t="shared" si="13"/>
        <v>195.76116692377852</v>
      </c>
      <c r="CX32" s="59">
        <f t="shared" si="14"/>
        <v>487.87227803488963</v>
      </c>
      <c r="CY32" s="59">
        <f ca="1">AVERAGE(OFFSET($CX$3,0,0,'Données projet'!$E$13+1,1))-AVERAGE(OFFSET($H$3,0,0,'Données projet'!$E$13+1,1))</f>
        <v>733.95677909788878</v>
      </c>
      <c r="CZ32" s="59">
        <f t="shared" si="42"/>
        <v>264.63778997972378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380</v>
      </c>
      <c r="L33" s="12">
        <f>VLOOKUP(A33,'Données projet'!$A$35:$I$55,9,0)</f>
        <v>31.8</v>
      </c>
      <c r="M33" s="12">
        <f t="array" ref="M33">INDEX(L:L,MIN(IF(ISNUMBER(L33:L229),ROW(L33:L229),"")))</f>
        <v>31.8</v>
      </c>
      <c r="N33" s="13">
        <f>IF('Données projet'!$A$36&gt;35,N32+M33-V32,IF(A33&lt;'Données projet'!$A$36,$K$205^A33,IF(A33='Données projet'!$A$36,'Données projet'!$B$36,N32+M33-V32)))</f>
        <v>380.00000000000011</v>
      </c>
      <c r="O33" s="13">
        <f>N33*VLOOKUP('Données projet'!$B$9,Paramètres!$A$1:$I$89,3,0)*VLOOKUP('Données projet'!$B$9,Paramètres!$A$1:$I$89,5,0)</f>
        <v>177.84000000000006</v>
      </c>
      <c r="P33" s="13">
        <f t="shared" si="33"/>
        <v>44.841288830609138</v>
      </c>
      <c r="Q33" s="20">
        <f t="shared" si="2"/>
        <v>387.83657804664432</v>
      </c>
      <c r="R33" s="59">
        <f t="shared" si="0"/>
        <v>681.16991137997763</v>
      </c>
      <c r="S33" s="59">
        <f ca="1">AVERAGE(OFFSET($R$3,0,0,'Données projet'!$E$9+1,1))-AVERAGE(OFFSET($H$3,0,0,'Données projet'!$E$9+1,1))</f>
        <v>488.67934252295686</v>
      </c>
      <c r="T33" s="59">
        <f t="shared" si="34"/>
        <v>424.50324471331095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77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48.987324233965666</v>
      </c>
      <c r="AB33" s="21">
        <f>EXP(-LN(2)/2)*AB32+(1-EXP(-LN(2)/2))/(LN(2)/2)*V33*Y33*VLOOKUP('Données projet'!$B$9,Paramètres!$A$1:$I$89,3,0)*0.475*44/12</f>
        <v>0.81138597021490355</v>
      </c>
      <c r="AC33" s="22">
        <f t="shared" si="3"/>
        <v>49.798710204180566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311</v>
      </c>
      <c r="AG33" s="12">
        <f>VLOOKUP(A33,'Données projet'!$A$61:$I$81,9,0)</f>
        <v>24</v>
      </c>
      <c r="AH33" s="12">
        <f t="array" ref="AH33">INDEX(AG:AG,MIN(IF(ISNUMBER(AG33:AG229),ROW(AG33:AG229),"")))</f>
        <v>24</v>
      </c>
      <c r="AI33" s="13">
        <f>IF('Données projet'!$A$62&gt;35,AI32+AH33-AQ32,IF(A33&lt;'Données projet'!$A$62,$AF$205^A33,IF(A33='Données projet'!$A$62,'Données projet'!$B$62,AI32+AH33-AQ32)))</f>
        <v>311.00000000000011</v>
      </c>
      <c r="AJ33" s="13">
        <f>AI33*VLOOKUP('Données projet'!$B$10,Paramètres!$A$1:$I$89,3,0)*VLOOKUP('Données projet'!$B$10,Paramètres!$A$1:$I$89,5,0)</f>
        <v>185.97800000000009</v>
      </c>
      <c r="AK33" s="13">
        <f t="shared" si="35"/>
        <v>46.649641523668613</v>
      </c>
      <c r="AL33" s="20">
        <f t="shared" si="4"/>
        <v>405.15980898705629</v>
      </c>
      <c r="AM33" s="59">
        <f t="shared" si="5"/>
        <v>698.49314232038955</v>
      </c>
      <c r="AN33" s="59">
        <f ca="1">AVERAGE(OFFSET($AM$3,0,0,'Données projet'!$E$10+1,1))-AVERAGE(OFFSET($H$3,0,0,'Données projet'!$E$10+1,1))</f>
        <v>504.81063008331739</v>
      </c>
      <c r="AO33" s="59">
        <f t="shared" si="36"/>
        <v>441.82647565372287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63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0.45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58.87923595527306</v>
      </c>
      <c r="AW33" s="21">
        <f>EXP(-LN(2)/2)*AW32+(1-EXP(-LN(2)/2))/(LN(2)/2)*AQ33*AT33*VLOOKUP('Données projet'!$B$10,Paramètres!$A$1:$I$89,3,0)*0.475*44/12</f>
        <v>5.2364841266140688E-2</v>
      </c>
      <c r="AX33" s="21">
        <f t="shared" si="6"/>
        <v>58.9316007965392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127.54559999999999</v>
      </c>
      <c r="BF33" s="13">
        <f t="shared" si="37"/>
        <v>33.428591950384806</v>
      </c>
      <c r="BG33" s="20">
        <f t="shared" si="7"/>
        <v>280.36338431358689</v>
      </c>
      <c r="BH33" s="59">
        <f t="shared" si="8"/>
        <v>573.69671764692021</v>
      </c>
      <c r="BI33" s="59">
        <f ca="1">AVERAGE(OFFSET($BH$3,0,0,'Données projet'!$E$11+1,1))-AVERAGE(OFFSET($H$3,0,0,'Données projet'!$E$11+1,1))</f>
        <v>324.86930206492627</v>
      </c>
      <c r="BJ33" s="59">
        <f t="shared" si="38"/>
        <v>317.03005098025352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121</v>
      </c>
      <c r="BW33" s="12">
        <f>VLOOKUP(A33,'Données projet'!$A$113:$I$133,9,0)</f>
        <v>9.1999999999999993</v>
      </c>
      <c r="BX33" s="12">
        <f t="array" ref="BX33">INDEX(BW:BW,MIN(IF(ISNUMBER(BW33:BW229),ROW(BW33:BW229),"")))</f>
        <v>9.1999999999999993</v>
      </c>
      <c r="BY33" s="12">
        <f>IF('Données projet'!$A$114&gt;35,BY32+BX33-CG32,IF(A33&lt;'Données projet'!$A$114,$BV$205^A33,IF(A33='Données projet'!$A$114,'Données projet'!$B$114,BY32+BX33-CG32)))</f>
        <v>121.00000000000003</v>
      </c>
      <c r="BZ33" s="13">
        <f>BY33*VLOOKUP('Données projet'!$B$12,Paramètres!$A$1:$I$89,3,0)*VLOOKUP('Données projet'!$B$12,Paramètres!$A$1:$I$89,5,0)</f>
        <v>122.69400000000003</v>
      </c>
      <c r="CA33" s="13">
        <f t="shared" si="39"/>
        <v>32.302516360650685</v>
      </c>
      <c r="CB33" s="20">
        <f t="shared" si="10"/>
        <v>269.95226599480003</v>
      </c>
      <c r="CC33" s="59">
        <f t="shared" si="11"/>
        <v>563.28559932813334</v>
      </c>
      <c r="CD33" s="59">
        <f ca="1">AVERAGE(OFFSET($CC$3,0,0,'Données projet'!$E$12+1,1))-AVERAGE(OFFSET($H$3,0,0,'Données projet'!$E$12+1,1))</f>
        <v>487.18832528146936</v>
      </c>
      <c r="CE33" s="59">
        <f t="shared" si="40"/>
        <v>306.61893266146666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108.42307692307691</v>
      </c>
      <c r="CR33" s="12">
        <f>VLOOKUP(A33,'Données projet'!$A$139:$I$159,9,0)</f>
        <v>3.6141025641025637</v>
      </c>
      <c r="CS33" s="12">
        <f t="array" ref="CS33">INDEX(CR:CR,MIN(IF(ISNUMBER(CR33:CR229),ROW(CR33:CR229),"")))</f>
        <v>3.6141025641025637</v>
      </c>
      <c r="CT33" s="12">
        <f>IF('Données projet'!$A$140&gt;35,CT32+CS33-DB32,IF(A33&lt;'Données projet'!$A$140,$CQ$205^A33,IF(A33='Données projet'!$A$140,'Données projet'!$B$140,CT32+CS33-DB32)))</f>
        <v>108.42307692307691</v>
      </c>
      <c r="CU33" s="17">
        <f>CT33*VLOOKUP('Données projet'!$B$13,Paramètres!$A$1:$I$89,3,0)*VLOOKUP('Données projet'!$B$13,Paramètres!$A$1:$I$89,5,0)</f>
        <v>103.17539999999998</v>
      </c>
      <c r="CV33" s="13">
        <f t="shared" si="41"/>
        <v>27.71711099314286</v>
      </c>
      <c r="CW33" s="20">
        <f t="shared" si="13"/>
        <v>227.97112331305709</v>
      </c>
      <c r="CX33" s="59">
        <f t="shared" si="14"/>
        <v>521.30445664639046</v>
      </c>
      <c r="CY33" s="59">
        <f ca="1">AVERAGE(OFFSET($CX$3,0,0,'Données projet'!$E$13+1,1))-AVERAGE(OFFSET($H$3,0,0,'Données projet'!$E$13+1,1))</f>
        <v>733.95677909788878</v>
      </c>
      <c r="CZ33" s="59">
        <f t="shared" si="42"/>
        <v>264.63778997972378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31.4</v>
      </c>
      <c r="N34" s="13">
        <f>IF('Données projet'!$A$36&gt;35,N33+M34-V33,IF(A34&lt;'Données projet'!$A$36,$K$205^A34,IF(A34='Données projet'!$A$36,'Données projet'!$B$36,N33+M34-V33)))</f>
        <v>334.40000000000009</v>
      </c>
      <c r="O34" s="13">
        <f>N34*VLOOKUP('Données projet'!$B$9,Paramètres!$A$1:$I$89,3,0)*VLOOKUP('Données projet'!$B$9,Paramètres!$A$1:$I$89,5,0)</f>
        <v>156.49920000000003</v>
      </c>
      <c r="P34" s="13">
        <f t="shared" si="33"/>
        <v>40.051886402928389</v>
      </c>
      <c r="Q34" s="20">
        <f t="shared" si="2"/>
        <v>342.32647548510039</v>
      </c>
      <c r="R34" s="59">
        <f t="shared" si="0"/>
        <v>635.6598088184337</v>
      </c>
      <c r="S34" s="59">
        <f ca="1">AVERAGE(OFFSET($R$3,0,0,'Données projet'!$E$9+1,1))-AVERAGE(OFFSET($H$3,0,0,'Données projet'!$E$9+1,1))</f>
        <v>488.67934252295686</v>
      </c>
      <c r="T34" s="59">
        <f t="shared" si="34"/>
        <v>424.50324471331095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47.647763276656455</v>
      </c>
      <c r="AB34" s="21">
        <f>EXP(-LN(2)/2)*AB33+(1-EXP(-LN(2)/2))/(LN(2)/2)*V34*Y34*VLOOKUP('Données projet'!$B$9,Paramètres!$A$1:$I$89,3,0)*0.475*44/12</f>
        <v>0.57373652169858436</v>
      </c>
      <c r="AC34" s="22">
        <f t="shared" si="3"/>
        <v>48.22149979835504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24.2</v>
      </c>
      <c r="AI34" s="13">
        <f>IF('Données projet'!$A$62&gt;35,AI33+AH34-AQ33,IF(A34&lt;'Données projet'!$A$62,$AF$205^A34,IF(A34='Données projet'!$A$62,'Données projet'!$B$62,AI33+AH34-AQ33)))</f>
        <v>272.2000000000001</v>
      </c>
      <c r="AJ34" s="13">
        <f>AI34*VLOOKUP('Données projet'!$B$10,Paramètres!$A$1:$I$89,3,0)*VLOOKUP('Données projet'!$B$10,Paramètres!$A$1:$I$89,5,0)</f>
        <v>162.77560000000005</v>
      </c>
      <c r="AK34" s="13">
        <f t="shared" si="35"/>
        <v>41.467931707956311</v>
      </c>
      <c r="AL34" s="20">
        <f t="shared" si="4"/>
        <v>355.72415105802401</v>
      </c>
      <c r="AM34" s="59">
        <f t="shared" si="5"/>
        <v>649.05748439135732</v>
      </c>
      <c r="AN34" s="59">
        <f ca="1">AVERAGE(OFFSET($AM$3,0,0,'Données projet'!$E$10+1,1))-AVERAGE(OFFSET($H$3,0,0,'Données projet'!$E$10+1,1))</f>
        <v>504.81063008331739</v>
      </c>
      <c r="AO34" s="59">
        <f t="shared" si="36"/>
        <v>441.82647565372287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57.269180151751669</v>
      </c>
      <c r="AW34" s="21">
        <f>EXP(-LN(2)/2)*AW33+(1-EXP(-LN(2)/2))/(LN(2)/2)*AQ34*AT34*VLOOKUP('Données projet'!$B$10,Paramètres!$A$1:$I$89,3,0)*0.475*44/12</f>
        <v>3.7027534355045237E-2</v>
      </c>
      <c r="AX34" s="21">
        <f t="shared" si="6"/>
        <v>57.306207686106717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128.79999999999998</v>
      </c>
      <c r="BE34" s="13">
        <f>BD34*VLOOKUP('Données projet'!$B$11,Paramètres!$A$1:$I$89,3,0)*VLOOKUP('Données projet'!$B$11,Paramètres!$A$1:$I$89,5,0)</f>
        <v>112.51968000000001</v>
      </c>
      <c r="BF34" s="13">
        <f t="shared" si="37"/>
        <v>29.923856072189899</v>
      </c>
      <c r="BG34" s="20">
        <f t="shared" si="7"/>
        <v>248.08915865906408</v>
      </c>
      <c r="BH34" s="59">
        <f t="shared" si="8"/>
        <v>541.42249199239745</v>
      </c>
      <c r="BI34" s="59">
        <f ca="1">AVERAGE(OFFSET($BH$3,0,0,'Données projet'!$E$11+1,1))-AVERAGE(OFFSET($H$3,0,0,'Données projet'!$E$11+1,1))</f>
        <v>324.86930206492627</v>
      </c>
      <c r="BJ34" s="59">
        <f t="shared" si="38"/>
        <v>317.03005098025352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103.80000000000004</v>
      </c>
      <c r="BZ34" s="13">
        <f>BY34*VLOOKUP('Données projet'!$B$12,Paramètres!$A$1:$I$89,3,0)*VLOOKUP('Données projet'!$B$12,Paramètres!$A$1:$I$89,5,0)</f>
        <v>105.25320000000005</v>
      </c>
      <c r="CA34" s="13">
        <f t="shared" si="39"/>
        <v>28.209746498519422</v>
      </c>
      <c r="CB34" s="20">
        <f t="shared" si="10"/>
        <v>232.44796515158808</v>
      </c>
      <c r="CC34" s="59">
        <f t="shared" si="11"/>
        <v>525.78129848492142</v>
      </c>
      <c r="CD34" s="59">
        <f ca="1">AVERAGE(OFFSET($CC$3,0,0,'Données projet'!$E$12+1,1))-AVERAGE(OFFSET($H$3,0,0,'Données projet'!$E$12+1,1))</f>
        <v>487.18832528146936</v>
      </c>
      <c r="CE34" s="59">
        <f t="shared" si="40"/>
        <v>306.61893266146666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16.154230769230772</v>
      </c>
      <c r="CT34" s="12">
        <f>IF('Données projet'!$A$140&gt;35,CT33+CS34-DB33,IF(A34&lt;'Données projet'!$A$140,$CQ$205^A34,IF(A34='Données projet'!$A$140,'Données projet'!$B$140,CT33+CS34-DB33)))</f>
        <v>124.57730769230767</v>
      </c>
      <c r="CU34" s="17">
        <f>CT34*VLOOKUP('Données projet'!$B$13,Paramètres!$A$1:$I$89,3,0)*VLOOKUP('Données projet'!$B$13,Paramètres!$A$1:$I$89,5,0)</f>
        <v>118.54776599999997</v>
      </c>
      <c r="CV34" s="13">
        <f t="shared" si="41"/>
        <v>31.336049916088196</v>
      </c>
      <c r="CW34" s="20">
        <f t="shared" si="13"/>
        <v>261.0476460538535</v>
      </c>
      <c r="CX34" s="59">
        <f t="shared" si="14"/>
        <v>554.38097938718681</v>
      </c>
      <c r="CY34" s="59">
        <f ca="1">AVERAGE(OFFSET($CX$3,0,0,'Données projet'!$E$13+1,1))-AVERAGE(OFFSET($H$3,0,0,'Données projet'!$E$13+1,1))</f>
        <v>733.95677909788878</v>
      </c>
      <c r="CZ34" s="59">
        <f t="shared" si="42"/>
        <v>264.63778997972378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31.4</v>
      </c>
      <c r="N35" s="13">
        <f>IF('Données projet'!$A$36&gt;35,N34+M35-V34,IF(A35&lt;'Données projet'!$A$36,$K$205^A35,IF(A35='Données projet'!$A$36,'Données projet'!$B$36,N34+M35-V34)))</f>
        <v>365.80000000000007</v>
      </c>
      <c r="O35" s="13">
        <f>N35*VLOOKUP('Données projet'!$B$9,Paramètres!$A$1:$I$89,3,0)*VLOOKUP('Données projet'!$B$9,Paramètres!$A$1:$I$89,5,0)</f>
        <v>171.19440000000003</v>
      </c>
      <c r="P35" s="13">
        <f t="shared" si="33"/>
        <v>43.35742035290977</v>
      </c>
      <c r="Q35" s="20">
        <f t="shared" ref="Q35:Q66" si="53">(O35+P35)*0.475*44/12</f>
        <v>373.6777537813179</v>
      </c>
      <c r="R35" s="59">
        <f t="shared" si="0"/>
        <v>667.01108711465122</v>
      </c>
      <c r="S35" s="59">
        <f ca="1">AVERAGE(OFFSET($R$3,0,0,'Données projet'!$E$9+1,1))-AVERAGE(OFFSET($H$3,0,0,'Données projet'!$E$9+1,1))</f>
        <v>488.67934252295686</v>
      </c>
      <c r="T35" s="59">
        <f t="shared" si="34"/>
        <v>424.50324471331095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46.344832684169312</v>
      </c>
      <c r="AB35" s="21">
        <f>EXP(-LN(2)/2)*AB34+(1-EXP(-LN(2)/2))/(LN(2)/2)*V35*Y35*VLOOKUP('Données projet'!$B$9,Paramètres!$A$1:$I$89,3,0)*0.475*44/12</f>
        <v>0.40569298510745178</v>
      </c>
      <c r="AC35" s="22">
        <f t="shared" si="3"/>
        <v>46.750525669276762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24.2</v>
      </c>
      <c r="AI35" s="13">
        <f>IF('Données projet'!$A$62&gt;35,AI34+AH35-AQ34,IF(A35&lt;'Données projet'!$A$62,$AF$205^A35,IF(A35='Données projet'!$A$62,'Données projet'!$B$62,AI34+AH35-AQ34)))</f>
        <v>296.40000000000009</v>
      </c>
      <c r="AJ35" s="13">
        <f>AI35*VLOOKUP('Données projet'!$B$10,Paramètres!$A$1:$I$89,3,0)*VLOOKUP('Données projet'!$B$10,Paramètres!$A$1:$I$89,5,0)</f>
        <v>177.24720000000008</v>
      </c>
      <c r="AK35" s="13">
        <f t="shared" si="35"/>
        <v>44.709190633994517</v>
      </c>
      <c r="AL35" s="20">
        <f t="shared" si="4"/>
        <v>386.57404702087388</v>
      </c>
      <c r="AM35" s="59">
        <f t="shared" si="5"/>
        <v>679.90738035420713</v>
      </c>
      <c r="AN35" s="59">
        <f ca="1">AVERAGE(OFFSET($AM$3,0,0,'Données projet'!$E$10+1,1))-AVERAGE(OFFSET($H$3,0,0,'Données projet'!$E$10+1,1))</f>
        <v>504.81063008331739</v>
      </c>
      <c r="AO35" s="59">
        <f t="shared" si="36"/>
        <v>441.82647565372287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55.703151408846729</v>
      </c>
      <c r="AW35" s="21">
        <f>EXP(-LN(2)/2)*AW34+(1-EXP(-LN(2)/2))/(LN(2)/2)*AQ35*AT35*VLOOKUP('Données projet'!$B$10,Paramètres!$A$1:$I$89,3,0)*0.475*44/12</f>
        <v>2.6182420633070344E-2</v>
      </c>
      <c r="AX35" s="21">
        <f t="shared" si="6"/>
        <v>55.729333829479799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139.6</v>
      </c>
      <c r="BE35" s="13">
        <f>BD35*VLOOKUP('Données projet'!$B$11,Paramètres!$A$1:$I$89,3,0)*VLOOKUP('Données projet'!$B$11,Paramètres!$A$1:$I$89,5,0)</f>
        <v>121.95456</v>
      </c>
      <c r="BF35" s="13">
        <f t="shared" si="37"/>
        <v>32.130438767300902</v>
      </c>
      <c r="BG35" s="20">
        <f t="shared" si="7"/>
        <v>268.36470618638242</v>
      </c>
      <c r="BH35" s="59">
        <f t="shared" si="8"/>
        <v>561.69803951971573</v>
      </c>
      <c r="BI35" s="59">
        <f ca="1">AVERAGE(OFFSET($BH$3,0,0,'Données projet'!$E$11+1,1))-AVERAGE(OFFSET($H$3,0,0,'Données projet'!$E$11+1,1))</f>
        <v>324.86930206492627</v>
      </c>
      <c r="BJ35" s="59">
        <f t="shared" si="38"/>
        <v>317.03005098025352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114.60000000000004</v>
      </c>
      <c r="BZ35" s="13">
        <f>BY35*VLOOKUP('Données projet'!$B$12,Paramètres!$A$1:$I$89,3,0)*VLOOKUP('Données projet'!$B$12,Paramètres!$A$1:$I$89,5,0)</f>
        <v>116.20440000000004</v>
      </c>
      <c r="CA35" s="13">
        <f t="shared" si="39"/>
        <v>30.788088768016376</v>
      </c>
      <c r="CB35" s="20">
        <f t="shared" si="10"/>
        <v>256.01191793762854</v>
      </c>
      <c r="CC35" s="59">
        <f t="shared" si="11"/>
        <v>549.34525127096185</v>
      </c>
      <c r="CD35" s="59">
        <f ca="1">AVERAGE(OFFSET($CC$3,0,0,'Données projet'!$E$12+1,1))-AVERAGE(OFFSET($H$3,0,0,'Données projet'!$E$12+1,1))</f>
        <v>487.18832528146936</v>
      </c>
      <c r="CE35" s="59">
        <f t="shared" si="40"/>
        <v>306.61893266146666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16.154230769230772</v>
      </c>
      <c r="CT35" s="12">
        <f>IF('Données projet'!$A$140&gt;35,CT34+CS35-DB34,IF(A35&lt;'Données projet'!$A$140,$CQ$205^A35,IF(A35='Données projet'!$A$140,'Données projet'!$B$140,CT34+CS35-DB34)))</f>
        <v>140.73153846153843</v>
      </c>
      <c r="CU35" s="17">
        <f>CT35*VLOOKUP('Données projet'!$B$13,Paramètres!$A$1:$I$89,3,0)*VLOOKUP('Données projet'!$B$13,Paramètres!$A$1:$I$89,5,0)</f>
        <v>133.920132</v>
      </c>
      <c r="CV35" s="13">
        <f t="shared" si="41"/>
        <v>34.900614560892329</v>
      </c>
      <c r="CW35" s="20">
        <f t="shared" si="13"/>
        <v>294.02946692688749</v>
      </c>
      <c r="CX35" s="59">
        <f t="shared" si="14"/>
        <v>587.36280026022087</v>
      </c>
      <c r="CY35" s="59">
        <f ca="1">AVERAGE(OFFSET($CX$3,0,0,'Données projet'!$E$13+1,1))-AVERAGE(OFFSET($H$3,0,0,'Données projet'!$E$13+1,1))</f>
        <v>733.95677909788878</v>
      </c>
      <c r="CZ35" s="59">
        <f t="shared" si="42"/>
        <v>264.63778997972378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31.4</v>
      </c>
      <c r="N36" s="13">
        <f>IF('Données projet'!$A$36&gt;35,N35+M36-V35,IF(A36&lt;'Données projet'!$A$36,$K$205^A36,IF(A36='Données projet'!$A$36,'Données projet'!$B$36,N35+M36-V35)))</f>
        <v>397.20000000000005</v>
      </c>
      <c r="O36" s="13">
        <f>N36*VLOOKUP('Données projet'!$B$9,Paramètres!$A$1:$I$89,3,0)*VLOOKUP('Données projet'!$B$9,Paramètres!$A$1:$I$89,5,0)</f>
        <v>185.88960000000003</v>
      </c>
      <c r="P36" s="13">
        <f t="shared" si="33"/>
        <v>46.630048262555164</v>
      </c>
      <c r="Q36" s="20">
        <f t="shared" si="53"/>
        <v>404.97172072395028</v>
      </c>
      <c r="R36" s="59">
        <f t="shared" si="0"/>
        <v>698.30505405728354</v>
      </c>
      <c r="S36" s="59">
        <f ca="1">AVERAGE(OFFSET($R$3,0,0,'Données projet'!$E$9+1,1))-AVERAGE(OFFSET($H$3,0,0,'Données projet'!$E$9+1,1))</f>
        <v>488.67934252295686</v>
      </c>
      <c r="T36" s="59">
        <f t="shared" si="34"/>
        <v>424.50324471331095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45.077530797251875</v>
      </c>
      <c r="AB36" s="21">
        <f>EXP(-LN(2)/2)*AB35+(1-EXP(-LN(2)/2))/(LN(2)/2)*V36*Y36*VLOOKUP('Données projet'!$B$9,Paramètres!$A$1:$I$89,3,0)*0.475*44/12</f>
        <v>0.28686826084929218</v>
      </c>
      <c r="AC36" s="22">
        <f t="shared" si="3"/>
        <v>45.364399058101164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24.2</v>
      </c>
      <c r="AI36" s="13">
        <f>IF('Données projet'!$A$62&gt;35,AI35+AH36-AQ35,IF(A36&lt;'Données projet'!$A$62,$AF$205^A36,IF(A36='Données projet'!$A$62,'Données projet'!$B$62,AI35+AH36-AQ35)))</f>
        <v>320.60000000000008</v>
      </c>
      <c r="AJ36" s="13">
        <f>AI36*VLOOKUP('Données projet'!$B$10,Paramètres!$A$1:$I$89,3,0)*VLOOKUP('Données projet'!$B$10,Paramètres!$A$1:$I$89,5,0)</f>
        <v>191.71880000000007</v>
      </c>
      <c r="AK36" s="13">
        <f t="shared" si="35"/>
        <v>47.919755728134994</v>
      </c>
      <c r="AL36" s="20">
        <f t="shared" si="4"/>
        <v>417.37048455983518</v>
      </c>
      <c r="AM36" s="59">
        <f t="shared" si="5"/>
        <v>710.70381789316843</v>
      </c>
      <c r="AN36" s="59">
        <f ca="1">AVERAGE(OFFSET($AM$3,0,0,'Données projet'!$E$10+1,1))-AVERAGE(OFFSET($H$3,0,0,'Données projet'!$E$10+1,1))</f>
        <v>504.81063008331739</v>
      </c>
      <c r="AO36" s="59">
        <f t="shared" si="36"/>
        <v>441.82647565372287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54.179945804270396</v>
      </c>
      <c r="AW36" s="21">
        <f>EXP(-LN(2)/2)*AW35+(1-EXP(-LN(2)/2))/(LN(2)/2)*AQ36*AT36*VLOOKUP('Données projet'!$B$10,Paramètres!$A$1:$I$89,3,0)*0.475*44/12</f>
        <v>1.8513767177522619E-2</v>
      </c>
      <c r="AX36" s="21">
        <f t="shared" si="6"/>
        <v>54.19845957144792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150.4</v>
      </c>
      <c r="BE36" s="13">
        <f>BD36*VLOOKUP('Données projet'!$B$11,Paramètres!$A$1:$I$89,3,0)*VLOOKUP('Données projet'!$B$11,Paramètres!$A$1:$I$89,5,0)</f>
        <v>131.38944000000004</v>
      </c>
      <c r="BF36" s="13">
        <f t="shared" si="37"/>
        <v>34.317219199328761</v>
      </c>
      <c r="BG36" s="20">
        <f t="shared" si="7"/>
        <v>288.60576477216426</v>
      </c>
      <c r="BH36" s="59">
        <f t="shared" si="8"/>
        <v>581.93909810549758</v>
      </c>
      <c r="BI36" s="59">
        <f ca="1">AVERAGE(OFFSET($BH$3,0,0,'Données projet'!$E$11+1,1))-AVERAGE(OFFSET($H$3,0,0,'Données projet'!$E$11+1,1))</f>
        <v>324.86930206492627</v>
      </c>
      <c r="BJ36" s="59">
        <f t="shared" si="38"/>
        <v>317.03005098025352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125.40000000000003</v>
      </c>
      <c r="BZ36" s="13">
        <f>BY36*VLOOKUP('Données projet'!$B$12,Paramètres!$A$1:$I$89,3,0)*VLOOKUP('Données projet'!$B$12,Paramètres!$A$1:$I$89,5,0)</f>
        <v>127.15560000000004</v>
      </c>
      <c r="CA36" s="13">
        <f t="shared" si="39"/>
        <v>33.338258149231912</v>
      </c>
      <c r="CB36" s="20">
        <f t="shared" si="10"/>
        <v>279.52680294324563</v>
      </c>
      <c r="CC36" s="59">
        <f t="shared" si="11"/>
        <v>572.86013627657894</v>
      </c>
      <c r="CD36" s="59">
        <f ca="1">AVERAGE(OFFSET($CC$3,0,0,'Données projet'!$E$12+1,1))-AVERAGE(OFFSET($H$3,0,0,'Données projet'!$E$12+1,1))</f>
        <v>487.18832528146936</v>
      </c>
      <c r="CE36" s="59">
        <f t="shared" si="40"/>
        <v>306.61893266146666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16.154230769230772</v>
      </c>
      <c r="CT36" s="12">
        <f>IF('Données projet'!$A$140&gt;35,CT35+CS36-DB35,IF(A36&lt;'Données projet'!$A$140,$CQ$205^A36,IF(A36='Données projet'!$A$140,'Données projet'!$B$140,CT35+CS36-DB35)))</f>
        <v>156.8857692307692</v>
      </c>
      <c r="CU36" s="17">
        <f>CT36*VLOOKUP('Données projet'!$B$13,Paramètres!$A$1:$I$89,3,0)*VLOOKUP('Données projet'!$B$13,Paramètres!$A$1:$I$89,5,0)</f>
        <v>149.29249799999997</v>
      </c>
      <c r="CV36" s="13">
        <f t="shared" si="41"/>
        <v>38.417759038422588</v>
      </c>
      <c r="CW36" s="20">
        <f t="shared" si="13"/>
        <v>326.92869767525264</v>
      </c>
      <c r="CX36" s="59">
        <f t="shared" si="14"/>
        <v>620.26203100858595</v>
      </c>
      <c r="CY36" s="59">
        <f ca="1">AVERAGE(OFFSET($CX$3,0,0,'Données projet'!$E$13+1,1))-AVERAGE(OFFSET($H$3,0,0,'Données projet'!$E$13+1,1))</f>
        <v>733.95677909788878</v>
      </c>
      <c r="CZ36" s="59">
        <f t="shared" si="42"/>
        <v>264.63778997972378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31.4</v>
      </c>
      <c r="N37" s="13">
        <f>IF('Données projet'!$A$36&gt;35,N36+M37-V36,IF(A37&lt;'Données projet'!$A$36,$K$205^A37,IF(A37='Données projet'!$A$36,'Données projet'!$B$36,N36+M37-V36)))</f>
        <v>428.6</v>
      </c>
      <c r="O37" s="13">
        <f>N37*VLOOKUP('Données projet'!$B$9,Paramètres!$A$1:$I$89,3,0)*VLOOKUP('Données projet'!$B$9,Paramètres!$A$1:$I$89,5,0)</f>
        <v>200.5848</v>
      </c>
      <c r="P37" s="13">
        <f t="shared" si="33"/>
        <v>49.872667217659334</v>
      </c>
      <c r="Q37" s="20">
        <f t="shared" si="53"/>
        <v>436.21342207075668</v>
      </c>
      <c r="R37" s="59">
        <f t="shared" si="0"/>
        <v>729.54675540408994</v>
      </c>
      <c r="S37" s="59">
        <f ca="1">AVERAGE(OFFSET($R$3,0,0,'Données projet'!$E$9+1,1))-AVERAGE(OFFSET($H$3,0,0,'Données projet'!$E$9+1,1))</f>
        <v>488.67934252295686</v>
      </c>
      <c r="T37" s="59">
        <f t="shared" si="34"/>
        <v>424.50324471331095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43.844883347076703</v>
      </c>
      <c r="AB37" s="21">
        <f>EXP(-LN(2)/2)*AB36+(1-EXP(-LN(2)/2))/(LN(2)/2)*V37*Y37*VLOOKUP('Données projet'!$B$9,Paramètres!$A$1:$I$89,3,0)*0.475*44/12</f>
        <v>0.20284649255372589</v>
      </c>
      <c r="AC37" s="22">
        <f t="shared" si="3"/>
        <v>44.047729839630428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24.2</v>
      </c>
      <c r="AI37" s="13">
        <f>IF('Données projet'!$A$62&gt;35,AI36+AH37-AQ36,IF(A37&lt;'Données projet'!$A$62,$AF$205^A37,IF(A37='Données projet'!$A$62,'Données projet'!$B$62,AI36+AH37-AQ36)))</f>
        <v>344.80000000000007</v>
      </c>
      <c r="AJ37" s="13">
        <f>AI37*VLOOKUP('Données projet'!$B$10,Paramètres!$A$1:$I$89,3,0)*VLOOKUP('Données projet'!$B$10,Paramètres!$A$1:$I$89,5,0)</f>
        <v>206.19040000000004</v>
      </c>
      <c r="AK37" s="13">
        <f t="shared" si="35"/>
        <v>51.102207309460546</v>
      </c>
      <c r="AL37" s="20">
        <f t="shared" si="4"/>
        <v>448.11795773064387</v>
      </c>
      <c r="AM37" s="59">
        <f t="shared" si="5"/>
        <v>741.45129106397712</v>
      </c>
      <c r="AN37" s="59">
        <f ca="1">AVERAGE(OFFSET($AM$3,0,0,'Données projet'!$E$10+1,1))-AVERAGE(OFFSET($H$3,0,0,'Données projet'!$E$10+1,1))</f>
        <v>504.81063008331739</v>
      </c>
      <c r="AO37" s="59">
        <f t="shared" si="36"/>
        <v>441.82647565372287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52.6983923370531</v>
      </c>
      <c r="AW37" s="21">
        <f>EXP(-LN(2)/2)*AW36+(1-EXP(-LN(2)/2))/(LN(2)/2)*AQ37*AT37*VLOOKUP('Données projet'!$B$10,Paramètres!$A$1:$I$89,3,0)*0.475*44/12</f>
        <v>1.3091210316535172E-2</v>
      </c>
      <c r="AX37" s="21">
        <f t="shared" si="6"/>
        <v>52.711483547369639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161.20000000000002</v>
      </c>
      <c r="BE37" s="13">
        <f>BD37*VLOOKUP('Données projet'!$B$11,Paramètres!$A$1:$I$89,3,0)*VLOOKUP('Données projet'!$B$11,Paramètres!$A$1:$I$89,5,0)</f>
        <v>140.82432000000003</v>
      </c>
      <c r="BF37" s="13">
        <f t="shared" si="37"/>
        <v>36.485781060837802</v>
      </c>
      <c r="BG37" s="20">
        <f t="shared" si="7"/>
        <v>308.81509268095925</v>
      </c>
      <c r="BH37" s="59">
        <f t="shared" si="8"/>
        <v>602.14842601429257</v>
      </c>
      <c r="BI37" s="59">
        <f ca="1">AVERAGE(OFFSET($BH$3,0,0,'Données projet'!$E$11+1,1))-AVERAGE(OFFSET($H$3,0,0,'Données projet'!$E$11+1,1))</f>
        <v>324.86930206492627</v>
      </c>
      <c r="BJ37" s="59">
        <f t="shared" si="38"/>
        <v>317.03005098025352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136.20000000000005</v>
      </c>
      <c r="BZ37" s="13">
        <f>BY37*VLOOKUP('Données projet'!$B$12,Paramètres!$A$1:$I$89,3,0)*VLOOKUP('Données projet'!$B$12,Paramètres!$A$1:$I$89,5,0)</f>
        <v>138.10680000000005</v>
      </c>
      <c r="CA37" s="13">
        <f t="shared" si="39"/>
        <v>35.862956890686135</v>
      </c>
      <c r="CB37" s="20">
        <f t="shared" si="10"/>
        <v>302.99732658461176</v>
      </c>
      <c r="CC37" s="59">
        <f t="shared" si="11"/>
        <v>596.33065991794501</v>
      </c>
      <c r="CD37" s="59">
        <f ca="1">AVERAGE(OFFSET($CC$3,0,0,'Données projet'!$E$12+1,1))-AVERAGE(OFFSET($H$3,0,0,'Données projet'!$E$12+1,1))</f>
        <v>487.18832528146936</v>
      </c>
      <c r="CE37" s="59">
        <f t="shared" si="40"/>
        <v>306.61893266146666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>
        <f>VLOOKUP(A37,'Données projet'!$A$139:$I$159,2,0)</f>
        <v>173.04</v>
      </c>
      <c r="CR37" s="12">
        <f>VLOOKUP(A37,'Données projet'!$A$139:$I$159,9,0)</f>
        <v>16.154230769230772</v>
      </c>
      <c r="CS37" s="12">
        <f t="array" ref="CS37">INDEX(CR:CR,MIN(IF(ISNUMBER(CR37:CR233),ROW(CR37:CR233),"")))</f>
        <v>16.154230769230772</v>
      </c>
      <c r="CT37" s="12">
        <f>IF('Données projet'!$A$140&gt;35,CT36+CS37-DB36,IF(A37&lt;'Données projet'!$A$140,$CQ$205^A37,IF(A37='Données projet'!$A$140,'Données projet'!$B$140,CT36+CS37-DB36)))</f>
        <v>173.03999999999996</v>
      </c>
      <c r="CU37" s="17">
        <f>CT37*VLOOKUP('Données projet'!$B$13,Paramètres!$A$1:$I$89,3,0)*VLOOKUP('Données projet'!$B$13,Paramètres!$A$1:$I$89,5,0)</f>
        <v>164.66486399999997</v>
      </c>
      <c r="CV37" s="13">
        <f t="shared" si="41"/>
        <v>41.892922206459033</v>
      </c>
      <c r="CW37" s="20">
        <f t="shared" si="13"/>
        <v>359.75481097624942</v>
      </c>
      <c r="CX37" s="59">
        <f t="shared" si="14"/>
        <v>653.08814430958273</v>
      </c>
      <c r="CY37" s="59">
        <f ca="1">AVERAGE(OFFSET($CX$3,0,0,'Données projet'!$E$13+1,1))-AVERAGE(OFFSET($H$3,0,0,'Données projet'!$E$13+1,1))</f>
        <v>733.95677909788878</v>
      </c>
      <c r="CZ37" s="59">
        <f t="shared" si="42"/>
        <v>264.63778997972378</v>
      </c>
      <c r="DA37" s="15">
        <f>IF(ISNA(VLOOKUP(A37,'Données projet'!$A$139:$I$159,3,0)),0,VLOOKUP(A37,'Données projet'!$A$139:$I$159,3,0))</f>
        <v>1</v>
      </c>
      <c r="DB37" s="15">
        <f>IF(ISNA(VLOOKUP(A37,'Données projet'!$A$139:$I$159,4,0)),0,VLOOKUP(A37,'Données projet'!$A$139:$I$159,4,0))</f>
        <v>35.450000000000003</v>
      </c>
      <c r="DC37" s="16">
        <f>IF(ISNA(VLOOKUP(A37,'Données projet'!$A$139:$I$159,5,0)),0%,VLOOKUP(A37,'Données projet'!$A$139:$I$159,5,0)*VLOOKUP('Données projet'!$B$13,Paramètres!$A$1:$I$89,7,0))</f>
        <v>0.43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16.035637824258654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16.035637824258654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460</v>
      </c>
      <c r="L38" s="12">
        <f>VLOOKUP(A38,'Données projet'!$A$35:$I$55,9,0)</f>
        <v>31.4</v>
      </c>
      <c r="M38" s="12">
        <f t="array" ref="M38">INDEX(L:L,MIN(IF(ISNUMBER(L38:L234),ROW(L38:L234),"")))</f>
        <v>31.4</v>
      </c>
      <c r="N38" s="13">
        <f>IF('Données projet'!$A$36&gt;35,N37+M38-V37,IF(A38&lt;'Données projet'!$A$36,$K$205^A38,IF(A38='Données projet'!$A$36,'Données projet'!$B$36,N37+M38-V37)))</f>
        <v>460</v>
      </c>
      <c r="O38" s="13">
        <f>N38*VLOOKUP('Données projet'!$B$9,Paramètres!$A$1:$I$89,3,0)*VLOOKUP('Données projet'!$B$9,Paramètres!$A$1:$I$89,5,0)</f>
        <v>215.28</v>
      </c>
      <c r="P38" s="13">
        <f t="shared" si="33"/>
        <v>53.087725740853138</v>
      </c>
      <c r="Q38" s="20">
        <f t="shared" si="53"/>
        <v>467.40712233198587</v>
      </c>
      <c r="R38" s="59">
        <f t="shared" si="0"/>
        <v>760.74045566531913</v>
      </c>
      <c r="S38" s="59">
        <f ca="1">AVERAGE(OFFSET($R$3,0,0,'Données projet'!$E$9+1,1))-AVERAGE(OFFSET($H$3,0,0,'Données projet'!$E$9+1,1))</f>
        <v>488.67934252295686</v>
      </c>
      <c r="T38" s="59">
        <f t="shared" si="34"/>
        <v>424.50324471331095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77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26.2922421939206</v>
      </c>
      <c r="AA38" s="21">
        <f>EXP(-LN(2)/25)*AA37+(1-EXP(-LN(2)/25))/(LN(2)/25)*Calculateur!V38*Calculateur!X38*VLOOKUP('Données projet'!$B$9,Paramètres!$A$1:$I$89,3,0)*0.475*44/12</f>
        <v>42.645942706248682</v>
      </c>
      <c r="AB38" s="21">
        <f>EXP(-LN(2)/2)*AB37+(1-EXP(-LN(2)/2))/(LN(2)/2)*V38*Y38*VLOOKUP('Données projet'!$B$9,Paramètres!$A$1:$I$89,3,0)*0.475*44/12</f>
        <v>0.14343413042464609</v>
      </c>
      <c r="AC38" s="22">
        <f t="shared" si="3"/>
        <v>69.081619030593941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369</v>
      </c>
      <c r="AG38" s="12">
        <f>VLOOKUP(A38,'Données projet'!$A$61:$I$81,9,0)</f>
        <v>24.2</v>
      </c>
      <c r="AH38" s="12">
        <f t="array" ref="AH38">INDEX(AG:AG,MIN(IF(ISNUMBER(AG38:AG234),ROW(AG38:AG234),"")))</f>
        <v>24.2</v>
      </c>
      <c r="AI38" s="13">
        <f>IF('Données projet'!$A$62&gt;35,AI37+AH38-AQ37,IF(A38&lt;'Données projet'!$A$62,$AF$205^A38,IF(A38='Données projet'!$A$62,'Données projet'!$B$62,AI37+AH38-AQ37)))</f>
        <v>369.00000000000006</v>
      </c>
      <c r="AJ38" s="13">
        <f>AI38*VLOOKUP('Données projet'!$B$10,Paramètres!$A$1:$I$89,3,0)*VLOOKUP('Données projet'!$B$10,Paramètres!$A$1:$I$89,5,0)</f>
        <v>220.66200000000006</v>
      </c>
      <c r="AK38" s="13">
        <f t="shared" si="35"/>
        <v>54.258742979955002</v>
      </c>
      <c r="AL38" s="20">
        <f t="shared" si="4"/>
        <v>478.82029402342181</v>
      </c>
      <c r="AM38" s="59">
        <f t="shared" si="5"/>
        <v>772.15362735675512</v>
      </c>
      <c r="AN38" s="59">
        <f ca="1">AVERAGE(OFFSET($AM$3,0,0,'Données projet'!$E$10+1,1))-AVERAGE(OFFSET($H$3,0,0,'Données projet'!$E$10+1,1))</f>
        <v>504.81063008331739</v>
      </c>
      <c r="AO38" s="59">
        <f t="shared" si="36"/>
        <v>441.82647565372287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63</v>
      </c>
      <c r="AR38" s="16">
        <f>IF(ISNA(VLOOKUP(A38,'Données projet'!$A$61:$I$81,5,0)),0%,VLOOKUP(A38,'Données projet'!$A$61:$I$81,5,0)*VLOOKUP('Données projet'!$B$10,Paramètres!$A$1:$I$89,7,0))</f>
        <v>0.45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22.489645182403162</v>
      </c>
      <c r="AV38" s="21">
        <f>EXP(-LN(2)/25)*AV37+(1-EXP(-LN(2)/25))/(LN(2)/25)*Calculateur!AQ38*Calculateur!AS38*VLOOKUP('Données projet'!$B$10,Paramètres!$A$1:$I$89,3,0)*0.475*44/12</f>
        <v>51.257352027308372</v>
      </c>
      <c r="AW38" s="21">
        <f>EXP(-LN(2)/2)*AW37+(1-EXP(-LN(2)/2))/(LN(2)/2)*AQ38*AT38*VLOOKUP('Données projet'!$B$10,Paramètres!$A$1:$I$89,3,0)*0.475*44/12</f>
        <v>9.2568835887613093E-3</v>
      </c>
      <c r="AX38" s="21">
        <f t="shared" si="6"/>
        <v>73.756254093300299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172.00000000000003</v>
      </c>
      <c r="BE38" s="13">
        <f>BD38*VLOOKUP('Données projet'!$B$11,Paramètres!$A$1:$I$89,3,0)*VLOOKUP('Données projet'!$B$11,Paramètres!$A$1:$I$89,5,0)</f>
        <v>150.25920000000005</v>
      </c>
      <c r="BF38" s="13">
        <f t="shared" si="37"/>
        <v>38.637483830798729</v>
      </c>
      <c r="BG38" s="20">
        <f t="shared" si="7"/>
        <v>328.99505767197456</v>
      </c>
      <c r="BH38" s="59">
        <f t="shared" si="8"/>
        <v>622.32839100530782</v>
      </c>
      <c r="BI38" s="59">
        <f ca="1">AVERAGE(OFFSET($BH$3,0,0,'Données projet'!$E$11+1,1))-AVERAGE(OFFSET($H$3,0,0,'Données projet'!$E$11+1,1))</f>
        <v>324.86930206492627</v>
      </c>
      <c r="BJ38" s="59">
        <f t="shared" si="38"/>
        <v>317.03005098025352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14.331565625630182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14.331565625630182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147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147.00000000000006</v>
      </c>
      <c r="BZ38" s="13">
        <f>BY38*VLOOKUP('Données projet'!$B$12,Paramètres!$A$1:$I$89,3,0)*VLOOKUP('Données projet'!$B$12,Paramètres!$A$1:$I$89,5,0)</f>
        <v>149.05800000000008</v>
      </c>
      <c r="CA38" s="13">
        <f t="shared" si="39"/>
        <v>38.364434314370335</v>
      </c>
      <c r="CB38" s="20">
        <f t="shared" si="10"/>
        <v>326.42740643086182</v>
      </c>
      <c r="CC38" s="59">
        <f t="shared" si="11"/>
        <v>619.76073976419514</v>
      </c>
      <c r="CD38" s="59">
        <f ca="1">AVERAGE(OFFSET($CC$3,0,0,'Données projet'!$E$12+1,1))-AVERAGE(OFFSET($H$3,0,0,'Données projet'!$E$12+1,1))</f>
        <v>487.18832528146936</v>
      </c>
      <c r="CE38" s="59">
        <f t="shared" si="40"/>
        <v>306.61893266146666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13.496201456750795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13.496201456750795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13.802500000000002</v>
      </c>
      <c r="CT38" s="12">
        <f>IF('Données projet'!$A$140&gt;35,CT37+CS38-DB37,IF(A38&lt;'Données projet'!$A$140,$CQ$205^A38,IF(A38='Données projet'!$A$140,'Données projet'!$B$140,CT37+CS38-DB37)))</f>
        <v>151.39249999999998</v>
      </c>
      <c r="CU38" s="17">
        <f>CT38*VLOOKUP('Données projet'!$B$13,Paramètres!$A$1:$I$89,3,0)*VLOOKUP('Données projet'!$B$13,Paramètres!$A$1:$I$89,5,0)</f>
        <v>144.06510299999997</v>
      </c>
      <c r="CV38" s="13">
        <f t="shared" si="41"/>
        <v>37.226706503880685</v>
      </c>
      <c r="CW38" s="20">
        <f t="shared" si="13"/>
        <v>315.74990155259206</v>
      </c>
      <c r="CX38" s="59">
        <f t="shared" si="14"/>
        <v>609.08323488592532</v>
      </c>
      <c r="CY38" s="59">
        <f ca="1">AVERAGE(OFFSET($CX$3,0,0,'Données projet'!$E$13+1,1))-AVERAGE(OFFSET($H$3,0,0,'Données projet'!$E$13+1,1))</f>
        <v>733.95677909788878</v>
      </c>
      <c r="CZ38" s="59">
        <f t="shared" si="42"/>
        <v>264.63778997972378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15.721188747298243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15.721188747298243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30</v>
      </c>
      <c r="N39" s="13">
        <f>IF('Données projet'!$A$36&gt;35,N38+M39-V38,IF(A39&lt;'Données projet'!$A$36,$K$205^A39,IF(A39='Données projet'!$A$36,'Données projet'!$B$36,N38+M39-V38)))</f>
        <v>413</v>
      </c>
      <c r="O39" s="13">
        <f>N39*VLOOKUP('Données projet'!$B$9,Paramètres!$A$1:$I$89,3,0)*VLOOKUP('Données projet'!$B$9,Paramètres!$A$1:$I$89,5,0)</f>
        <v>193.28400000000002</v>
      </c>
      <c r="P39" s="13">
        <f t="shared" si="33"/>
        <v>48.265272920234025</v>
      </c>
      <c r="Q39" s="20">
        <f t="shared" si="53"/>
        <v>420.69831700274091</v>
      </c>
      <c r="R39" s="59">
        <f t="shared" si="0"/>
        <v>714.03165033607422</v>
      </c>
      <c r="S39" s="59">
        <f ca="1">AVERAGE(OFFSET($R$3,0,0,'Données projet'!$E$9+1,1))-AVERAGE(OFFSET($H$3,0,0,'Données projet'!$E$9+1,1))</f>
        <v>488.67934252295686</v>
      </c>
      <c r="T39" s="59">
        <f t="shared" si="34"/>
        <v>424.50324471331095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25.776667361182064</v>
      </c>
      <c r="AA39" s="21">
        <f>EXP(-LN(2)/25)*AA38+(1-EXP(-LN(2)/25))/(LN(2)/25)*Calculateur!V39*Calculateur!X39*VLOOKUP('Données projet'!$B$9,Paramètres!$A$1:$I$89,3,0)*0.475*44/12</f>
        <v>41.479787160293654</v>
      </c>
      <c r="AB39" s="21">
        <f>EXP(-LN(2)/2)*AB38+(1-EXP(-LN(2)/2))/(LN(2)/2)*V39*Y39*VLOOKUP('Données projet'!$B$9,Paramètres!$A$1:$I$89,3,0)*0.475*44/12</f>
        <v>0.10142324627686294</v>
      </c>
      <c r="AC39" s="22">
        <f t="shared" si="3"/>
        <v>67.357877767752584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23.6</v>
      </c>
      <c r="AI39" s="13">
        <f>IF('Données projet'!$A$62&gt;35,AI38+AH39-AQ38,IF(A39&lt;'Données projet'!$A$62,$AF$205^A39,IF(A39='Données projet'!$A$62,'Données projet'!$B$62,AI38+AH39-AQ38)))</f>
        <v>329.60000000000008</v>
      </c>
      <c r="AJ39" s="13">
        <f>AI39*VLOOKUP('Données projet'!$B$10,Paramètres!$A$1:$I$89,3,0)*VLOOKUP('Données projet'!$B$10,Paramètres!$A$1:$I$89,5,0)</f>
        <v>197.10080000000005</v>
      </c>
      <c r="AK39" s="13">
        <f t="shared" si="35"/>
        <v>49.10647084525754</v>
      </c>
      <c r="AL39" s="20">
        <f t="shared" si="4"/>
        <v>428.81099672215697</v>
      </c>
      <c r="AM39" s="59">
        <f t="shared" si="5"/>
        <v>722.14433005549029</v>
      </c>
      <c r="AN39" s="59">
        <f ca="1">AVERAGE(OFFSET($AM$3,0,0,'Données projet'!$E$10+1,1))-AVERAGE(OFFSET($H$3,0,0,'Données projet'!$E$10+1,1))</f>
        <v>504.81063008331739</v>
      </c>
      <c r="AO39" s="59">
        <f t="shared" si="36"/>
        <v>441.82647565372287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22.048636957705323</v>
      </c>
      <c r="AV39" s="21">
        <f>EXP(-LN(2)/25)*AV38+(1-EXP(-LN(2)/25))/(LN(2)/25)*Calculateur!AQ39*Calculateur!AS39*VLOOKUP('Données projet'!$B$10,Paramètres!$A$1:$I$89,3,0)*0.475*44/12</f>
        <v>49.855717040614628</v>
      </c>
      <c r="AW39" s="21">
        <f>EXP(-LN(2)/2)*AW38+(1-EXP(-LN(2)/2))/(LN(2)/2)*AQ39*AT39*VLOOKUP('Données projet'!$B$10,Paramètres!$A$1:$I$89,3,0)*0.475*44/12</f>
        <v>6.545605158267586E-3</v>
      </c>
      <c r="AX39" s="21">
        <f t="shared" si="6"/>
        <v>71.910899603478214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153.60000000000002</v>
      </c>
      <c r="BE39" s="13">
        <f>BD39*VLOOKUP('Données projet'!$B$11,Paramètres!$A$1:$I$89,3,0)*VLOOKUP('Données projet'!$B$11,Paramètres!$A$1:$I$89,5,0)</f>
        <v>134.18496000000005</v>
      </c>
      <c r="BF39" s="13">
        <f t="shared" si="37"/>
        <v>34.961590270648216</v>
      </c>
      <c r="BG39" s="20">
        <f t="shared" si="7"/>
        <v>294.59690838804573</v>
      </c>
      <c r="BH39" s="59">
        <f t="shared" si="8"/>
        <v>587.93024172137905</v>
      </c>
      <c r="BI39" s="59">
        <f ca="1">AVERAGE(OFFSET($BH$3,0,0,'Données projet'!$E$11+1,1))-AVERAGE(OFFSET($H$3,0,0,'Données projet'!$E$11+1,1))</f>
        <v>324.86930206492627</v>
      </c>
      <c r="BJ39" s="59">
        <f t="shared" si="38"/>
        <v>317.03005098025352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14.050532365103464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14.050532365103464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11.2</v>
      </c>
      <c r="BY39" s="12">
        <f>IF('Données projet'!$A$114&gt;35,BY38+BX39-CG38,IF(A39&lt;'Données projet'!$A$114,$BV$205^A39,IF(A39='Données projet'!$A$114,'Données projet'!$B$114,BY38+BX39-CG38)))</f>
        <v>130.20000000000005</v>
      </c>
      <c r="BZ39" s="13">
        <f>BY39*VLOOKUP('Données projet'!$B$12,Paramètres!$A$1:$I$89,3,0)*VLOOKUP('Données projet'!$B$12,Paramètres!$A$1:$I$89,5,0)</f>
        <v>132.02280000000007</v>
      </c>
      <c r="CA39" s="13">
        <f t="shared" si="39"/>
        <v>34.463348169992798</v>
      </c>
      <c r="CB39" s="20">
        <f t="shared" si="10"/>
        <v>289.96337472940422</v>
      </c>
      <c r="CC39" s="59">
        <f t="shared" si="11"/>
        <v>583.29670806273748</v>
      </c>
      <c r="CD39" s="59">
        <f ca="1">AVERAGE(OFFSET($CC$3,0,0,'Données projet'!$E$12+1,1))-AVERAGE(OFFSET($H$3,0,0,'Données projet'!$E$12+1,1))</f>
        <v>487.18832528146936</v>
      </c>
      <c r="CE39" s="59">
        <f t="shared" si="40"/>
        <v>306.61893266146666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13.231549178053971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13.231549178053971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13.802500000000002</v>
      </c>
      <c r="CT39" s="12">
        <f>IF('Données projet'!$A$140&gt;35,CT38+CS39-DB38,IF(A39&lt;'Données projet'!$A$140,$CQ$205^A39,IF(A39='Données projet'!$A$140,'Données projet'!$B$140,CT38+CS39-DB38)))</f>
        <v>165.19499999999999</v>
      </c>
      <c r="CU39" s="17">
        <f>CT39*VLOOKUP('Données projet'!$B$13,Paramètres!$A$1:$I$89,3,0)*VLOOKUP('Données projet'!$B$13,Paramètres!$A$1:$I$89,5,0)</f>
        <v>157.19956199999999</v>
      </c>
      <c r="CV39" s="13">
        <f t="shared" si="41"/>
        <v>40.210221135990906</v>
      </c>
      <c r="CW39" s="20">
        <f t="shared" si="13"/>
        <v>343.82203896185075</v>
      </c>
      <c r="CX39" s="59">
        <f t="shared" si="14"/>
        <v>637.15537229518407</v>
      </c>
      <c r="CY39" s="59">
        <f ca="1">AVERAGE(OFFSET($CX$3,0,0,'Données projet'!$E$13+1,1))-AVERAGE(OFFSET($H$3,0,0,'Données projet'!$E$13+1,1))</f>
        <v>733.95677909788878</v>
      </c>
      <c r="CZ39" s="59">
        <f t="shared" si="42"/>
        <v>264.63778997972378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15.412905824942026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15.412905824942026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30</v>
      </c>
      <c r="N40" s="13">
        <f>IF('Données projet'!$A$36&gt;35,N39+M40-V39,IF(A40&lt;'Données projet'!$A$36,$K$205^A40,IF(A40='Données projet'!$A$36,'Données projet'!$B$36,N39+M40-V39)))</f>
        <v>443</v>
      </c>
      <c r="O40" s="13">
        <f>N40*VLOOKUP('Données projet'!$B$9,Paramètres!$A$1:$I$89,3,0)*VLOOKUP('Données projet'!$B$9,Paramètres!$A$1:$I$89,5,0)</f>
        <v>207.32399999999998</v>
      </c>
      <c r="P40" s="13">
        <f t="shared" si="33"/>
        <v>51.350376612629674</v>
      </c>
      <c r="Q40" s="20">
        <f t="shared" si="53"/>
        <v>450.52453926699656</v>
      </c>
      <c r="R40" s="59">
        <f t="shared" si="0"/>
        <v>743.85787260032987</v>
      </c>
      <c r="S40" s="59">
        <f ca="1">AVERAGE(OFFSET($R$3,0,0,'Données projet'!$E$9+1,1))-AVERAGE(OFFSET($H$3,0,0,'Données projet'!$E$9+1,1))</f>
        <v>488.67934252295686</v>
      </c>
      <c r="T40" s="59">
        <f t="shared" si="34"/>
        <v>424.50324471331095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25.271202636443935</v>
      </c>
      <c r="AA40" s="21">
        <f>EXP(-LN(2)/25)*AA39+(1-EXP(-LN(2)/25))/(LN(2)/25)*Calculateur!V40*Calculateur!X40*VLOOKUP('Données projet'!$B$9,Paramètres!$A$1:$I$89,3,0)*0.475*44/12</f>
        <v>40.345520199068218</v>
      </c>
      <c r="AB40" s="21">
        <f>EXP(-LN(2)/2)*AB39+(1-EXP(-LN(2)/2))/(LN(2)/2)*V40*Y40*VLOOKUP('Données projet'!$B$9,Paramètres!$A$1:$I$89,3,0)*0.475*44/12</f>
        <v>7.1717065212323045E-2</v>
      </c>
      <c r="AC40" s="22">
        <f t="shared" si="3"/>
        <v>65.688439900724475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23.6</v>
      </c>
      <c r="AI40" s="13">
        <f>IF('Données projet'!$A$62&gt;35,AI39+AH40-AQ39,IF(A40&lt;'Données projet'!$A$62,$AF$205^A40,IF(A40='Données projet'!$A$62,'Données projet'!$B$62,AI39+AH40-AQ39)))</f>
        <v>353.2000000000001</v>
      </c>
      <c r="AJ40" s="13">
        <f>AI40*VLOOKUP('Données projet'!$B$10,Paramètres!$A$1:$I$89,3,0)*VLOOKUP('Données projet'!$B$10,Paramètres!$A$1:$I$89,5,0)</f>
        <v>211.2136000000001</v>
      </c>
      <c r="AK40" s="13">
        <f t="shared" si="35"/>
        <v>52.20069882503806</v>
      </c>
      <c r="AL40" s="20">
        <f t="shared" si="4"/>
        <v>458.77990378694136</v>
      </c>
      <c r="AM40" s="59">
        <f t="shared" si="5"/>
        <v>752.11323712027468</v>
      </c>
      <c r="AN40" s="59">
        <f ca="1">AVERAGE(OFFSET($AM$3,0,0,'Données projet'!$E$10+1,1))-AVERAGE(OFFSET($H$3,0,0,'Données projet'!$E$10+1,1))</f>
        <v>504.81063008331739</v>
      </c>
      <c r="AO40" s="59">
        <f t="shared" si="36"/>
        <v>441.82647565372287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21.616276635305354</v>
      </c>
      <c r="AV40" s="21">
        <f>EXP(-LN(2)/25)*AV39+(1-EXP(-LN(2)/25))/(LN(2)/25)*Calculateur!AQ40*Calculateur!AS40*VLOOKUP('Données projet'!$B$10,Paramètres!$A$1:$I$89,3,0)*0.475*44/12</f>
        <v>48.492409836340812</v>
      </c>
      <c r="AW40" s="21">
        <f>EXP(-LN(2)/2)*AW39+(1-EXP(-LN(2)/2))/(LN(2)/2)*AQ40*AT40*VLOOKUP('Données projet'!$B$10,Paramètres!$A$1:$I$89,3,0)*0.475*44/12</f>
        <v>4.6284417943806546E-3</v>
      </c>
      <c r="AX40" s="21">
        <f t="shared" si="6"/>
        <v>70.113314913440547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163.20000000000002</v>
      </c>
      <c r="BE40" s="13">
        <f>BD40*VLOOKUP('Données projet'!$B$11,Paramètres!$A$1:$I$89,3,0)*VLOOKUP('Données projet'!$B$11,Paramètres!$A$1:$I$89,5,0)</f>
        <v>142.57152000000005</v>
      </c>
      <c r="BF40" s="13">
        <f t="shared" si="37"/>
        <v>36.885479122455578</v>
      </c>
      <c r="BG40" s="20">
        <f t="shared" si="7"/>
        <v>312.5542734716102</v>
      </c>
      <c r="BH40" s="59">
        <f t="shared" si="8"/>
        <v>605.88760680494352</v>
      </c>
      <c r="BI40" s="59">
        <f ca="1">AVERAGE(OFFSET($BH$3,0,0,'Données projet'!$E$11+1,1))-AVERAGE(OFFSET($H$3,0,0,'Données projet'!$E$11+1,1))</f>
        <v>324.86930206492627</v>
      </c>
      <c r="BJ40" s="59">
        <f t="shared" si="38"/>
        <v>317.03005098025352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13.775009995402312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13.775009995402312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11.2</v>
      </c>
      <c r="BY40" s="12">
        <f>IF('Données projet'!$A$114&gt;35,BY39+BX40-CG39,IF(A40&lt;'Données projet'!$A$114,$BV$205^A40,IF(A40='Données projet'!$A$114,'Données projet'!$B$114,BY39+BX40-CG39)))</f>
        <v>141.40000000000003</v>
      </c>
      <c r="BZ40" s="13">
        <f>BY40*VLOOKUP('Données projet'!$B$12,Paramètres!$A$1:$I$89,3,0)*VLOOKUP('Données projet'!$B$12,Paramètres!$A$1:$I$89,5,0)</f>
        <v>143.37960000000004</v>
      </c>
      <c r="CA40" s="13">
        <f t="shared" si="39"/>
        <v>37.070146308317469</v>
      </c>
      <c r="CB40" s="20">
        <f t="shared" si="10"/>
        <v>314.28330815365302</v>
      </c>
      <c r="CC40" s="59">
        <f t="shared" si="11"/>
        <v>607.61664148698628</v>
      </c>
      <c r="CD40" s="59">
        <f ca="1">AVERAGE(OFFSET($CC$3,0,0,'Données projet'!$E$12+1,1))-AVERAGE(OFFSET($H$3,0,0,'Données projet'!$E$12+1,1))</f>
        <v>487.18832528146936</v>
      </c>
      <c r="CE40" s="59">
        <f t="shared" si="40"/>
        <v>306.61893266146666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12.972086569120441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12.972086569120441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13.802500000000002</v>
      </c>
      <c r="CT40" s="12">
        <f>IF('Données projet'!$A$140&gt;35,CT39+CS40-DB39,IF(A40&lt;'Données projet'!$A$140,$CQ$205^A40,IF(A40='Données projet'!$A$140,'Données projet'!$B$140,CT39+CS40-DB39)))</f>
        <v>178.9975</v>
      </c>
      <c r="CU40" s="17">
        <f>CT40*VLOOKUP('Données projet'!$B$13,Paramètres!$A$1:$I$89,3,0)*VLOOKUP('Données projet'!$B$13,Paramètres!$A$1:$I$89,5,0)</f>
        <v>170.33402100000001</v>
      </c>
      <c r="CV40" s="13">
        <f t="shared" si="41"/>
        <v>43.164824629429191</v>
      </c>
      <c r="CW40" s="20">
        <f t="shared" si="13"/>
        <v>371.84382280458914</v>
      </c>
      <c r="CX40" s="59">
        <f t="shared" si="14"/>
        <v>665.17715613792245</v>
      </c>
      <c r="CY40" s="59">
        <f ca="1">AVERAGE(OFFSET($CX$3,0,0,'Données projet'!$E$13+1,1))-AVERAGE(OFFSET($H$3,0,0,'Données projet'!$E$13+1,1))</f>
        <v>733.95677909788878</v>
      </c>
      <c r="CZ40" s="59">
        <f t="shared" si="42"/>
        <v>264.63778997972378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15.1106681426592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15.1106681426592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30</v>
      </c>
      <c r="N41" s="13">
        <f>IF('Données projet'!$A$36&gt;35,N40+M41-V40,IF(A41&lt;'Données projet'!$A$36,$K$205^A41,IF(A41='Données projet'!$A$36,'Données projet'!$B$36,N40+M41-V40)))</f>
        <v>473</v>
      </c>
      <c r="O41" s="13">
        <f>N41*VLOOKUP('Données projet'!$B$9,Paramètres!$A$1:$I$89,3,0)*VLOOKUP('Données projet'!$B$9,Paramètres!$A$1:$I$89,5,0)</f>
        <v>221.364</v>
      </c>
      <c r="P41" s="13">
        <f t="shared" si="33"/>
        <v>54.411237653200793</v>
      </c>
      <c r="Q41" s="20">
        <f t="shared" si="53"/>
        <v>480.30853891265809</v>
      </c>
      <c r="R41" s="59">
        <f t="shared" si="0"/>
        <v>773.64187224599141</v>
      </c>
      <c r="S41" s="59">
        <f ca="1">AVERAGE(OFFSET($R$3,0,0,'Données projet'!$E$9+1,1))-AVERAGE(OFFSET($H$3,0,0,'Données projet'!$E$9+1,1))</f>
        <v>488.67934252295686</v>
      </c>
      <c r="T41" s="59">
        <f t="shared" si="34"/>
        <v>424.50324471331095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24.77564976665488</v>
      </c>
      <c r="AA41" s="21">
        <f>EXP(-LN(2)/25)*AA40+(1-EXP(-LN(2)/25))/(LN(2)/25)*Calculateur!V41*Calculateur!X41*VLOOKUP('Données projet'!$B$9,Paramètres!$A$1:$I$89,3,0)*0.475*44/12</f>
        <v>39.242269827546004</v>
      </c>
      <c r="AB41" s="21">
        <f>EXP(-LN(2)/2)*AB40+(1-EXP(-LN(2)/2))/(LN(2)/2)*V41*Y41*VLOOKUP('Données projet'!$B$9,Paramètres!$A$1:$I$89,3,0)*0.475*44/12</f>
        <v>5.0711623138431472E-2</v>
      </c>
      <c r="AC41" s="22">
        <f t="shared" si="3"/>
        <v>64.068631217339316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23.6</v>
      </c>
      <c r="AI41" s="13">
        <f>IF('Données projet'!$A$62&gt;35,AI40+AH41-AQ40,IF(A41&lt;'Données projet'!$A$62,$AF$205^A41,IF(A41='Données projet'!$A$62,'Données projet'!$B$62,AI40+AH41-AQ40)))</f>
        <v>376.80000000000013</v>
      </c>
      <c r="AJ41" s="13">
        <f>AI41*VLOOKUP('Données projet'!$B$10,Paramètres!$A$1:$I$89,3,0)*VLOOKUP('Données projet'!$B$10,Paramètres!$A$1:$I$89,5,0)</f>
        <v>225.32640000000009</v>
      </c>
      <c r="AK41" s="13">
        <f t="shared" si="35"/>
        <v>55.270935716234675</v>
      </c>
      <c r="AL41" s="20">
        <f t="shared" si="4"/>
        <v>488.70702637244216</v>
      </c>
      <c r="AM41" s="59">
        <f t="shared" si="5"/>
        <v>782.04035970577547</v>
      </c>
      <c r="AN41" s="59">
        <f ca="1">AVERAGE(OFFSET($AM$3,0,0,'Données projet'!$E$10+1,1))-AVERAGE(OFFSET($H$3,0,0,'Données projet'!$E$10+1,1))</f>
        <v>504.81063008331739</v>
      </c>
      <c r="AO41" s="59">
        <f t="shared" si="36"/>
        <v>441.82647565372287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21.192394635113889</v>
      </c>
      <c r="AV41" s="21">
        <f>EXP(-LN(2)/25)*AV40+(1-EXP(-LN(2)/25))/(LN(2)/25)*Calculateur!AQ41*Calculateur!AS41*VLOOKUP('Données projet'!$B$10,Paramètres!$A$1:$I$89,3,0)*0.475*44/12</f>
        <v>47.166382339261069</v>
      </c>
      <c r="AW41" s="21">
        <f>EXP(-LN(2)/2)*AW40+(1-EXP(-LN(2)/2))/(LN(2)/2)*AQ41*AT41*VLOOKUP('Données projet'!$B$10,Paramètres!$A$1:$I$89,3,0)*0.475*44/12</f>
        <v>3.272802579133793E-3</v>
      </c>
      <c r="AX41" s="21">
        <f t="shared" si="6"/>
        <v>68.362049776954095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172.8</v>
      </c>
      <c r="BE41" s="13">
        <f>BD41*VLOOKUP('Données projet'!$B$11,Paramètres!$A$1:$I$89,3,0)*VLOOKUP('Données projet'!$B$11,Paramètres!$A$1:$I$89,5,0)</f>
        <v>150.95808000000002</v>
      </c>
      <c r="BF41" s="13">
        <f t="shared" si="37"/>
        <v>38.796231993724774</v>
      </c>
      <c r="BG41" s="20">
        <f t="shared" si="7"/>
        <v>330.48876005573732</v>
      </c>
      <c r="BH41" s="59">
        <f t="shared" si="8"/>
        <v>623.82209338907069</v>
      </c>
      <c r="BI41" s="59">
        <f ca="1">AVERAGE(OFFSET($BH$3,0,0,'Données projet'!$E$11+1,1))-AVERAGE(OFFSET($H$3,0,0,'Données projet'!$E$11+1,1))</f>
        <v>324.86930206492627</v>
      </c>
      <c r="BJ41" s="59">
        <f t="shared" si="38"/>
        <v>317.03005098025352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13.504890451318948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13.504890451318948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11.2</v>
      </c>
      <c r="BY41" s="12">
        <f>IF('Données projet'!$A$114&gt;35,BY40+BX41-CG40,IF(A41&lt;'Données projet'!$A$114,$BV$205^A41,IF(A41='Données projet'!$A$114,'Données projet'!$B$114,BY40+BX41-CG40)))</f>
        <v>152.60000000000002</v>
      </c>
      <c r="BZ41" s="13">
        <f>BY41*VLOOKUP('Données projet'!$B$12,Paramètres!$A$1:$I$89,3,0)*VLOOKUP('Données projet'!$B$12,Paramètres!$A$1:$I$89,5,0)</f>
        <v>154.73640000000003</v>
      </c>
      <c r="CA41" s="13">
        <f t="shared" si="39"/>
        <v>39.652994320183701</v>
      </c>
      <c r="CB41" s="20">
        <f t="shared" si="10"/>
        <v>338.56152844098665</v>
      </c>
      <c r="CC41" s="59">
        <f t="shared" si="11"/>
        <v>631.89486177431991</v>
      </c>
      <c r="CD41" s="59">
        <f ca="1">AVERAGE(OFFSET($CC$3,0,0,'Données projet'!$E$12+1,1))-AVERAGE(OFFSET($H$3,0,0,'Données projet'!$E$12+1,1))</f>
        <v>487.18832528146936</v>
      </c>
      <c r="CE41" s="59">
        <f t="shared" si="40"/>
        <v>306.61893266146666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12.717711863691532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12.717711863691532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13.802500000000002</v>
      </c>
      <c r="CT41" s="12">
        <f>IF('Données projet'!$A$140&gt;35,CT40+CS41-DB40,IF(A41&lt;'Données projet'!$A$140,$CQ$205^A41,IF(A41='Données projet'!$A$140,'Données projet'!$B$140,CT40+CS41-DB40)))</f>
        <v>192.8</v>
      </c>
      <c r="CU41" s="17">
        <f>CT41*VLOOKUP('Données projet'!$B$13,Paramètres!$A$1:$I$89,3,0)*VLOOKUP('Données projet'!$B$13,Paramètres!$A$1:$I$89,5,0)</f>
        <v>183.46848</v>
      </c>
      <c r="CV41" s="13">
        <f t="shared" si="41"/>
        <v>46.092999794738887</v>
      </c>
      <c r="CW41" s="20">
        <f t="shared" si="13"/>
        <v>399.8195773091702</v>
      </c>
      <c r="CX41" s="59">
        <f t="shared" si="14"/>
        <v>693.15291064250346</v>
      </c>
      <c r="CY41" s="59">
        <f ca="1">AVERAGE(OFFSET($CX$3,0,0,'Données projet'!$E$13+1,1))-AVERAGE(OFFSET($H$3,0,0,'Données projet'!$E$13+1,1))</f>
        <v>733.95677909788878</v>
      </c>
      <c r="CZ41" s="59">
        <f t="shared" si="42"/>
        <v>264.63778997972378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14.814357156979158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14.814357156979158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30</v>
      </c>
      <c r="N42" s="13">
        <f>IF('Données projet'!$A$36&gt;35,N41+M42-V41,IF(A42&lt;'Données projet'!$A$36,$K$205^A42,IF(A42='Données projet'!$A$36,'Données projet'!$B$36,N41+M42-V41)))</f>
        <v>503</v>
      </c>
      <c r="O42" s="13">
        <f>N42*VLOOKUP('Données projet'!$B$9,Paramètres!$A$1:$I$89,3,0)*VLOOKUP('Données projet'!$B$9,Paramètres!$A$1:$I$89,5,0)</f>
        <v>235.404</v>
      </c>
      <c r="P42" s="13">
        <f t="shared" si="33"/>
        <v>57.449568653781753</v>
      </c>
      <c r="Q42" s="20">
        <f t="shared" si="53"/>
        <v>510.05329873866987</v>
      </c>
      <c r="R42" s="59">
        <f t="shared" si="0"/>
        <v>803.38663207200318</v>
      </c>
      <c r="S42" s="59">
        <f ca="1">AVERAGE(OFFSET($R$3,0,0,'Données projet'!$E$9+1,1))-AVERAGE(OFFSET($H$3,0,0,'Données projet'!$E$9+1,1))</f>
        <v>488.67934252295686</v>
      </c>
      <c r="T42" s="59">
        <f t="shared" si="34"/>
        <v>424.50324471331095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24.289814386384982</v>
      </c>
      <c r="AA42" s="21">
        <f>EXP(-LN(2)/25)*AA41+(1-EXP(-LN(2)/25))/(LN(2)/25)*Calculateur!V42*Calculateur!X42*VLOOKUP('Données projet'!$B$9,Paramètres!$A$1:$I$89,3,0)*0.475*44/12</f>
        <v>38.169187895450477</v>
      </c>
      <c r="AB42" s="21">
        <f>EXP(-LN(2)/2)*AB41+(1-EXP(-LN(2)/2))/(LN(2)/2)*V42*Y42*VLOOKUP('Données projet'!$B$9,Paramètres!$A$1:$I$89,3,0)*0.475*44/12</f>
        <v>3.5858532606161522E-2</v>
      </c>
      <c r="AC42" s="22">
        <f t="shared" si="3"/>
        <v>62.494860814441623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23.6</v>
      </c>
      <c r="AI42" s="13">
        <f>IF('Données projet'!$A$62&gt;35,AI41+AH42-AQ41,IF(A42&lt;'Données projet'!$A$62,$AF$205^A42,IF(A42='Données projet'!$A$62,'Données projet'!$B$62,AI41+AH42-AQ41)))</f>
        <v>400.40000000000015</v>
      </c>
      <c r="AJ42" s="13">
        <f>AI42*VLOOKUP('Données projet'!$B$10,Paramètres!$A$1:$I$89,3,0)*VLOOKUP('Données projet'!$B$10,Paramètres!$A$1:$I$89,5,0)</f>
        <v>239.43920000000011</v>
      </c>
      <c r="AK42" s="13">
        <f t="shared" si="35"/>
        <v>58.318855207171957</v>
      </c>
      <c r="AL42" s="20">
        <f t="shared" si="4"/>
        <v>518.59527948582468</v>
      </c>
      <c r="AM42" s="59">
        <f t="shared" si="5"/>
        <v>811.92861281915793</v>
      </c>
      <c r="AN42" s="59">
        <f ca="1">AVERAGE(OFFSET($AM$3,0,0,'Données projet'!$E$10+1,1))-AVERAGE(OFFSET($H$3,0,0,'Données projet'!$E$10+1,1))</f>
        <v>504.81063008331739</v>
      </c>
      <c r="AO42" s="59">
        <f t="shared" si="36"/>
        <v>441.82647565372287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20.776824702403687</v>
      </c>
      <c r="AV42" s="21">
        <f>EXP(-LN(2)/25)*AV41+(1-EXP(-LN(2)/25))/(LN(2)/25)*Calculateur!AQ42*Calculateur!AS42*VLOOKUP('Données projet'!$B$10,Paramètres!$A$1:$I$89,3,0)*0.475*44/12</f>
        <v>45.87661513382173</v>
      </c>
      <c r="AW42" s="21">
        <f>EXP(-LN(2)/2)*AW41+(1-EXP(-LN(2)/2))/(LN(2)/2)*AQ42*AT42*VLOOKUP('Données projet'!$B$10,Paramètres!$A$1:$I$89,3,0)*0.475*44/12</f>
        <v>2.3142208971903273E-3</v>
      </c>
      <c r="AX42" s="21">
        <f t="shared" si="6"/>
        <v>66.655754057122607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182.4</v>
      </c>
      <c r="BE42" s="13">
        <f>BD42*VLOOKUP('Données projet'!$B$11,Paramètres!$A$1:$I$89,3,0)*VLOOKUP('Données projet'!$B$11,Paramètres!$A$1:$I$89,5,0)</f>
        <v>159.34464000000003</v>
      </c>
      <c r="BF42" s="13">
        <f t="shared" si="37"/>
        <v>40.694661837553809</v>
      </c>
      <c r="BG42" s="20">
        <f t="shared" si="7"/>
        <v>348.4017840337396</v>
      </c>
      <c r="BH42" s="59">
        <f t="shared" si="8"/>
        <v>641.73511736707292</v>
      </c>
      <c r="BI42" s="59">
        <f ca="1">AVERAGE(OFFSET($BH$3,0,0,'Données projet'!$E$11+1,1))-AVERAGE(OFFSET($H$3,0,0,'Données projet'!$E$11+1,1))</f>
        <v>324.86930206492627</v>
      </c>
      <c r="BJ42" s="59">
        <f t="shared" si="38"/>
        <v>317.03005098025352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13.240067786738406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13.240067786738406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11.2</v>
      </c>
      <c r="BY42" s="12">
        <f>IF('Données projet'!$A$114&gt;35,BY41+BX42-CG41,IF(A42&lt;'Données projet'!$A$114,$BV$205^A42,IF(A42='Données projet'!$A$114,'Données projet'!$B$114,BY41+BX42-CG41)))</f>
        <v>163.80000000000001</v>
      </c>
      <c r="BZ42" s="13">
        <f>BY42*VLOOKUP('Données projet'!$B$12,Paramètres!$A$1:$I$89,3,0)*VLOOKUP('Données projet'!$B$12,Paramètres!$A$1:$I$89,5,0)</f>
        <v>166.09320000000002</v>
      </c>
      <c r="CA42" s="13">
        <f t="shared" si="39"/>
        <v>42.213849908165905</v>
      </c>
      <c r="CB42" s="20">
        <f t="shared" si="10"/>
        <v>362.80144525672227</v>
      </c>
      <c r="CC42" s="59">
        <f t="shared" si="11"/>
        <v>656.13477859005559</v>
      </c>
      <c r="CD42" s="59">
        <f ca="1">AVERAGE(OFFSET($CC$3,0,0,'Données projet'!$E$12+1,1))-AVERAGE(OFFSET($H$3,0,0,'Données projet'!$E$12+1,1))</f>
        <v>487.18832528146936</v>
      </c>
      <c r="CE42" s="59">
        <f t="shared" si="40"/>
        <v>306.61893266146666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12.468325291082834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12.468325291082834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13.802500000000002</v>
      </c>
      <c r="CT42" s="12">
        <f>IF('Données projet'!$A$140&gt;35,CT41+CS42-DB41,IF(A42&lt;'Données projet'!$A$140,$CQ$205^A42,IF(A42='Données projet'!$A$140,'Données projet'!$B$140,CT41+CS42-DB41)))</f>
        <v>206.60250000000002</v>
      </c>
      <c r="CU42" s="17">
        <f>CT42*VLOOKUP('Données projet'!$B$13,Paramètres!$A$1:$I$89,3,0)*VLOOKUP('Données projet'!$B$13,Paramètres!$A$1:$I$89,5,0)</f>
        <v>196.60293900000002</v>
      </c>
      <c r="CV42" s="13">
        <f t="shared" si="41"/>
        <v>48.996853810120612</v>
      </c>
      <c r="CW42" s="20">
        <f t="shared" si="13"/>
        <v>427.75297247762677</v>
      </c>
      <c r="CX42" s="59">
        <f t="shared" si="14"/>
        <v>721.08630581096008</v>
      </c>
      <c r="CY42" s="59">
        <f ca="1">AVERAGE(OFFSET($CX$3,0,0,'Données projet'!$E$13+1,1))-AVERAGE(OFFSET($H$3,0,0,'Données projet'!$E$13+1,1))</f>
        <v>733.95677909788878</v>
      </c>
      <c r="CZ42" s="59">
        <f t="shared" si="42"/>
        <v>264.63778997972378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14.523856648996444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14.523856648996444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533</v>
      </c>
      <c r="L43" s="12">
        <f>VLOOKUP(A43,'Données projet'!$A$35:$I$55,9,0)</f>
        <v>30</v>
      </c>
      <c r="M43" s="12">
        <f t="array" ref="M43">INDEX(L:L,MIN(IF(ISNUMBER(L43:L239),ROW(L43:L239),"")))</f>
        <v>30</v>
      </c>
      <c r="N43" s="13">
        <f>IF('Données projet'!$A$36&gt;35,N42+M43-V42,IF(A43&lt;'Données projet'!$A$36,$K$205^A43,IF(A43='Données projet'!$A$36,'Données projet'!$B$36,N42+M43-V42)))</f>
        <v>533</v>
      </c>
      <c r="O43" s="13">
        <f>N43*VLOOKUP('Données projet'!$B$9,Paramètres!$A$1:$I$89,3,0)*VLOOKUP('Données projet'!$B$9,Paramètres!$A$1:$I$89,5,0)</f>
        <v>249.44400000000002</v>
      </c>
      <c r="P43" s="13">
        <f t="shared" si="33"/>
        <v>60.466866397117656</v>
      </c>
      <c r="Q43" s="20">
        <f t="shared" si="53"/>
        <v>539.76142564164661</v>
      </c>
      <c r="R43" s="59">
        <f t="shared" si="0"/>
        <v>833.09475897497987</v>
      </c>
      <c r="S43" s="59">
        <f ca="1">AVERAGE(OFFSET($R$3,0,0,'Données projet'!$E$9+1,1))-AVERAGE(OFFSET($H$3,0,0,'Données projet'!$E$9+1,1))</f>
        <v>488.67934252295686</v>
      </c>
      <c r="T43" s="59">
        <f t="shared" si="34"/>
        <v>424.50324471331095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77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50.105748135512457</v>
      </c>
      <c r="AA43" s="21">
        <f>EXP(-LN(2)/25)*AA42+(1-EXP(-LN(2)/25))/(LN(2)/25)*Calculateur!V43*Calculateur!X43*VLOOKUP('Données projet'!$B$9,Paramètres!$A$1:$I$89,3,0)*0.475*44/12</f>
        <v>37.125449445219033</v>
      </c>
      <c r="AB43" s="21">
        <f>EXP(-LN(2)/2)*AB42+(1-EXP(-LN(2)/2))/(LN(2)/2)*V43*Y43*VLOOKUP('Données projet'!$B$9,Paramètres!$A$1:$I$89,3,0)*0.475*44/12</f>
        <v>2.5355811569215736E-2</v>
      </c>
      <c r="AC43" s="22">
        <f t="shared" si="3"/>
        <v>87.256553392300702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424</v>
      </c>
      <c r="AG43" s="12">
        <f>VLOOKUP(A43,'Données projet'!$A$61:$I$81,9,0)</f>
        <v>23.6</v>
      </c>
      <c r="AH43" s="12">
        <f t="array" ref="AH43">INDEX(AG:AG,MIN(IF(ISNUMBER(AG43:AG239),ROW(AG43:AG239),"")))</f>
        <v>23.6</v>
      </c>
      <c r="AI43" s="13">
        <f>IF('Données projet'!$A$62&gt;35,AI42+AH43-AQ42,IF(A43&lt;'Données projet'!$A$62,$AF$205^A43,IF(A43='Données projet'!$A$62,'Données projet'!$B$62,AI42+AH43-AQ42)))</f>
        <v>424.00000000000017</v>
      </c>
      <c r="AJ43" s="13">
        <f>AI43*VLOOKUP('Données projet'!$B$10,Paramètres!$A$1:$I$89,3,0)*VLOOKUP('Données projet'!$B$10,Paramètres!$A$1:$I$89,5,0)</f>
        <v>253.55200000000011</v>
      </c>
      <c r="AK43" s="13">
        <f t="shared" si="35"/>
        <v>61.345922542613536</v>
      </c>
      <c r="AL43" s="20">
        <f t="shared" si="4"/>
        <v>548.447215095052</v>
      </c>
      <c r="AM43" s="59">
        <f t="shared" si="5"/>
        <v>841.78054842838537</v>
      </c>
      <c r="AN43" s="59">
        <f ca="1">AVERAGE(OFFSET($AM$3,0,0,'Données projet'!$E$10+1,1))-AVERAGE(OFFSET($H$3,0,0,'Données projet'!$E$10+1,1))</f>
        <v>504.81063008331739</v>
      </c>
      <c r="AO43" s="59">
        <f t="shared" si="36"/>
        <v>441.82647565372287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63</v>
      </c>
      <c r="AR43" s="16">
        <f>IF(ISNA(VLOOKUP(A43,'Données projet'!$A$61:$I$81,5,0)),0%,VLOOKUP(A43,'Données projet'!$A$61:$I$81,5,0)*VLOOKUP('Données projet'!$B$10,Paramètres!$A$1:$I$89,7,0))</f>
        <v>0.45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42.859049025004467</v>
      </c>
      <c r="AV43" s="21">
        <f>EXP(-LN(2)/25)*AV42+(1-EXP(-LN(2)/25))/(LN(2)/25)*Calculateur!AQ43*Calculateur!AS43*VLOOKUP('Données projet'!$B$10,Paramètres!$A$1:$I$89,3,0)*0.475*44/12</f>
        <v>44.622116680441039</v>
      </c>
      <c r="AW43" s="21">
        <f>EXP(-LN(2)/2)*AW42+(1-EXP(-LN(2)/2))/(LN(2)/2)*AQ43*AT43*VLOOKUP('Données projet'!$B$10,Paramètres!$A$1:$I$89,3,0)*0.475*44/12</f>
        <v>1.6364012895668965E-3</v>
      </c>
      <c r="AX43" s="21">
        <f t="shared" si="6"/>
        <v>87.482802106735079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192</v>
      </c>
      <c r="BE43" s="13">
        <f>BD43*VLOOKUP('Données projet'!$B$11,Paramètres!$A$1:$I$89,3,0)*VLOOKUP('Données projet'!$B$11,Paramètres!$A$1:$I$89,5,0)</f>
        <v>167.73120000000003</v>
      </c>
      <c r="BF43" s="13">
        <f t="shared" si="37"/>
        <v>42.581491199832655</v>
      </c>
      <c r="BG43" s="20">
        <f t="shared" si="7"/>
        <v>366.29460383970854</v>
      </c>
      <c r="BH43" s="59">
        <f t="shared" si="8"/>
        <v>659.6279371730418</v>
      </c>
      <c r="BI43" s="59">
        <f ca="1">AVERAGE(OFFSET($BH$3,0,0,'Données projet'!$E$11+1,1))-AVERAGE(OFFSET($H$3,0,0,'Données projet'!$E$11+1,1))</f>
        <v>324.86930206492627</v>
      </c>
      <c r="BJ43" s="59">
        <f t="shared" si="38"/>
        <v>317.03005098025352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27.312003758714596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27.312003758714596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175</v>
      </c>
      <c r="BW43" s="12">
        <f>VLOOKUP(A43,'Données projet'!$A$113:$I$133,9,0)</f>
        <v>11.2</v>
      </c>
      <c r="BX43" s="12">
        <f t="array" ref="BX43">INDEX(BW:BW,MIN(IF(ISNUMBER(BW43:BW239),ROW(BW43:BW239),"")))</f>
        <v>11.2</v>
      </c>
      <c r="BY43" s="12">
        <f>IF('Données projet'!$A$114&gt;35,BY42+BX43-CG42,IF(A43&lt;'Données projet'!$A$114,$BV$205^A43,IF(A43='Données projet'!$A$114,'Données projet'!$B$114,BY42+BX43-CG42)))</f>
        <v>175</v>
      </c>
      <c r="BZ43" s="13">
        <f>BY43*VLOOKUP('Données projet'!$B$12,Paramètres!$A$1:$I$89,3,0)*VLOOKUP('Données projet'!$B$12,Paramètres!$A$1:$I$89,5,0)</f>
        <v>177.45000000000002</v>
      </c>
      <c r="CA43" s="13">
        <f t="shared" si="39"/>
        <v>44.754387900936791</v>
      </c>
      <c r="CB43" s="20">
        <f t="shared" si="10"/>
        <v>387.0059755941316</v>
      </c>
      <c r="CC43" s="59">
        <f t="shared" si="11"/>
        <v>680.33930892746491</v>
      </c>
      <c r="CD43" s="59">
        <f ca="1">AVERAGE(OFFSET($CC$3,0,0,'Données projet'!$E$12+1,1))-AVERAGE(OFFSET($H$3,0,0,'Données projet'!$E$12+1,1))</f>
        <v>487.18832528146936</v>
      </c>
      <c r="CE43" s="59">
        <f t="shared" si="40"/>
        <v>306.61893266146666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25.720030493802998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25.720030493802998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13.802500000000002</v>
      </c>
      <c r="CT43" s="12">
        <f>IF('Données projet'!$A$140&gt;35,CT42+CS43-DB42,IF(A43&lt;'Données projet'!$A$140,$CQ$205^A43,IF(A43='Données projet'!$A$140,'Données projet'!$B$140,CT42+CS43-DB42)))</f>
        <v>220.40500000000003</v>
      </c>
      <c r="CU43" s="17">
        <f>CT43*VLOOKUP('Données projet'!$B$13,Paramètres!$A$1:$I$89,3,0)*VLOOKUP('Données projet'!$B$13,Paramètres!$A$1:$I$89,5,0)</f>
        <v>209.73739800000004</v>
      </c>
      <c r="CV43" s="13">
        <f t="shared" si="41"/>
        <v>51.87819637599474</v>
      </c>
      <c r="CW43" s="20">
        <f t="shared" si="13"/>
        <v>455.64716020485753</v>
      </c>
      <c r="CX43" s="59">
        <f t="shared" si="14"/>
        <v>748.98049353819079</v>
      </c>
      <c r="CY43" s="59">
        <f ca="1">AVERAGE(OFFSET($CX$3,0,0,'Données projet'!$E$13+1,1))-AVERAGE(OFFSET($H$3,0,0,'Données projet'!$E$13+1,1))</f>
        <v>733.95677909788878</v>
      </c>
      <c r="CZ43" s="59">
        <f t="shared" si="42"/>
        <v>264.63778997972378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14.239052678787459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14.239052678787459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</v>
      </c>
      <c r="N44" s="13">
        <f>IF('Données projet'!$A$36&gt;35,N43+M44-V43,IF(A44&lt;'Données projet'!$A$36,$K$205^A44,IF(A44='Données projet'!$A$36,'Données projet'!$B$36,N43+M44-V43)))</f>
        <v>484</v>
      </c>
      <c r="O44" s="13">
        <f>N44*VLOOKUP('Données projet'!$B$9,Paramètres!$A$1:$I$89,3,0)*VLOOKUP('Données projet'!$B$9,Paramètres!$A$1:$I$89,5,0)</f>
        <v>226.51199999999997</v>
      </c>
      <c r="P44" s="13">
        <f t="shared" si="33"/>
        <v>55.527824937247544</v>
      </c>
      <c r="Q44" s="20">
        <f t="shared" si="53"/>
        <v>491.21936176570608</v>
      </c>
      <c r="R44" s="59">
        <f t="shared" si="0"/>
        <v>784.5526950990394</v>
      </c>
      <c r="S44" s="59">
        <f ca="1">AVERAGE(OFFSET($R$3,0,0,'Données projet'!$E$9+1,1))-AVERAGE(OFFSET($H$3,0,0,'Données projet'!$E$9+1,1))</f>
        <v>488.67934252295686</v>
      </c>
      <c r="T44" s="59">
        <f t="shared" si="34"/>
        <v>424.50324471331095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49.123204976063725</v>
      </c>
      <c r="AA44" s="21">
        <f>EXP(-LN(2)/25)*AA43+(1-EXP(-LN(2)/25))/(LN(2)/25)*Calculateur!V44*Calculateur!X44*VLOOKUP('Données projet'!$B$9,Paramètres!$A$1:$I$89,3,0)*0.475*44/12</f>
        <v>36.110252077796986</v>
      </c>
      <c r="AB44" s="21">
        <f>EXP(-LN(2)/2)*AB43+(1-EXP(-LN(2)/2))/(LN(2)/2)*V44*Y44*VLOOKUP('Données projet'!$B$9,Paramètres!$A$1:$I$89,3,0)*0.475*44/12</f>
        <v>1.7929266303080761E-2</v>
      </c>
      <c r="AC44" s="22">
        <f t="shared" si="3"/>
        <v>85.251386320163803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21.6</v>
      </c>
      <c r="AI44" s="13">
        <f>IF('Données projet'!$A$62&gt;35,AI43+AH44-AQ43,IF(A44&lt;'Données projet'!$A$62,$AF$205^A44,IF(A44='Données projet'!$A$62,'Données projet'!$B$62,AI43+AH44-AQ43)))</f>
        <v>382.60000000000019</v>
      </c>
      <c r="AJ44" s="13">
        <f>AI44*VLOOKUP('Données projet'!$B$10,Paramètres!$A$1:$I$89,3,0)*VLOOKUP('Données projet'!$B$10,Paramètres!$A$1:$I$89,5,0)</f>
        <v>228.79480000000012</v>
      </c>
      <c r="AK44" s="13">
        <f t="shared" si="35"/>
        <v>56.022009485811381</v>
      </c>
      <c r="AL44" s="20">
        <f t="shared" si="4"/>
        <v>496.05594318778844</v>
      </c>
      <c r="AM44" s="59">
        <f t="shared" si="5"/>
        <v>789.3892765211217</v>
      </c>
      <c r="AN44" s="59">
        <f ca="1">AVERAGE(OFFSET($AM$3,0,0,'Données projet'!$E$10+1,1))-AVERAGE(OFFSET($H$3,0,0,'Données projet'!$E$10+1,1))</f>
        <v>504.81063008331739</v>
      </c>
      <c r="AO44" s="59">
        <f t="shared" si="36"/>
        <v>441.82647565372287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42.018609215062781</v>
      </c>
      <c r="AV44" s="21">
        <f>EXP(-LN(2)/25)*AV43+(1-EXP(-LN(2)/25))/(LN(2)/25)*Calculateur!AQ44*Calculateur!AS44*VLOOKUP('Données projet'!$B$10,Paramètres!$A$1:$I$89,3,0)*0.475*44/12</f>
        <v>43.401922553239245</v>
      </c>
      <c r="AW44" s="21">
        <f>EXP(-LN(2)/2)*AW43+(1-EXP(-LN(2)/2))/(LN(2)/2)*AQ44*AT44*VLOOKUP('Données projet'!$B$10,Paramètres!$A$1:$I$89,3,0)*0.475*44/12</f>
        <v>1.1571104485951637E-3</v>
      </c>
      <c r="AX44" s="21">
        <f t="shared" si="6"/>
        <v>85.421688878750615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172.2</v>
      </c>
      <c r="BE44" s="13">
        <f>BD44*VLOOKUP('Données projet'!$B$11,Paramètres!$A$1:$I$89,3,0)*VLOOKUP('Données projet'!$B$11,Paramètres!$A$1:$I$89,5,0)</f>
        <v>150.43392</v>
      </c>
      <c r="BF44" s="13">
        <f t="shared" si="37"/>
        <v>38.677178913707927</v>
      </c>
      <c r="BG44" s="20">
        <f t="shared" si="7"/>
        <v>329.36849727470798</v>
      </c>
      <c r="BH44" s="59">
        <f t="shared" si="8"/>
        <v>622.70183060804129</v>
      </c>
      <c r="BI44" s="59">
        <f ca="1">AVERAGE(OFFSET($BH$3,0,0,'Données projet'!$E$11+1,1))-AVERAGE(OFFSET($H$3,0,0,'Données projet'!$E$11+1,1))</f>
        <v>324.86930206492627</v>
      </c>
      <c r="BJ44" s="59">
        <f t="shared" si="38"/>
        <v>317.03005098025352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26.776432023683586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26.776432023683586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158.4</v>
      </c>
      <c r="BZ44" s="13">
        <f>BY44*VLOOKUP('Données projet'!$B$12,Paramètres!$A$1:$I$89,3,0)*VLOOKUP('Données projet'!$B$12,Paramètres!$A$1:$I$89,5,0)</f>
        <v>160.61760000000001</v>
      </c>
      <c r="CA44" s="13">
        <f t="shared" si="39"/>
        <v>40.981785561145074</v>
      </c>
      <c r="CB44" s="20">
        <f t="shared" si="10"/>
        <v>351.11892985232771</v>
      </c>
      <c r="CC44" s="59">
        <f t="shared" si="11"/>
        <v>644.45226318566097</v>
      </c>
      <c r="CD44" s="59">
        <f ca="1">AVERAGE(OFFSET($CC$3,0,0,'Données projet'!$E$12+1,1))-AVERAGE(OFFSET($H$3,0,0,'Données projet'!$E$12+1,1))</f>
        <v>487.18832528146936</v>
      </c>
      <c r="CE44" s="59">
        <f t="shared" si="40"/>
        <v>306.61893266146666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25.215676383489093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25.215676383489093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13.802500000000002</v>
      </c>
      <c r="CT44" s="12">
        <f>IF('Données projet'!$A$140&gt;35,CT43+CS44-DB43,IF(A44&lt;'Données projet'!$A$140,$CQ$205^A44,IF(A44='Données projet'!$A$140,'Données projet'!$B$140,CT43+CS44-DB43)))</f>
        <v>234.20750000000004</v>
      </c>
      <c r="CU44" s="17">
        <f>CT44*VLOOKUP('Données projet'!$B$13,Paramètres!$A$1:$I$89,3,0)*VLOOKUP('Données projet'!$B$13,Paramètres!$A$1:$I$89,5,0)</f>
        <v>222.87185700000003</v>
      </c>
      <c r="CV44" s="13">
        <f t="shared" si="41"/>
        <v>54.738597722666043</v>
      </c>
      <c r="CW44" s="20">
        <f t="shared" si="13"/>
        <v>483.50487530864331</v>
      </c>
      <c r="CX44" s="59">
        <f t="shared" si="14"/>
        <v>776.83820864197662</v>
      </c>
      <c r="CY44" s="59">
        <f ca="1">AVERAGE(OFFSET($CX$3,0,0,'Données projet'!$E$13+1,1))-AVERAGE(OFFSET($H$3,0,0,'Données projet'!$E$13+1,1))</f>
        <v>733.95677909788878</v>
      </c>
      <c r="CZ44" s="59">
        <f t="shared" si="42"/>
        <v>264.63778997972378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13.959833540721002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13.959833540721002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28</v>
      </c>
      <c r="N45" s="13">
        <f>IF('Données projet'!$A$36&gt;35,N44+M45-V44,IF(A45&lt;'Données projet'!$A$36,$K$205^A45,IF(A45='Données projet'!$A$36,'Données projet'!$B$36,N44+M45-V44)))</f>
        <v>512</v>
      </c>
      <c r="O45" s="13">
        <f>N45*VLOOKUP('Données projet'!$B$9,Paramètres!$A$1:$I$89,3,0)*VLOOKUP('Données projet'!$B$9,Paramètres!$A$1:$I$89,5,0)</f>
        <v>239.61599999999999</v>
      </c>
      <c r="P45" s="13">
        <f t="shared" si="33"/>
        <v>58.356903313490157</v>
      </c>
      <c r="Q45" s="20">
        <f t="shared" si="53"/>
        <v>518.96947327099531</v>
      </c>
      <c r="R45" s="59">
        <f t="shared" si="0"/>
        <v>812.30280660432868</v>
      </c>
      <c r="S45" s="59">
        <f ca="1">AVERAGE(OFFSET($R$3,0,0,'Données projet'!$E$9+1,1))-AVERAGE(OFFSET($H$3,0,0,'Données projet'!$E$9+1,1))</f>
        <v>488.67934252295686</v>
      </c>
      <c r="T45" s="59">
        <f t="shared" si="34"/>
        <v>424.50324471331095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48.15992888867963</v>
      </c>
      <c r="AA45" s="21">
        <f>EXP(-LN(2)/25)*AA44+(1-EXP(-LN(2)/25))/(LN(2)/25)*Calculateur!V45*Calculateur!X45*VLOOKUP('Données projet'!$B$9,Paramètres!$A$1:$I$89,3,0)*0.475*44/12</f>
        <v>35.122815335774</v>
      </c>
      <c r="AB45" s="21">
        <f>EXP(-LN(2)/2)*AB44+(1-EXP(-LN(2)/2))/(LN(2)/2)*V45*Y45*VLOOKUP('Données projet'!$B$9,Paramètres!$A$1:$I$89,3,0)*0.475*44/12</f>
        <v>1.2677905784607868E-2</v>
      </c>
      <c r="AC45" s="22">
        <f t="shared" si="3"/>
        <v>83.295422130238251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21.6</v>
      </c>
      <c r="AI45" s="13">
        <f>IF('Données projet'!$A$62&gt;35,AI44+AH45-AQ44,IF(A45&lt;'Données projet'!$A$62,$AF$205^A45,IF(A45='Données projet'!$A$62,'Données projet'!$B$62,AI44+AH45-AQ44)))</f>
        <v>404.20000000000022</v>
      </c>
      <c r="AJ45" s="13">
        <f>AI45*VLOOKUP('Données projet'!$B$10,Paramètres!$A$1:$I$89,3,0)*VLOOKUP('Données projet'!$B$10,Paramètres!$A$1:$I$89,5,0)</f>
        <v>241.71160000000015</v>
      </c>
      <c r="AK45" s="13">
        <f t="shared" si="35"/>
        <v>58.807637113502857</v>
      </c>
      <c r="AL45" s="20">
        <f t="shared" si="4"/>
        <v>523.40433797268429</v>
      </c>
      <c r="AM45" s="59">
        <f t="shared" si="5"/>
        <v>816.73767130601755</v>
      </c>
      <c r="AN45" s="59">
        <f ca="1">AVERAGE(OFFSET($AM$3,0,0,'Données projet'!$E$10+1,1))-AVERAGE(OFFSET($H$3,0,0,'Données projet'!$E$10+1,1))</f>
        <v>504.81063008331739</v>
      </c>
      <c r="AO45" s="59">
        <f t="shared" si="36"/>
        <v>441.82647565372287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41.194649917176385</v>
      </c>
      <c r="AV45" s="21">
        <f>EXP(-LN(2)/25)*AV44+(1-EXP(-LN(2)/25))/(LN(2)/25)*Calculateur!AQ45*Calculateur!AS45*VLOOKUP('Données projet'!$B$10,Paramètres!$A$1:$I$89,3,0)*0.475*44/12</f>
        <v>42.215094698613008</v>
      </c>
      <c r="AW45" s="21">
        <f>EXP(-LN(2)/2)*AW44+(1-EXP(-LN(2)/2))/(LN(2)/2)*AQ45*AT45*VLOOKUP('Données projet'!$B$10,Paramètres!$A$1:$I$89,3,0)*0.475*44/12</f>
        <v>8.1820064478344825E-4</v>
      </c>
      <c r="AX45" s="21">
        <f t="shared" si="6"/>
        <v>83.410562816434179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180.39999999999998</v>
      </c>
      <c r="BE45" s="13">
        <f>BD45*VLOOKUP('Données projet'!$B$11,Paramètres!$A$1:$I$89,3,0)*VLOOKUP('Données projet'!$B$11,Paramètres!$A$1:$I$89,5,0)</f>
        <v>157.59744000000001</v>
      </c>
      <c r="BF45" s="13">
        <f t="shared" si="37"/>
        <v>40.300135037830529</v>
      </c>
      <c r="BG45" s="20">
        <f t="shared" si="7"/>
        <v>344.67160985755481</v>
      </c>
      <c r="BH45" s="59">
        <f t="shared" si="8"/>
        <v>638.00494319088807</v>
      </c>
      <c r="BI45" s="59">
        <f ca="1">AVERAGE(OFFSET($BH$3,0,0,'Données projet'!$E$11+1,1))-AVERAGE(OFFSET($H$3,0,0,'Données projet'!$E$11+1,1))</f>
        <v>324.86930206492627</v>
      </c>
      <c r="BJ45" s="59">
        <f t="shared" si="38"/>
        <v>317.03005098025352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26.251362523710032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26.251362523710032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169.8</v>
      </c>
      <c r="BZ45" s="13">
        <f>BY45*VLOOKUP('Données projet'!$B$12,Paramètres!$A$1:$I$89,3,0)*VLOOKUP('Données projet'!$B$12,Paramètres!$A$1:$I$89,5,0)</f>
        <v>172.1772</v>
      </c>
      <c r="CA45" s="13">
        <f t="shared" si="39"/>
        <v>43.577282221917017</v>
      </c>
      <c r="CB45" s="20">
        <f t="shared" si="10"/>
        <v>375.77238986983883</v>
      </c>
      <c r="CC45" s="59">
        <f t="shared" si="11"/>
        <v>669.10572320317215</v>
      </c>
      <c r="CD45" s="59">
        <f ca="1">AVERAGE(OFFSET($CC$3,0,0,'Données projet'!$E$12+1,1))-AVERAGE(OFFSET($H$3,0,0,'Données projet'!$E$12+1,1))</f>
        <v>487.18832528146936</v>
      </c>
      <c r="CE45" s="59">
        <f t="shared" si="40"/>
        <v>306.61893266146666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24.721212349652813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24.721212349652813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248.01</v>
      </c>
      <c r="CR45" s="12">
        <f>VLOOKUP(A45,'Données projet'!$A$139:$I$159,9,0)</f>
        <v>13.802500000000002</v>
      </c>
      <c r="CS45" s="12">
        <f t="array" ref="CS45">INDEX(CR:CR,MIN(IF(ISNUMBER(CR45:CR241),ROW(CR45:CR241),"")))</f>
        <v>13.802500000000002</v>
      </c>
      <c r="CT45" s="12">
        <f>IF('Données projet'!$A$140&gt;35,CT44+CS45-DB44,IF(A45&lt;'Données projet'!$A$140,$CQ$205^A45,IF(A45='Données projet'!$A$140,'Données projet'!$B$140,CT44+CS45-DB44)))</f>
        <v>248.01000000000005</v>
      </c>
      <c r="CU45" s="17">
        <f>CT45*VLOOKUP('Données projet'!$B$13,Paramètres!$A$1:$I$89,3,0)*VLOOKUP('Données projet'!$B$13,Paramètres!$A$1:$I$89,5,0)</f>
        <v>236.00631600000006</v>
      </c>
      <c r="CV45" s="13">
        <f t="shared" si="41"/>
        <v>57.579432549153722</v>
      </c>
      <c r="CW45" s="20">
        <f t="shared" si="13"/>
        <v>511.32851205644278</v>
      </c>
      <c r="CX45" s="59">
        <f t="shared" si="14"/>
        <v>804.66184538977609</v>
      </c>
      <c r="CY45" s="59">
        <f ca="1">AVERAGE(OFFSET($CX$3,0,0,'Données projet'!$E$13+1,1))-AVERAGE(OFFSET($H$3,0,0,'Données projet'!$E$13+1,1))</f>
        <v>733.95677909788878</v>
      </c>
      <c r="CZ45" s="59">
        <f t="shared" si="42"/>
        <v>264.63778997972378</v>
      </c>
      <c r="DA45" s="15">
        <f>IF(ISNA(VLOOKUP(A45,'Données projet'!$A$139:$I$159,3,0)),0,VLOOKUP(A45,'Données projet'!$A$139:$I$159,3,0))</f>
        <v>2</v>
      </c>
      <c r="DB45" s="15">
        <f>IF(ISNA(VLOOKUP(A45,'Données projet'!$A$139:$I$159,4,0)),0,VLOOKUP(A45,'Données projet'!$A$139:$I$159,4,0))</f>
        <v>55.41</v>
      </c>
      <c r="DC45" s="16">
        <f>IF(ISNA(VLOOKUP(A45,'Données projet'!$A$139:$I$159,5,0)),0%,VLOOKUP(A45,'Données projet'!$A$139:$I$159,5,0)*VLOOKUP('Données projet'!$B$13,Paramètres!$A$1:$I$89,7,0))</f>
        <v>0.43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38.750538008563986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38.750538008563986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28</v>
      </c>
      <c r="N46" s="13">
        <f>IF('Données projet'!$A$36&gt;35,N45+M46-V45,IF(A46&lt;'Données projet'!$A$36,$K$205^A46,IF(A46='Données projet'!$A$36,'Données projet'!$B$36,N45+M46-V45)))</f>
        <v>540</v>
      </c>
      <c r="O46" s="13">
        <f>N46*VLOOKUP('Données projet'!$B$9,Paramètres!$A$1:$I$89,3,0)*VLOOKUP('Données projet'!$B$9,Paramètres!$A$1:$I$89,5,0)</f>
        <v>252.72000000000003</v>
      </c>
      <c r="P46" s="13">
        <f t="shared" si="33"/>
        <v>61.168020584496823</v>
      </c>
      <c r="Q46" s="20">
        <f t="shared" si="53"/>
        <v>546.68830251799864</v>
      </c>
      <c r="R46" s="59">
        <f t="shared" si="0"/>
        <v>840.02163585133189</v>
      </c>
      <c r="S46" s="59">
        <f ca="1">AVERAGE(OFFSET($R$3,0,0,'Données projet'!$E$9+1,1))-AVERAGE(OFFSET($H$3,0,0,'Données projet'!$E$9+1,1))</f>
        <v>488.67934252295686</v>
      </c>
      <c r="T46" s="59">
        <f t="shared" si="34"/>
        <v>424.50324471331095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47.215542057828735</v>
      </c>
      <c r="AA46" s="21">
        <f>EXP(-LN(2)/25)*AA45+(1-EXP(-LN(2)/25))/(LN(2)/25)*Calculateur!V46*Calculateur!X46*VLOOKUP('Données projet'!$B$9,Paramètres!$A$1:$I$89,3,0)*0.475*44/12</f>
        <v>34.162380103388678</v>
      </c>
      <c r="AB46" s="21">
        <f>EXP(-LN(2)/2)*AB45+(1-EXP(-LN(2)/2))/(LN(2)/2)*V46*Y46*VLOOKUP('Données projet'!$B$9,Paramètres!$A$1:$I$89,3,0)*0.475*44/12</f>
        <v>8.9646331515403806E-3</v>
      </c>
      <c r="AC46" s="22">
        <f t="shared" si="3"/>
        <v>81.386886794368948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21.6</v>
      </c>
      <c r="AI46" s="13">
        <f>IF('Données projet'!$A$62&gt;35,AI45+AH46-AQ45,IF(A46&lt;'Données projet'!$A$62,$AF$205^A46,IF(A46='Données projet'!$A$62,'Données projet'!$B$62,AI45+AH46-AQ45)))</f>
        <v>425.80000000000024</v>
      </c>
      <c r="AJ46" s="13">
        <f>AI46*VLOOKUP('Données projet'!$B$10,Paramètres!$A$1:$I$89,3,0)*VLOOKUP('Données projet'!$B$10,Paramètres!$A$1:$I$89,5,0)</f>
        <v>254.62840000000014</v>
      </c>
      <c r="AK46" s="13">
        <f t="shared" si="35"/>
        <v>61.575982433801578</v>
      </c>
      <c r="AL46" s="20">
        <f t="shared" si="4"/>
        <v>550.7226327388712</v>
      </c>
      <c r="AM46" s="59">
        <f t="shared" si="5"/>
        <v>844.05596607220446</v>
      </c>
      <c r="AN46" s="59">
        <f ca="1">AVERAGE(OFFSET($AM$3,0,0,'Données projet'!$E$10+1,1))-AVERAGE(OFFSET($H$3,0,0,'Données projet'!$E$10+1,1))</f>
        <v>504.81063008331739</v>
      </c>
      <c r="AO46" s="59">
        <f t="shared" si="36"/>
        <v>441.82647565372287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40.386847958555997</v>
      </c>
      <c r="AV46" s="21">
        <f>EXP(-LN(2)/25)*AV45+(1-EXP(-LN(2)/25))/(LN(2)/25)*Calculateur!AQ46*Calculateur!AS46*VLOOKUP('Données projet'!$B$10,Paramètres!$A$1:$I$89,3,0)*0.475*44/12</f>
        <v>41.060720714084091</v>
      </c>
      <c r="AW46" s="21">
        <f>EXP(-LN(2)/2)*AW45+(1-EXP(-LN(2)/2))/(LN(2)/2)*AQ46*AT46*VLOOKUP('Données projet'!$B$10,Paramètres!$A$1:$I$89,3,0)*0.475*44/12</f>
        <v>5.7855522429758183E-4</v>
      </c>
      <c r="AX46" s="21">
        <f t="shared" si="6"/>
        <v>81.448147227864382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188.59999999999997</v>
      </c>
      <c r="BE46" s="13">
        <f>BD46*VLOOKUP('Données projet'!$B$11,Paramètres!$A$1:$I$89,3,0)*VLOOKUP('Données projet'!$B$11,Paramètres!$A$1:$I$89,5,0)</f>
        <v>164.76095999999998</v>
      </c>
      <c r="BF46" s="13">
        <f t="shared" si="37"/>
        <v>41.91452380971991</v>
      </c>
      <c r="BG46" s="20">
        <f t="shared" si="7"/>
        <v>359.9598009685954</v>
      </c>
      <c r="BH46" s="59">
        <f t="shared" si="8"/>
        <v>653.29313430192872</v>
      </c>
      <c r="BI46" s="59">
        <f ca="1">AVERAGE(OFFSET($BH$3,0,0,'Données projet'!$E$11+1,1))-AVERAGE(OFFSET($H$3,0,0,'Données projet'!$E$11+1,1))</f>
        <v>324.86930206492627</v>
      </c>
      <c r="BJ46" s="59">
        <f t="shared" si="38"/>
        <v>317.03005098025352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25.736589316370189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25.736589316370189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181.20000000000002</v>
      </c>
      <c r="BZ46" s="13">
        <f>BY46*VLOOKUP('Données projet'!$B$12,Paramètres!$A$1:$I$89,3,0)*VLOOKUP('Données projet'!$B$12,Paramètres!$A$1:$I$89,5,0)</f>
        <v>183.73680000000002</v>
      </c>
      <c r="CA46" s="13">
        <f t="shared" si="39"/>
        <v>46.152558509293854</v>
      </c>
      <c r="CB46" s="20">
        <f t="shared" si="10"/>
        <v>400.3906327370201</v>
      </c>
      <c r="CC46" s="59">
        <f t="shared" si="11"/>
        <v>693.72396607035341</v>
      </c>
      <c r="CD46" s="59">
        <f ca="1">AVERAGE(OFFSET($CC$3,0,0,'Données projet'!$E$12+1,1))-AVERAGE(OFFSET($H$3,0,0,'Données projet'!$E$12+1,1))</f>
        <v>487.18832528146936</v>
      </c>
      <c r="CE46" s="59">
        <f t="shared" si="40"/>
        <v>306.61893266146666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24.236444453926783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24.236444453926783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14.015000000000004</v>
      </c>
      <c r="CT46" s="12">
        <f>IF('Données projet'!$A$140&gt;35,CT45+CS46-DB45,IF(A46&lt;'Données projet'!$A$140,$CQ$205^A46,IF(A46='Données projet'!$A$140,'Données projet'!$B$140,CT45+CS46-DB45)))</f>
        <v>206.61500000000004</v>
      </c>
      <c r="CU46" s="17">
        <f>CT46*VLOOKUP('Données projet'!$B$13,Paramètres!$A$1:$I$89,3,0)*VLOOKUP('Données projet'!$B$13,Paramètres!$A$1:$I$89,5,0)</f>
        <v>196.61483400000003</v>
      </c>
      <c r="CV46" s="13">
        <f t="shared" si="41"/>
        <v>48.999473179899688</v>
      </c>
      <c r="CW46" s="20">
        <f t="shared" si="13"/>
        <v>427.77825167165867</v>
      </c>
      <c r="CX46" s="59">
        <f t="shared" si="14"/>
        <v>721.11158500499198</v>
      </c>
      <c r="CY46" s="59">
        <f ca="1">AVERAGE(OFFSET($CX$3,0,0,'Données projet'!$E$13+1,1))-AVERAGE(OFFSET($H$3,0,0,'Données projet'!$E$13+1,1))</f>
        <v>733.95677909788878</v>
      </c>
      <c r="CZ46" s="59">
        <f t="shared" si="42"/>
        <v>264.63778997972378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37.990663593710423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37.990663593710423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28</v>
      </c>
      <c r="N47" s="13">
        <f>IF('Données projet'!$A$36&gt;35,N46+M47-V46,IF(A47&lt;'Données projet'!$A$36,$K$205^A47,IF(A47='Données projet'!$A$36,'Données projet'!$B$36,N46+M47-V46)))</f>
        <v>568</v>
      </c>
      <c r="O47" s="13">
        <f>N47*VLOOKUP('Données projet'!$B$9,Paramètres!$A$1:$I$89,3,0)*VLOOKUP('Données projet'!$B$9,Paramètres!$A$1:$I$89,5,0)</f>
        <v>265.82400000000001</v>
      </c>
      <c r="P47" s="13">
        <f t="shared" si="33"/>
        <v>63.962214293903529</v>
      </c>
      <c r="Q47" s="20">
        <f t="shared" si="53"/>
        <v>574.37765656188196</v>
      </c>
      <c r="R47" s="59">
        <f t="shared" si="0"/>
        <v>867.71098989521533</v>
      </c>
      <c r="S47" s="59">
        <f ca="1">AVERAGE(OFFSET($R$3,0,0,'Données projet'!$E$9+1,1))-AVERAGE(OFFSET($H$3,0,0,'Données projet'!$E$9+1,1))</f>
        <v>488.67934252295686</v>
      </c>
      <c r="T47" s="59">
        <f t="shared" si="34"/>
        <v>424.50324471331095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46.289674076711741</v>
      </c>
      <c r="AA47" s="21">
        <f>EXP(-LN(2)/25)*AA46+(1-EXP(-LN(2)/25))/(LN(2)/25)*Calculateur!V47*Calculateur!X47*VLOOKUP('Données projet'!$B$9,Paramètres!$A$1:$I$89,3,0)*0.475*44/12</f>
        <v>33.228208022940024</v>
      </c>
      <c r="AB47" s="21">
        <f>EXP(-LN(2)/2)*AB46+(1-EXP(-LN(2)/2))/(LN(2)/2)*V47*Y47*VLOOKUP('Données projet'!$B$9,Paramètres!$A$1:$I$89,3,0)*0.475*44/12</f>
        <v>6.338952892303934E-3</v>
      </c>
      <c r="AC47" s="22">
        <f t="shared" si="3"/>
        <v>79.524221052544064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21.6</v>
      </c>
      <c r="AI47" s="13">
        <f>IF('Données projet'!$A$62&gt;35,AI46+AH47-AQ46,IF(A47&lt;'Données projet'!$A$62,$AF$205^A47,IF(A47='Données projet'!$A$62,'Données projet'!$B$62,AI46+AH47-AQ46)))</f>
        <v>447.40000000000026</v>
      </c>
      <c r="AJ47" s="13">
        <f>AI47*VLOOKUP('Données projet'!$B$10,Paramètres!$A$1:$I$89,3,0)*VLOOKUP('Données projet'!$B$10,Paramètres!$A$1:$I$89,5,0)</f>
        <v>267.54520000000014</v>
      </c>
      <c r="AK47" s="13">
        <f t="shared" si="35"/>
        <v>64.328022166288974</v>
      </c>
      <c r="AL47" s="20">
        <f t="shared" si="4"/>
        <v>578.01252860628688</v>
      </c>
      <c r="AM47" s="59">
        <f t="shared" si="5"/>
        <v>871.34586193962014</v>
      </c>
      <c r="AN47" s="59">
        <f ca="1">AVERAGE(OFFSET($AM$3,0,0,'Données projet'!$E$10+1,1))-AVERAGE(OFFSET($H$3,0,0,'Données projet'!$E$10+1,1))</f>
        <v>504.81063008331739</v>
      </c>
      <c r="AO47" s="59">
        <f t="shared" si="36"/>
        <v>441.82647565372287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39.59488650363361</v>
      </c>
      <c r="AV47" s="21">
        <f>EXP(-LN(2)/25)*AV46+(1-EXP(-LN(2)/25))/(LN(2)/25)*Calculateur!AQ47*Calculateur!AS47*VLOOKUP('Données projet'!$B$10,Paramètres!$A$1:$I$89,3,0)*0.475*44/12</f>
        <v>39.937913146868006</v>
      </c>
      <c r="AW47" s="21">
        <f>EXP(-LN(2)/2)*AW46+(1-EXP(-LN(2)/2))/(LN(2)/2)*AQ47*AT47*VLOOKUP('Données projet'!$B$10,Paramètres!$A$1:$I$89,3,0)*0.475*44/12</f>
        <v>4.0910032239172413E-4</v>
      </c>
      <c r="AX47" s="21">
        <f t="shared" si="6"/>
        <v>79.533208750824002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196.79999999999995</v>
      </c>
      <c r="BE47" s="13">
        <f>BD47*VLOOKUP('Données projet'!$B$11,Paramètres!$A$1:$I$89,3,0)*VLOOKUP('Données projet'!$B$11,Paramètres!$A$1:$I$89,5,0)</f>
        <v>171.92447999999999</v>
      </c>
      <c r="BF47" s="13">
        <f t="shared" si="37"/>
        <v>43.520760297647755</v>
      </c>
      <c r="BG47" s="20">
        <f t="shared" si="7"/>
        <v>375.23379351840316</v>
      </c>
      <c r="BH47" s="59">
        <f t="shared" si="8"/>
        <v>668.56712685173648</v>
      </c>
      <c r="BI47" s="59">
        <f ca="1">AVERAGE(OFFSET($BH$3,0,0,'Données projet'!$E$11+1,1))-AVERAGE(OFFSET($H$3,0,0,'Données projet'!$E$11+1,1))</f>
        <v>324.86930206492627</v>
      </c>
      <c r="BJ47" s="59">
        <f t="shared" si="38"/>
        <v>317.03005098025352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25.231910497645625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25.231910497645625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192.60000000000002</v>
      </c>
      <c r="BZ47" s="13">
        <f>BY47*VLOOKUP('Données projet'!$B$12,Paramètres!$A$1:$I$89,3,0)*VLOOKUP('Données projet'!$B$12,Paramètres!$A$1:$I$89,5,0)</f>
        <v>195.29640000000003</v>
      </c>
      <c r="CA47" s="13">
        <f t="shared" si="39"/>
        <v>48.709031383366153</v>
      </c>
      <c r="CB47" s="20">
        <f t="shared" si="10"/>
        <v>424.97612632602949</v>
      </c>
      <c r="CC47" s="59">
        <f t="shared" si="11"/>
        <v>718.3094596593628</v>
      </c>
      <c r="CD47" s="59">
        <f ca="1">AVERAGE(OFFSET($CC$3,0,0,'Données projet'!$E$12+1,1))-AVERAGE(OFFSET($H$3,0,0,'Données projet'!$E$12+1,1))</f>
        <v>487.18832528146936</v>
      </c>
      <c r="CE47" s="59">
        <f t="shared" si="40"/>
        <v>306.61893266146666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23.761182560956719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23.761182560956719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14.015000000000004</v>
      </c>
      <c r="CT47" s="12">
        <f>IF('Données projet'!$A$140&gt;35,CT46+CS47-DB46,IF(A47&lt;'Données projet'!$A$140,$CQ$205^A47,IF(A47='Données projet'!$A$140,'Données projet'!$B$140,CT46+CS47-DB46)))</f>
        <v>220.63000000000005</v>
      </c>
      <c r="CU47" s="17">
        <f>CT47*VLOOKUP('Données projet'!$B$13,Paramètres!$A$1:$I$89,3,0)*VLOOKUP('Données projet'!$B$13,Paramètres!$A$1:$I$89,5,0)</f>
        <v>209.95150800000008</v>
      </c>
      <c r="CV47" s="13">
        <f t="shared" si="41"/>
        <v>51.924988833836188</v>
      </c>
      <c r="CW47" s="20">
        <f t="shared" si="13"/>
        <v>456.10156531893148</v>
      </c>
      <c r="CX47" s="59">
        <f t="shared" si="14"/>
        <v>749.43489865226479</v>
      </c>
      <c r="CY47" s="59">
        <f ca="1">AVERAGE(OFFSET($CX$3,0,0,'Données projet'!$E$13+1,1))-AVERAGE(OFFSET($H$3,0,0,'Données projet'!$E$13+1,1))</f>
        <v>733.95677909788878</v>
      </c>
      <c r="CZ47" s="59">
        <f t="shared" si="42"/>
        <v>264.63778997972378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37.245689852654507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37.245689852654507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596</v>
      </c>
      <c r="L48" s="12">
        <f>VLOOKUP(A48,'Données projet'!$A$35:$I$55,9,0)</f>
        <v>28</v>
      </c>
      <c r="M48" s="12">
        <f t="array" ref="M48">INDEX(L:L,MIN(IF(ISNUMBER(L48:L244),ROW(L48:L244),"")))</f>
        <v>28</v>
      </c>
      <c r="N48" s="13">
        <f>IF('Données projet'!$A$36&gt;35,N47+M48-V47,IF(A48&lt;'Données projet'!$A$36,$K$205^A48,IF(A48='Données projet'!$A$36,'Données projet'!$B$36,N47+M48-V47)))</f>
        <v>596</v>
      </c>
      <c r="O48" s="13">
        <f>N48*VLOOKUP('Données projet'!$B$9,Paramètres!$A$1:$I$89,3,0)*VLOOKUP('Données projet'!$B$9,Paramètres!$A$1:$I$89,5,0)</f>
        <v>278.928</v>
      </c>
      <c r="P48" s="13">
        <f t="shared" si="33"/>
        <v>66.740413913415367</v>
      </c>
      <c r="Q48" s="20">
        <f t="shared" si="53"/>
        <v>602.0391542325317</v>
      </c>
      <c r="R48" s="59">
        <f t="shared" si="0"/>
        <v>895.37248756586496</v>
      </c>
      <c r="S48" s="59">
        <f ca="1">AVERAGE(OFFSET($R$3,0,0,'Données projet'!$E$9+1,1))-AVERAGE(OFFSET($H$3,0,0,'Données projet'!$E$9+1,1))</f>
        <v>488.67934252295686</v>
      </c>
      <c r="T48" s="59">
        <f t="shared" si="34"/>
        <v>424.50324471331095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77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71.674203995901337</v>
      </c>
      <c r="AA48" s="21">
        <f>EXP(-LN(2)/25)*AA47+(1-EXP(-LN(2)/25))/(LN(2)/25)*Calculateur!V48*Calculateur!X48*VLOOKUP('Données projet'!$B$9,Paramètres!$A$1:$I$89,3,0)*0.475*44/12</f>
        <v>32.319580927157212</v>
      </c>
      <c r="AB48" s="21">
        <f>EXP(-LN(2)/2)*AB47+(1-EXP(-LN(2)/2))/(LN(2)/2)*V48*Y48*VLOOKUP('Données projet'!$B$9,Paramètres!$A$1:$I$89,3,0)*0.475*44/12</f>
        <v>4.4823165757701903E-3</v>
      </c>
      <c r="AC48" s="22">
        <f t="shared" si="3"/>
        <v>103.99826723963432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469</v>
      </c>
      <c r="AG48" s="12">
        <f>VLOOKUP(A48,'Données projet'!$A$61:$I$81,9,0)</f>
        <v>21.6</v>
      </c>
      <c r="AH48" s="12">
        <f t="array" ref="AH48">INDEX(AG:AG,MIN(IF(ISNUMBER(AG48:AG244),ROW(AG48:AG244),"")))</f>
        <v>21.6</v>
      </c>
      <c r="AI48" s="13">
        <f>IF('Données projet'!$A$62&gt;35,AI47+AH48-AQ47,IF(A48&lt;'Données projet'!$A$62,$AF$205^A48,IF(A48='Données projet'!$A$62,'Données projet'!$B$62,AI47+AH48-AQ47)))</f>
        <v>469.00000000000028</v>
      </c>
      <c r="AJ48" s="13">
        <f>AI48*VLOOKUP('Données projet'!$B$10,Paramètres!$A$1:$I$89,3,0)*VLOOKUP('Données projet'!$B$10,Paramètres!$A$1:$I$89,5,0)</f>
        <v>280.46200000000022</v>
      </c>
      <c r="AK48" s="13">
        <f t="shared" si="35"/>
        <v>67.064633392006456</v>
      </c>
      <c r="AL48" s="20">
        <f t="shared" si="4"/>
        <v>605.27555315774487</v>
      </c>
      <c r="AM48" s="59">
        <f t="shared" si="5"/>
        <v>898.60888649107824</v>
      </c>
      <c r="AN48" s="59">
        <f ca="1">AVERAGE(OFFSET($AM$3,0,0,'Données projet'!$E$10+1,1))-AVERAGE(OFFSET($H$3,0,0,'Données projet'!$E$10+1,1))</f>
        <v>504.81063008331739</v>
      </c>
      <c r="AO48" s="59">
        <f t="shared" si="36"/>
        <v>441.82647565372287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60</v>
      </c>
      <c r="AR48" s="16">
        <f>IF(ISNA(VLOOKUP(A48,'Données projet'!$A$61:$I$81,5,0)),0%,VLOOKUP(A48,'Données projet'!$A$61:$I$81,5,0)*VLOOKUP('Données projet'!$B$10,Paramètres!$A$1:$I$89,7,0))</f>
        <v>0.45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60.237164627320283</v>
      </c>
      <c r="AV48" s="21">
        <f>EXP(-LN(2)/25)*AV47+(1-EXP(-LN(2)/25))/(LN(2)/25)*Calculateur!AQ48*Calculateur!AS48*VLOOKUP('Données projet'!$B$10,Paramètres!$A$1:$I$89,3,0)*0.475*44/12</f>
        <v>38.845808811623328</v>
      </c>
      <c r="AW48" s="21">
        <f>EXP(-LN(2)/2)*AW47+(1-EXP(-LN(2)/2))/(LN(2)/2)*AQ48*AT48*VLOOKUP('Données projet'!$B$10,Paramètres!$A$1:$I$89,3,0)*0.475*44/12</f>
        <v>2.8927761214879091E-4</v>
      </c>
      <c r="AX48" s="21">
        <f t="shared" si="6"/>
        <v>99.083262716555765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204.99999999999994</v>
      </c>
      <c r="BE48" s="13">
        <f>BD48*VLOOKUP('Données projet'!$B$11,Paramètres!$A$1:$I$89,3,0)*VLOOKUP('Données projet'!$B$11,Paramètres!$A$1:$I$89,5,0)</f>
        <v>179.08799999999997</v>
      </c>
      <c r="BF48" s="13">
        <f t="shared" si="37"/>
        <v>45.119223023956835</v>
      </c>
      <c r="BG48" s="20">
        <f t="shared" si="7"/>
        <v>390.49424676672476</v>
      </c>
      <c r="BH48" s="59">
        <f t="shared" si="8"/>
        <v>683.82758010005807</v>
      </c>
      <c r="BI48" s="59">
        <f ca="1">AVERAGE(OFFSET($BH$3,0,0,'Données projet'!$E$11+1,1))-AVERAGE(OFFSET($H$3,0,0,'Données projet'!$E$11+1,1))</f>
        <v>324.86930206492627</v>
      </c>
      <c r="BJ48" s="59">
        <f t="shared" si="38"/>
        <v>317.03005098025352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35.997643971441995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35.997643971441995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204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204.00000000000003</v>
      </c>
      <c r="BZ48" s="13">
        <f>BY48*VLOOKUP('Données projet'!$B$12,Paramètres!$A$1:$I$89,3,0)*VLOOKUP('Données projet'!$B$12,Paramètres!$A$1:$I$89,5,0)</f>
        <v>206.85600000000005</v>
      </c>
      <c r="CA48" s="13">
        <f t="shared" si="39"/>
        <v>51.247940588293027</v>
      </c>
      <c r="CB48" s="20">
        <f t="shared" si="10"/>
        <v>449.53102985794379</v>
      </c>
      <c r="CC48" s="59">
        <f t="shared" si="11"/>
        <v>742.86436319127711</v>
      </c>
      <c r="CD48" s="59">
        <f ca="1">AVERAGE(OFFSET($CC$3,0,0,'Données projet'!$E$12+1,1))-AVERAGE(OFFSET($H$3,0,0,'Données projet'!$E$12+1,1))</f>
        <v>487.18832528146936</v>
      </c>
      <c r="CE48" s="59">
        <f t="shared" si="40"/>
        <v>306.61893266146666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28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36.79144172057746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36.79144172057746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14.015000000000004</v>
      </c>
      <c r="CT48" s="12">
        <f>IF('Données projet'!$A$140&gt;35,CT47+CS48-DB47,IF(A48&lt;'Données projet'!$A$140,$CQ$205^A48,IF(A48='Données projet'!$A$140,'Données projet'!$B$140,CT47+CS48-DB47)))</f>
        <v>234.64500000000007</v>
      </c>
      <c r="CU48" s="17">
        <f>CT48*VLOOKUP('Données projet'!$B$13,Paramètres!$A$1:$I$89,3,0)*VLOOKUP('Données projet'!$B$13,Paramètres!$A$1:$I$89,5,0)</f>
        <v>223.28818200000006</v>
      </c>
      <c r="CV48" s="13">
        <f t="shared" si="41"/>
        <v>54.828937590020637</v>
      </c>
      <c r="CW48" s="20">
        <f t="shared" si="13"/>
        <v>484.38731661928608</v>
      </c>
      <c r="CX48" s="59">
        <f t="shared" si="14"/>
        <v>777.7206499526194</v>
      </c>
      <c r="CY48" s="59">
        <f ca="1">AVERAGE(OFFSET($CX$3,0,0,'Données projet'!$E$13+1,1))-AVERAGE(OFFSET($H$3,0,0,'Données projet'!$E$13+1,1))</f>
        <v>733.95677909788878</v>
      </c>
      <c r="CZ48" s="59">
        <f t="shared" si="42"/>
        <v>264.63778997972378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36.515324592271583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36.515324592271583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26.4</v>
      </c>
      <c r="N49" s="13">
        <f>IF('Données projet'!$A$36&gt;35,N48+M49-V48,IF(A49&lt;'Données projet'!$A$36,$K$205^A49,IF(A49='Données projet'!$A$36,'Données projet'!$B$36,N48+M49-V48)))</f>
        <v>545.4</v>
      </c>
      <c r="O49" s="13">
        <f>N49*VLOOKUP('Données projet'!$B$9,Paramètres!$A$1:$I$89,3,0)*VLOOKUP('Données projet'!$B$9,Paramètres!$A$1:$I$89,5,0)</f>
        <v>255.24719999999999</v>
      </c>
      <c r="P49" s="13">
        <f t="shared" si="33"/>
        <v>61.708187819081218</v>
      </c>
      <c r="Q49" s="20">
        <f t="shared" si="53"/>
        <v>552.03063378489981</v>
      </c>
      <c r="R49" s="59">
        <f t="shared" si="0"/>
        <v>845.36396711823318</v>
      </c>
      <c r="S49" s="59">
        <f ca="1">AVERAGE(OFFSET($R$3,0,0,'Données projet'!$E$9+1,1))-AVERAGE(OFFSET($H$3,0,0,'Données projet'!$E$9+1,1))</f>
        <v>488.67934252295686</v>
      </c>
      <c r="T49" s="59">
        <f t="shared" si="34"/>
        <v>424.50324471331095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70.268716572489453</v>
      </c>
      <c r="AA49" s="21">
        <f>EXP(-LN(2)/25)*AA48+(1-EXP(-LN(2)/25))/(LN(2)/25)*Calculateur!V49*Calculateur!X49*VLOOKUP('Données projet'!$B$9,Paramètres!$A$1:$I$89,3,0)*0.475*44/12</f>
        <v>31.435800287091205</v>
      </c>
      <c r="AB49" s="21">
        <f>EXP(-LN(2)/2)*AB48+(1-EXP(-LN(2)/2))/(LN(2)/2)*V49*Y49*VLOOKUP('Données projet'!$B$9,Paramètres!$A$1:$I$89,3,0)*0.475*44/12</f>
        <v>3.169476446151967E-3</v>
      </c>
      <c r="AC49" s="22">
        <f t="shared" si="3"/>
        <v>101.7076863360268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20</v>
      </c>
      <c r="AI49" s="13">
        <f>IF('Données projet'!$A$62&gt;35,AI48+AH49-AQ48,IF(A49&lt;'Données projet'!$A$62,$AF$205^A49,IF(A49='Données projet'!$A$62,'Données projet'!$B$62,AI48+AH49-AQ48)))</f>
        <v>429.00000000000028</v>
      </c>
      <c r="AJ49" s="13">
        <f>AI49*VLOOKUP('Données projet'!$B$10,Paramètres!$A$1:$I$89,3,0)*VLOOKUP('Données projet'!$B$10,Paramètres!$A$1:$I$89,5,0)</f>
        <v>256.5420000000002</v>
      </c>
      <c r="AK49" s="13">
        <f t="shared" si="35"/>
        <v>61.984698688972557</v>
      </c>
      <c r="AL49" s="20">
        <f t="shared" si="4"/>
        <v>554.76733354996088</v>
      </c>
      <c r="AM49" s="59">
        <f t="shared" si="5"/>
        <v>848.10066688329425</v>
      </c>
      <c r="AN49" s="59">
        <f ca="1">AVERAGE(OFFSET($AM$3,0,0,'Données projet'!$E$10+1,1))-AVERAGE(OFFSET($H$3,0,0,'Données projet'!$E$10+1,1))</f>
        <v>504.81063008331739</v>
      </c>
      <c r="AO49" s="59">
        <f t="shared" si="36"/>
        <v>441.82647565372287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59.055950570021075</v>
      </c>
      <c r="AV49" s="21">
        <f>EXP(-LN(2)/25)*AV48+(1-EXP(-LN(2)/25))/(LN(2)/25)*Calculateur!AQ49*Calculateur!AS49*VLOOKUP('Données projet'!$B$10,Paramètres!$A$1:$I$89,3,0)*0.475*44/12</f>
        <v>37.783568126857183</v>
      </c>
      <c r="AW49" s="21">
        <f>EXP(-LN(2)/2)*AW48+(1-EXP(-LN(2)/2))/(LN(2)/2)*AQ49*AT49*VLOOKUP('Données projet'!$B$10,Paramètres!$A$1:$I$89,3,0)*0.475*44/12</f>
        <v>2.0455016119586206E-4</v>
      </c>
      <c r="AX49" s="21">
        <f t="shared" si="6"/>
        <v>96.839723247039458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190.19999999999993</v>
      </c>
      <c r="BE49" s="13">
        <f>BD49*VLOOKUP('Données projet'!$B$11,Paramètres!$A$1:$I$89,3,0)*VLOOKUP('Données projet'!$B$11,Paramètres!$A$1:$I$89,5,0)</f>
        <v>166.15871999999996</v>
      </c>
      <c r="BF49" s="13">
        <f t="shared" si="37"/>
        <v>42.228563636586387</v>
      </c>
      <c r="BG49" s="20">
        <f t="shared" si="7"/>
        <v>362.94118566705453</v>
      </c>
      <c r="BH49" s="59">
        <f t="shared" si="8"/>
        <v>656.27451900038784</v>
      </c>
      <c r="BI49" s="59">
        <f ca="1">AVERAGE(OFFSET($BH$3,0,0,'Données projet'!$E$11+1,1))-AVERAGE(OFFSET($H$3,0,0,'Données projet'!$E$11+1,1))</f>
        <v>324.86930206492627</v>
      </c>
      <c r="BJ49" s="59">
        <f t="shared" si="38"/>
        <v>317.03005098025352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35.291752129556826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35.291752129556826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</v>
      </c>
      <c r="BY49" s="12">
        <f>IF('Données projet'!$A$114&gt;35,BY48+BX49-CG48,IF(A49&lt;'Données projet'!$A$114,$BV$205^A49,IF(A49='Données projet'!$A$114,'Données projet'!$B$114,BY48+BX49-CG48)))</f>
        <v>187.00000000000003</v>
      </c>
      <c r="BZ49" s="13">
        <f>BY49*VLOOKUP('Données projet'!$B$12,Paramètres!$A$1:$I$89,3,0)*VLOOKUP('Données projet'!$B$12,Paramètres!$A$1:$I$89,5,0)</f>
        <v>189.61800000000005</v>
      </c>
      <c r="CA49" s="13">
        <f t="shared" si="39"/>
        <v>47.4554881852685</v>
      </c>
      <c r="CB49" s="20">
        <f t="shared" si="10"/>
        <v>412.90299192267599</v>
      </c>
      <c r="CC49" s="59">
        <f t="shared" si="11"/>
        <v>706.23632525600931</v>
      </c>
      <c r="CD49" s="59">
        <f ca="1">AVERAGE(OFFSET($CC$3,0,0,'Données projet'!$E$12+1,1))-AVERAGE(OFFSET($H$3,0,0,'Données projet'!$E$12+1,1))</f>
        <v>487.18832528146936</v>
      </c>
      <c r="CE49" s="59">
        <f t="shared" si="40"/>
        <v>306.61893266146666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36.069983989000562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36.069983989000562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14.015000000000004</v>
      </c>
      <c r="CT49" s="12">
        <f>IF('Données projet'!$A$140&gt;35,CT48+CS49-DB48,IF(A49&lt;'Données projet'!$A$140,$CQ$205^A49,IF(A49='Données projet'!$A$140,'Données projet'!$B$140,CT48+CS49-DB48)))</f>
        <v>248.66000000000008</v>
      </c>
      <c r="CU49" s="17">
        <f>CT49*VLOOKUP('Données projet'!$B$13,Paramètres!$A$1:$I$89,3,0)*VLOOKUP('Données projet'!$B$13,Paramètres!$A$1:$I$89,5,0)</f>
        <v>236.62485600000005</v>
      </c>
      <c r="CV49" s="13">
        <f t="shared" si="41"/>
        <v>57.712754317921387</v>
      </c>
      <c r="CW49" s="20">
        <f t="shared" si="13"/>
        <v>512.63800463704649</v>
      </c>
      <c r="CX49" s="59">
        <f t="shared" si="14"/>
        <v>805.97133797037986</v>
      </c>
      <c r="CY49" s="59">
        <f ca="1">AVERAGE(OFFSET($CX$3,0,0,'Données projet'!$E$13+1,1))-AVERAGE(OFFSET($H$3,0,0,'Données projet'!$E$13+1,1))</f>
        <v>733.95677909788878</v>
      </c>
      <c r="CZ49" s="59">
        <f t="shared" si="42"/>
        <v>264.63778997972378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35.799281349165945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35.799281349165945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26.4</v>
      </c>
      <c r="N50" s="13">
        <f>IF('Données projet'!$A$36&gt;35,N49+M50-V49,IF(A50&lt;'Données projet'!$A$36,$K$205^A50,IF(A50='Données projet'!$A$36,'Données projet'!$B$36,N49+M50-V49)))</f>
        <v>571.79999999999995</v>
      </c>
      <c r="O50" s="13">
        <f>N50*VLOOKUP('Données projet'!$B$9,Paramètres!$A$1:$I$89,3,0)*VLOOKUP('Données projet'!$B$9,Paramètres!$A$1:$I$89,5,0)</f>
        <v>267.60239999999999</v>
      </c>
      <c r="P50" s="13">
        <f t="shared" si="33"/>
        <v>64.340174211244943</v>
      </c>
      <c r="Q50" s="20">
        <f t="shared" si="53"/>
        <v>578.13331675125153</v>
      </c>
      <c r="R50" s="59">
        <f t="shared" si="0"/>
        <v>871.4666500845849</v>
      </c>
      <c r="S50" s="59">
        <f ca="1">AVERAGE(OFFSET($R$3,0,0,'Données projet'!$E$9+1,1))-AVERAGE(OFFSET($H$3,0,0,'Données projet'!$E$9+1,1))</f>
        <v>488.67934252295686</v>
      </c>
      <c r="T50" s="59">
        <f t="shared" si="34"/>
        <v>424.50324471331095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68.890789900187997</v>
      </c>
      <c r="AA50" s="21">
        <f>EXP(-LN(2)/25)*AA49+(1-EXP(-LN(2)/25))/(LN(2)/25)*Calculateur!V50*Calculateur!X50*VLOOKUP('Données projet'!$B$9,Paramètres!$A$1:$I$89,3,0)*0.475*44/12</f>
        <v>30.576186675103806</v>
      </c>
      <c r="AB50" s="21">
        <f>EXP(-LN(2)/2)*AB49+(1-EXP(-LN(2)/2))/(LN(2)/2)*V50*Y50*VLOOKUP('Données projet'!$B$9,Paramètres!$A$1:$I$89,3,0)*0.475*44/12</f>
        <v>2.2411582878850951E-3</v>
      </c>
      <c r="AC50" s="22">
        <f t="shared" si="3"/>
        <v>99.469217733579683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20</v>
      </c>
      <c r="AI50" s="13">
        <f>IF('Données projet'!$A$62&gt;35,AI49+AH50-AQ49,IF(A50&lt;'Données projet'!$A$62,$AF$205^A50,IF(A50='Données projet'!$A$62,'Données projet'!$B$62,AI49+AH50-AQ49)))</f>
        <v>449.00000000000028</v>
      </c>
      <c r="AJ50" s="13">
        <f>AI50*VLOOKUP('Données projet'!$B$10,Paramètres!$A$1:$I$89,3,0)*VLOOKUP('Données projet'!$B$10,Paramètres!$A$1:$I$89,5,0)</f>
        <v>268.50200000000018</v>
      </c>
      <c r="AK50" s="13">
        <f t="shared" si="35"/>
        <v>64.531253013339224</v>
      </c>
      <c r="AL50" s="20">
        <f t="shared" si="4"/>
        <v>580.03291566489941</v>
      </c>
      <c r="AM50" s="59">
        <f t="shared" si="5"/>
        <v>873.36624899823278</v>
      </c>
      <c r="AN50" s="59">
        <f ca="1">AVERAGE(OFFSET($AM$3,0,0,'Données projet'!$E$10+1,1))-AVERAGE(OFFSET($H$3,0,0,'Données projet'!$E$10+1,1))</f>
        <v>504.81063008331739</v>
      </c>
      <c r="AO50" s="59">
        <f t="shared" si="36"/>
        <v>441.82647565372287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57.897899399916071</v>
      </c>
      <c r="AV50" s="21">
        <f>EXP(-LN(2)/25)*AV49+(1-EXP(-LN(2)/25))/(LN(2)/25)*Calculateur!AQ50*Calculateur!AS50*VLOOKUP('Données projet'!$B$10,Paramètres!$A$1:$I$89,3,0)*0.475*44/12</f>
        <v>36.750374469476782</v>
      </c>
      <c r="AW50" s="21">
        <f>EXP(-LN(2)/2)*AW49+(1-EXP(-LN(2)/2))/(LN(2)/2)*AQ50*AT50*VLOOKUP('Données projet'!$B$10,Paramètres!$A$1:$I$89,3,0)*0.475*44/12</f>
        <v>1.4463880607439546E-4</v>
      </c>
      <c r="AX50" s="21">
        <f t="shared" si="6"/>
        <v>94.64841850819893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197.39999999999992</v>
      </c>
      <c r="BE50" s="13">
        <f>BD50*VLOOKUP('Données projet'!$B$11,Paramètres!$A$1:$I$89,3,0)*VLOOKUP('Données projet'!$B$11,Paramètres!$A$1:$I$89,5,0)</f>
        <v>172.44863999999995</v>
      </c>
      <c r="BF50" s="13">
        <f t="shared" si="37"/>
        <v>43.637980200453676</v>
      </c>
      <c r="BG50" s="20">
        <f t="shared" si="7"/>
        <v>376.35086351579008</v>
      </c>
      <c r="BH50" s="59">
        <f t="shared" si="8"/>
        <v>669.6841968491234</v>
      </c>
      <c r="BI50" s="59">
        <f ca="1">AVERAGE(OFFSET($BH$3,0,0,'Données projet'!$E$11+1,1))-AVERAGE(OFFSET($H$3,0,0,'Données projet'!$E$11+1,1))</f>
        <v>324.86930206492627</v>
      </c>
      <c r="BJ50" s="59">
        <f t="shared" si="38"/>
        <v>317.03005098025352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34.599702396139513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34.599702396139513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</v>
      </c>
      <c r="BY50" s="12">
        <f>IF('Données projet'!$A$114&gt;35,BY49+BX50-CG49,IF(A50&lt;'Données projet'!$A$114,$BV$205^A50,IF(A50='Données projet'!$A$114,'Données projet'!$B$114,BY49+BX50-CG49)))</f>
        <v>198.00000000000003</v>
      </c>
      <c r="BZ50" s="13">
        <f>BY50*VLOOKUP('Données projet'!$B$12,Paramètres!$A$1:$I$89,3,0)*VLOOKUP('Données projet'!$B$12,Paramètres!$A$1:$I$89,5,0)</f>
        <v>200.77200000000002</v>
      </c>
      <c r="CA50" s="13">
        <f t="shared" si="39"/>
        <v>49.913791898945412</v>
      </c>
      <c r="CB50" s="20">
        <f t="shared" si="10"/>
        <v>436.61108755732994</v>
      </c>
      <c r="CC50" s="59">
        <f t="shared" si="11"/>
        <v>729.9444208906632</v>
      </c>
      <c r="CD50" s="59">
        <f ca="1">AVERAGE(OFFSET($CC$3,0,0,'Données projet'!$E$12+1,1))-AVERAGE(OFFSET($H$3,0,0,'Données projet'!$E$12+1,1))</f>
        <v>487.18832528146936</v>
      </c>
      <c r="CE50" s="59">
        <f t="shared" si="40"/>
        <v>306.61893266146666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35.362673603494123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35.362673603494123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14.015000000000004</v>
      </c>
      <c r="CT50" s="12">
        <f>IF('Données projet'!$A$140&gt;35,CT49+CS50-DB49,IF(A50&lt;'Données projet'!$A$140,$CQ$205^A50,IF(A50='Données projet'!$A$140,'Données projet'!$B$140,CT49+CS50-DB49)))</f>
        <v>262.67500000000007</v>
      </c>
      <c r="CU50" s="17">
        <f>CT50*VLOOKUP('Données projet'!$B$13,Paramètres!$A$1:$I$89,3,0)*VLOOKUP('Données projet'!$B$13,Paramètres!$A$1:$I$89,5,0)</f>
        <v>249.96153000000007</v>
      </c>
      <c r="CV50" s="13">
        <f t="shared" si="41"/>
        <v>60.577703007063143</v>
      </c>
      <c r="CW50" s="20">
        <f t="shared" si="13"/>
        <v>540.85583082063511</v>
      </c>
      <c r="CX50" s="59">
        <f t="shared" si="14"/>
        <v>834.18916415396848</v>
      </c>
      <c r="CY50" s="59">
        <f ca="1">AVERAGE(OFFSET($CX$3,0,0,'Données projet'!$E$13+1,1))-AVERAGE(OFFSET($H$3,0,0,'Données projet'!$E$13+1,1))</f>
        <v>733.95677909788878</v>
      </c>
      <c r="CZ50" s="59">
        <f t="shared" si="42"/>
        <v>264.63778997972378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35.097279277314357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35.097279277314357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26.4</v>
      </c>
      <c r="N51" s="13">
        <f>IF('Données projet'!$A$36&gt;35,N50+M51-V50,IF(A51&lt;'Données projet'!$A$36,$K$205^A51,IF(A51='Données projet'!$A$36,'Données projet'!$B$36,N50+M51-V50)))</f>
        <v>598.19999999999993</v>
      </c>
      <c r="O51" s="13">
        <f>N51*VLOOKUP('Données projet'!$B$9,Paramètres!$A$1:$I$89,3,0)*VLOOKUP('Données projet'!$B$9,Paramètres!$A$1:$I$89,5,0)</f>
        <v>279.95759999999996</v>
      </c>
      <c r="P51" s="13">
        <f t="shared" si="33"/>
        <v>66.958048463279056</v>
      </c>
      <c r="Q51" s="20">
        <f t="shared" si="53"/>
        <v>604.21142107354433</v>
      </c>
      <c r="R51" s="59">
        <f t="shared" si="0"/>
        <v>897.5447544068777</v>
      </c>
      <c r="S51" s="59">
        <f ca="1">AVERAGE(OFFSET($R$3,0,0,'Données projet'!$E$9+1,1))-AVERAGE(OFFSET($H$3,0,0,'Données projet'!$E$9+1,1))</f>
        <v>488.67934252295686</v>
      </c>
      <c r="T51" s="59">
        <f t="shared" si="34"/>
        <v>424.50324471331095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67.539883529478089</v>
      </c>
      <c r="AA51" s="21">
        <f>EXP(-LN(2)/25)*AA50+(1-EXP(-LN(2)/25))/(LN(2)/25)*Calculateur!V51*Calculateur!X51*VLOOKUP('Données projet'!$B$9,Paramètres!$A$1:$I$89,3,0)*0.475*44/12</f>
        <v>29.740079242541317</v>
      </c>
      <c r="AB51" s="21">
        <f>EXP(-LN(2)/2)*AB50+(1-EXP(-LN(2)/2))/(LN(2)/2)*V51*Y51*VLOOKUP('Données projet'!$B$9,Paramètres!$A$1:$I$89,3,0)*0.475*44/12</f>
        <v>1.5847382230759835E-3</v>
      </c>
      <c r="AC51" s="22">
        <f t="shared" si="3"/>
        <v>97.281547510242476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20</v>
      </c>
      <c r="AI51" s="13">
        <f>IF('Données projet'!$A$62&gt;35,AI50+AH51-AQ50,IF(A51&lt;'Données projet'!$A$62,$AF$205^A51,IF(A51='Données projet'!$A$62,'Données projet'!$B$62,AI50+AH51-AQ50)))</f>
        <v>469.00000000000028</v>
      </c>
      <c r="AJ51" s="13">
        <f>AI51*VLOOKUP('Données projet'!$B$10,Paramètres!$A$1:$I$89,3,0)*VLOOKUP('Données projet'!$B$10,Paramètres!$A$1:$I$89,5,0)</f>
        <v>280.46200000000022</v>
      </c>
      <c r="AK51" s="13">
        <f t="shared" si="35"/>
        <v>67.064633392006456</v>
      </c>
      <c r="AL51" s="20">
        <f t="shared" si="4"/>
        <v>605.27555315774487</v>
      </c>
      <c r="AM51" s="59">
        <f t="shared" si="5"/>
        <v>898.60888649107824</v>
      </c>
      <c r="AN51" s="59">
        <f ca="1">AVERAGE(OFFSET($AM$3,0,0,'Données projet'!$E$10+1,1))-AVERAGE(OFFSET($H$3,0,0,'Données projet'!$E$10+1,1))</f>
        <v>504.81063008331739</v>
      </c>
      <c r="AO51" s="59">
        <f t="shared" si="36"/>
        <v>441.82647565372287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56.762556906915357</v>
      </c>
      <c r="AV51" s="21">
        <f>EXP(-LN(2)/25)*AV50+(1-EXP(-LN(2)/25))/(LN(2)/25)*Calculateur!AQ51*Calculateur!AS51*VLOOKUP('Données projet'!$B$10,Paramètres!$A$1:$I$89,3,0)*0.475*44/12</f>
        <v>35.745433546990739</v>
      </c>
      <c r="AW51" s="21">
        <f>EXP(-LN(2)/2)*AW50+(1-EXP(-LN(2)/2))/(LN(2)/2)*AQ51*AT51*VLOOKUP('Données projet'!$B$10,Paramètres!$A$1:$I$89,3,0)*0.475*44/12</f>
        <v>1.0227508059793103E-4</v>
      </c>
      <c r="AX51" s="21">
        <f t="shared" si="6"/>
        <v>92.508092728986696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204.59999999999991</v>
      </c>
      <c r="BE51" s="13">
        <f>BD51*VLOOKUP('Données projet'!$B$11,Paramètres!$A$1:$I$89,3,0)*VLOOKUP('Données projet'!$B$11,Paramètres!$A$1:$I$89,5,0)</f>
        <v>178.73855999999995</v>
      </c>
      <c r="BF51" s="13">
        <f t="shared" si="37"/>
        <v>45.041424241265332</v>
      </c>
      <c r="BG51" s="20">
        <f t="shared" si="7"/>
        <v>389.75013922020366</v>
      </c>
      <c r="BH51" s="59">
        <f t="shared" si="8"/>
        <v>683.08347255353692</v>
      </c>
      <c r="BI51" s="59">
        <f ca="1">AVERAGE(OFFSET($BH$3,0,0,'Données projet'!$E$11+1,1))-AVERAGE(OFFSET($H$3,0,0,'Données projet'!$E$11+1,1))</f>
        <v>324.86930206492627</v>
      </c>
      <c r="BJ51" s="59">
        <f t="shared" si="38"/>
        <v>317.03005098025352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33.921223335885855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33.921223335885855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</v>
      </c>
      <c r="BY51" s="12">
        <f>IF('Données projet'!$A$114&gt;35,BY50+BX51-CG50,IF(A51&lt;'Données projet'!$A$114,$BV$205^A51,IF(A51='Données projet'!$A$114,'Données projet'!$B$114,BY50+BX51-CG50)))</f>
        <v>209.00000000000003</v>
      </c>
      <c r="BZ51" s="13">
        <f>BY51*VLOOKUP('Données projet'!$B$12,Paramètres!$A$1:$I$89,3,0)*VLOOKUP('Données projet'!$B$12,Paramètres!$A$1:$I$89,5,0)</f>
        <v>211.92600000000004</v>
      </c>
      <c r="CA51" s="13">
        <f t="shared" si="39"/>
        <v>52.356241262970165</v>
      </c>
      <c r="CB51" s="20">
        <f t="shared" si="10"/>
        <v>460.29157019967312</v>
      </c>
      <c r="CC51" s="59">
        <f t="shared" si="11"/>
        <v>753.62490353300643</v>
      </c>
      <c r="CD51" s="59">
        <f ca="1">AVERAGE(OFFSET($CC$3,0,0,'Données projet'!$E$12+1,1))-AVERAGE(OFFSET($H$3,0,0,'Données projet'!$E$12+1,1))</f>
        <v>487.18832528146936</v>
      </c>
      <c r="CE51" s="59">
        <f t="shared" si="40"/>
        <v>306.61893266146666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34.669233143230727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34.669233143230727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14.015000000000004</v>
      </c>
      <c r="CT51" s="12">
        <f>IF('Données projet'!$A$140&gt;35,CT50+CS51-DB50,IF(A51&lt;'Données projet'!$A$140,$CQ$205^A51,IF(A51='Données projet'!$A$140,'Données projet'!$B$140,CT50+CS51-DB50)))</f>
        <v>276.69000000000005</v>
      </c>
      <c r="CU51" s="17">
        <f>CT51*VLOOKUP('Données projet'!$B$13,Paramètres!$A$1:$I$89,3,0)*VLOOKUP('Données projet'!$B$13,Paramètres!$A$1:$I$89,5,0)</f>
        <v>263.29820400000006</v>
      </c>
      <c r="CV51" s="13">
        <f t="shared" si="41"/>
        <v>63.424905149053629</v>
      </c>
      <c r="CW51" s="20">
        <f t="shared" si="13"/>
        <v>569.04274843460178</v>
      </c>
      <c r="CX51" s="59">
        <f t="shared" si="14"/>
        <v>862.37608176793515</v>
      </c>
      <c r="CY51" s="59">
        <f ca="1">AVERAGE(OFFSET($CX$3,0,0,'Données projet'!$E$13+1,1))-AVERAGE(OFFSET($H$3,0,0,'Données projet'!$E$13+1,1))</f>
        <v>733.95677909788878</v>
      </c>
      <c r="CZ51" s="59">
        <f t="shared" si="42"/>
        <v>264.63778997972378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34.409043037912795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34.409043037912795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26.4</v>
      </c>
      <c r="N52" s="13">
        <f>IF('Données projet'!$A$36&gt;35,N51+M52-V51,IF(A52&lt;'Données projet'!$A$36,$K$205^A52,IF(A52='Données projet'!$A$36,'Données projet'!$B$36,N51+M52-V51)))</f>
        <v>624.59999999999991</v>
      </c>
      <c r="O52" s="13">
        <f>N52*VLOOKUP('Données projet'!$B$9,Paramètres!$A$1:$I$89,3,0)*VLOOKUP('Données projet'!$B$9,Paramètres!$A$1:$I$89,5,0)</f>
        <v>292.31279999999998</v>
      </c>
      <c r="P52" s="13">
        <f t="shared" si="33"/>
        <v>69.562504549179678</v>
      </c>
      <c r="Q52" s="20">
        <f t="shared" si="53"/>
        <v>630.26615542315449</v>
      </c>
      <c r="R52" s="59">
        <f t="shared" si="0"/>
        <v>923.59948875648774</v>
      </c>
      <c r="S52" s="59">
        <f ca="1">AVERAGE(OFFSET($R$3,0,0,'Données projet'!$E$9+1,1))-AVERAGE(OFFSET($H$3,0,0,'Données projet'!$E$9+1,1))</f>
        <v>488.67934252295686</v>
      </c>
      <c r="T52" s="59">
        <f t="shared" si="34"/>
        <v>424.50324471331095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66.215467608726286</v>
      </c>
      <c r="AA52" s="21">
        <f>EXP(-LN(2)/25)*AA51+(1-EXP(-LN(2)/25))/(LN(2)/25)*Calculateur!V52*Calculateur!X52*VLOOKUP('Données projet'!$B$9,Paramètres!$A$1:$I$89,3,0)*0.475*44/12</f>
        <v>28.92683521169123</v>
      </c>
      <c r="AB52" s="21">
        <f>EXP(-LN(2)/2)*AB51+(1-EXP(-LN(2)/2))/(LN(2)/2)*V52*Y52*VLOOKUP('Données projet'!$B$9,Paramètres!$A$1:$I$89,3,0)*0.475*44/12</f>
        <v>1.1205791439425476E-3</v>
      </c>
      <c r="AC52" s="22">
        <f t="shared" si="3"/>
        <v>95.143423399561456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20</v>
      </c>
      <c r="AI52" s="13">
        <f>IF('Données projet'!$A$62&gt;35,AI51+AH52-AQ51,IF(A52&lt;'Données projet'!$A$62,$AF$205^A52,IF(A52='Données projet'!$A$62,'Données projet'!$B$62,AI51+AH52-AQ51)))</f>
        <v>489.00000000000028</v>
      </c>
      <c r="AJ52" s="13">
        <f>AI52*VLOOKUP('Données projet'!$B$10,Paramètres!$A$1:$I$89,3,0)*VLOOKUP('Données projet'!$B$10,Paramètres!$A$1:$I$89,5,0)</f>
        <v>292.4220000000002</v>
      </c>
      <c r="AK52" s="13">
        <f t="shared" si="35"/>
        <v>69.585465839061499</v>
      </c>
      <c r="AL52" s="20">
        <f t="shared" si="4"/>
        <v>630.49633633636574</v>
      </c>
      <c r="AM52" s="59">
        <f t="shared" si="5"/>
        <v>923.82966966969911</v>
      </c>
      <c r="AN52" s="59">
        <f ca="1">AVERAGE(OFFSET($AM$3,0,0,'Données projet'!$E$10+1,1))-AVERAGE(OFFSET($H$3,0,0,'Données projet'!$E$10+1,1))</f>
        <v>504.81063008331739</v>
      </c>
      <c r="AO52" s="59">
        <f t="shared" si="36"/>
        <v>441.82647565372287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55.649477787711845</v>
      </c>
      <c r="AV52" s="21">
        <f>EXP(-LN(2)/25)*AV51+(1-EXP(-LN(2)/25))/(LN(2)/25)*Calculateur!AQ52*Calculateur!AS52*VLOOKUP('Données projet'!$B$10,Paramètres!$A$1:$I$89,3,0)*0.475*44/12</f>
        <v>34.767972786877621</v>
      </c>
      <c r="AW52" s="21">
        <f>EXP(-LN(2)/2)*AW51+(1-EXP(-LN(2)/2))/(LN(2)/2)*AQ52*AT52*VLOOKUP('Données projet'!$B$10,Paramètres!$A$1:$I$89,3,0)*0.475*44/12</f>
        <v>7.2319403037197729E-5</v>
      </c>
      <c r="AX52" s="21">
        <f t="shared" si="6"/>
        <v>90.417522893992498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211.7999999999999</v>
      </c>
      <c r="BE52" s="13">
        <f>BD52*VLOOKUP('Données projet'!$B$11,Paramètres!$A$1:$I$89,3,0)*VLOOKUP('Données projet'!$B$11,Paramètres!$A$1:$I$89,5,0)</f>
        <v>185.02847999999992</v>
      </c>
      <c r="BF52" s="13">
        <f t="shared" si="37"/>
        <v>46.439130018745807</v>
      </c>
      <c r="BG52" s="20">
        <f t="shared" si="7"/>
        <v>403.13942078264876</v>
      </c>
      <c r="BH52" s="59">
        <f t="shared" si="8"/>
        <v>696.47275411598207</v>
      </c>
      <c r="BI52" s="59">
        <f ca="1">AVERAGE(OFFSET($BH$3,0,0,'Données projet'!$E$11+1,1))-AVERAGE(OFFSET($H$3,0,0,'Données projet'!$E$11+1,1))</f>
        <v>324.86930206492627</v>
      </c>
      <c r="BJ52" s="59">
        <f t="shared" si="38"/>
        <v>317.03005098025352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33.256048836172411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33.256048836172411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</v>
      </c>
      <c r="BY52" s="12">
        <f>IF('Données projet'!$A$114&gt;35,BY51+BX52-CG51,IF(A52&lt;'Données projet'!$A$114,$BV$205^A52,IF(A52='Données projet'!$A$114,'Données projet'!$B$114,BY51+BX52-CG51)))</f>
        <v>220.00000000000003</v>
      </c>
      <c r="BZ52" s="13">
        <f>BY52*VLOOKUP('Données projet'!$B$12,Paramètres!$A$1:$I$89,3,0)*VLOOKUP('Données projet'!$B$12,Paramètres!$A$1:$I$89,5,0)</f>
        <v>223.08000000000004</v>
      </c>
      <c r="CA52" s="13">
        <f t="shared" si="39"/>
        <v>54.783765878062667</v>
      </c>
      <c r="CB52" s="20">
        <f t="shared" si="10"/>
        <v>483.94605890429256</v>
      </c>
      <c r="CC52" s="59">
        <f t="shared" si="11"/>
        <v>777.27939223762587</v>
      </c>
      <c r="CD52" s="59">
        <f ca="1">AVERAGE(OFFSET($CC$3,0,0,'Données projet'!$E$12+1,1))-AVERAGE(OFFSET($H$3,0,0,'Données projet'!$E$12+1,1))</f>
        <v>487.18832528146936</v>
      </c>
      <c r="CE52" s="59">
        <f t="shared" si="40"/>
        <v>306.61893266146666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33.98939062743618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33.98939062743618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14.015000000000004</v>
      </c>
      <c r="CT52" s="12">
        <f>IF('Données projet'!$A$140&gt;35,CT51+CS52-DB51,IF(A52&lt;'Données projet'!$A$140,$CQ$205^A52,IF(A52='Données projet'!$A$140,'Données projet'!$B$140,CT51+CS52-DB51)))</f>
        <v>290.70500000000004</v>
      </c>
      <c r="CU52" s="17">
        <f>CT52*VLOOKUP('Données projet'!$B$13,Paramètres!$A$1:$I$89,3,0)*VLOOKUP('Données projet'!$B$13,Paramètres!$A$1:$I$89,5,0)</f>
        <v>276.63487800000007</v>
      </c>
      <c r="CV52" s="13">
        <f t="shared" si="41"/>
        <v>66.255362205578308</v>
      </c>
      <c r="CW52" s="20">
        <f t="shared" si="13"/>
        <v>597.20050169138233</v>
      </c>
      <c r="CX52" s="59">
        <f t="shared" si="14"/>
        <v>890.5338350247157</v>
      </c>
      <c r="CY52" s="59">
        <f ca="1">AVERAGE(OFFSET($CX$3,0,0,'Données projet'!$E$13+1,1))-AVERAGE(OFFSET($H$3,0,0,'Données projet'!$E$13+1,1))</f>
        <v>733.95677909788878</v>
      </c>
      <c r="CZ52" s="59">
        <f t="shared" si="42"/>
        <v>264.63778997972378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33.734302691383242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33.734302691383242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651</v>
      </c>
      <c r="L53" s="12">
        <f>VLOOKUP(A53,'Données projet'!$A$35:$I$55,9,0)</f>
        <v>26.4</v>
      </c>
      <c r="M53" s="12">
        <f t="array" ref="M53">INDEX(L:L,MIN(IF(ISNUMBER(L53:L249),ROW(L53:L249),"")))</f>
        <v>26.4</v>
      </c>
      <c r="N53" s="13">
        <f>IF('Données projet'!$A$36&gt;35,N52+M53-V52,IF(A53&lt;'Données projet'!$A$36,$K$205^A53,IF(A53='Données projet'!$A$36,'Données projet'!$B$36,N52+M53-V52)))</f>
        <v>650.99999999999989</v>
      </c>
      <c r="O53" s="13">
        <f>N53*VLOOKUP('Données projet'!$B$9,Paramètres!$A$1:$I$89,3,0)*VLOOKUP('Données projet'!$B$9,Paramètres!$A$1:$I$89,5,0)</f>
        <v>304.66799999999995</v>
      </c>
      <c r="P53" s="13">
        <f t="shared" si="33"/>
        <v>72.154174460006061</v>
      </c>
      <c r="Q53" s="20">
        <f t="shared" si="53"/>
        <v>656.29862051784369</v>
      </c>
      <c r="R53" s="59">
        <f t="shared" si="0"/>
        <v>949.63195385117706</v>
      </c>
      <c r="S53" s="59">
        <f ca="1">AVERAGE(OFFSET($R$3,0,0,'Données projet'!$E$9+1,1))-AVERAGE(OFFSET($H$3,0,0,'Données projet'!$E$9+1,1))</f>
        <v>488.67934252295686</v>
      </c>
      <c r="T53" s="59">
        <f t="shared" si="34"/>
        <v>424.50324471331095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76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90.867807179456932</v>
      </c>
      <c r="AA53" s="21">
        <f>EXP(-LN(2)/25)*AA52+(1-EXP(-LN(2)/25))/(LN(2)/25)*Calculateur!V53*Calculateur!X53*VLOOKUP('Données projet'!$B$9,Paramètres!$A$1:$I$89,3,0)*0.475*44/12</f>
        <v>28.135829381631382</v>
      </c>
      <c r="AB53" s="21">
        <f>EXP(-LN(2)/2)*AB52+(1-EXP(-LN(2)/2))/(LN(2)/2)*V53*Y53*VLOOKUP('Données projet'!$B$9,Paramètres!$A$1:$I$89,3,0)*0.475*44/12</f>
        <v>7.9236911153799175E-4</v>
      </c>
      <c r="AC53" s="22">
        <f t="shared" si="3"/>
        <v>119.00442893019985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509</v>
      </c>
      <c r="AG53" s="12">
        <f>VLOOKUP(A53,'Données projet'!$A$61:$I$81,9,0)</f>
        <v>20</v>
      </c>
      <c r="AH53" s="12">
        <f t="array" ref="AH53">INDEX(AG:AG,MIN(IF(ISNUMBER(AG53:AG249),ROW(AG53:AG249),"")))</f>
        <v>20</v>
      </c>
      <c r="AI53" s="13">
        <f>IF('Données projet'!$A$62&gt;35,AI52+AH53-AQ52,IF(A53&lt;'Données projet'!$A$62,$AF$205^A53,IF(A53='Données projet'!$A$62,'Données projet'!$B$62,AI52+AH53-AQ52)))</f>
        <v>509.00000000000028</v>
      </c>
      <c r="AJ53" s="13">
        <f>AI53*VLOOKUP('Données projet'!$B$10,Paramètres!$A$1:$I$89,3,0)*VLOOKUP('Données projet'!$B$10,Paramètres!$A$1:$I$89,5,0)</f>
        <v>304.38200000000018</v>
      </c>
      <c r="AK53" s="13">
        <f t="shared" si="35"/>
        <v>72.094322263150417</v>
      </c>
      <c r="AL53" s="20">
        <f t="shared" si="4"/>
        <v>655.69626127498725</v>
      </c>
      <c r="AM53" s="59">
        <f t="shared" si="5"/>
        <v>949.02959460832062</v>
      </c>
      <c r="AN53" s="59">
        <f ca="1">AVERAGE(OFFSET($AM$3,0,0,'Données projet'!$E$10+1,1))-AVERAGE(OFFSET($H$3,0,0,'Données projet'!$E$10+1,1))</f>
        <v>504.81063008331739</v>
      </c>
      <c r="AO53" s="59">
        <f t="shared" si="36"/>
        <v>441.82647565372287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53</v>
      </c>
      <c r="AR53" s="16">
        <f>IF(ISNA(VLOOKUP(A53,'Données projet'!$A$61:$I$81,5,0)),0%,VLOOKUP(A53,'Données projet'!$A$61:$I$81,5,0)*VLOOKUP('Données projet'!$B$10,Paramètres!$A$1:$I$89,7,0))</f>
        <v>0.45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73.478085703940053</v>
      </c>
      <c r="AV53" s="21">
        <f>EXP(-LN(2)/25)*AV52+(1-EXP(-LN(2)/25))/(LN(2)/25)*Calculateur!AQ53*Calculateur!AS53*VLOOKUP('Données projet'!$B$10,Paramètres!$A$1:$I$89,3,0)*0.475*44/12</f>
        <v>33.817240742652224</v>
      </c>
      <c r="AW53" s="21">
        <f>EXP(-LN(2)/2)*AW52+(1-EXP(-LN(2)/2))/(LN(2)/2)*AQ53*AT53*VLOOKUP('Données projet'!$B$10,Paramètres!$A$1:$I$89,3,0)*0.475*44/12</f>
        <v>5.1137540298965516E-5</v>
      </c>
      <c r="AX53" s="21">
        <f t="shared" si="6"/>
        <v>107.29537758413257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218.99999999999989</v>
      </c>
      <c r="BE53" s="13">
        <f>BD53*VLOOKUP('Données projet'!$B$11,Paramètres!$A$1:$I$89,3,0)*VLOOKUP('Données projet'!$B$11,Paramètres!$A$1:$I$89,5,0)</f>
        <v>191.31839999999991</v>
      </c>
      <c r="BF53" s="13">
        <f t="shared" si="37"/>
        <v>47.831314962098354</v>
      </c>
      <c r="BG53" s="20">
        <f t="shared" si="7"/>
        <v>416.51908689232118</v>
      </c>
      <c r="BH53" s="59">
        <f t="shared" si="8"/>
        <v>709.85242022565444</v>
      </c>
      <c r="BI53" s="59">
        <f ca="1">AVERAGE(OFFSET($BH$3,0,0,'Données projet'!$E$11+1,1))-AVERAGE(OFFSET($H$3,0,0,'Données projet'!$E$11+1,1))</f>
        <v>324.86930206492627</v>
      </c>
      <c r="BJ53" s="59">
        <f t="shared" si="38"/>
        <v>317.03005098025352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41.305225703957433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41.305225703957433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231</v>
      </c>
      <c r="BW53" s="12">
        <f>VLOOKUP(A53,'Données projet'!$A$113:$I$133,9,0)</f>
        <v>11</v>
      </c>
      <c r="BX53" s="12">
        <f t="array" ref="BX53">INDEX(BW:BW,MIN(IF(ISNUMBER(BW53:BW249),ROW(BW53:BW249),"")))</f>
        <v>11</v>
      </c>
      <c r="BY53" s="12">
        <f>IF('Données projet'!$A$114&gt;35,BY52+BX53-CG52,IF(A53&lt;'Données projet'!$A$114,$BV$205^A53,IF(A53='Données projet'!$A$114,'Données projet'!$B$114,BY52+BX53-CG52)))</f>
        <v>231.00000000000003</v>
      </c>
      <c r="BZ53" s="13">
        <f>BY53*VLOOKUP('Données projet'!$B$12,Paramètres!$A$1:$I$89,3,0)*VLOOKUP('Données projet'!$B$12,Paramètres!$A$1:$I$89,5,0)</f>
        <v>234.23400000000007</v>
      </c>
      <c r="CA53" s="13">
        <f t="shared" si="39"/>
        <v>57.197197133603488</v>
      </c>
      <c r="CB53" s="20">
        <f t="shared" si="10"/>
        <v>507.57600167435953</v>
      </c>
      <c r="CC53" s="59">
        <f t="shared" si="11"/>
        <v>800.90933500769279</v>
      </c>
      <c r="CD53" s="59">
        <f ca="1">AVERAGE(OFFSET($CC$3,0,0,'Données projet'!$E$12+1,1))-AVERAGE(OFFSET($H$3,0,0,'Données projet'!$E$12+1,1))</f>
        <v>487.18832528146936</v>
      </c>
      <c r="CE53" s="59">
        <f t="shared" si="40"/>
        <v>306.61893266146666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46.819080865464173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46.819080865464173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304.72000000000003</v>
      </c>
      <c r="CR53" s="12">
        <f>VLOOKUP(A53,'Données projet'!$A$139:$I$159,9,0)</f>
        <v>14.015000000000004</v>
      </c>
      <c r="CS53" s="12">
        <f t="array" ref="CS53">INDEX(CR:CR,MIN(IF(ISNUMBER(CR53:CR249),ROW(CR53:CR249),"")))</f>
        <v>14.015000000000004</v>
      </c>
      <c r="CT53" s="12">
        <f>IF('Données projet'!$A$140&gt;35,CT52+CS53-DB52,IF(A53&lt;'Données projet'!$A$140,$CQ$205^A53,IF(A53='Données projet'!$A$140,'Données projet'!$B$140,CT52+CS53-DB52)))</f>
        <v>304.72000000000003</v>
      </c>
      <c r="CU53" s="17">
        <f>CT53*VLOOKUP('Données projet'!$B$13,Paramètres!$A$1:$I$89,3,0)*VLOOKUP('Données projet'!$B$13,Paramètres!$A$1:$I$89,5,0)</f>
        <v>289.97155200000003</v>
      </c>
      <c r="CV53" s="13">
        <f t="shared" si="41"/>
        <v>69.069973620784566</v>
      </c>
      <c r="CW53" s="20">
        <f t="shared" si="13"/>
        <v>625.33065712286646</v>
      </c>
      <c r="CX53" s="59">
        <f t="shared" si="14"/>
        <v>918.66399045619983</v>
      </c>
      <c r="CY53" s="59">
        <f ca="1">AVERAGE(OFFSET($CX$3,0,0,'Données projet'!$E$13+1,1))-AVERAGE(OFFSET($H$3,0,0,'Données projet'!$E$13+1,1))</f>
        <v>733.95677909788878</v>
      </c>
      <c r="CZ53" s="59">
        <f t="shared" si="42"/>
        <v>264.63778997972378</v>
      </c>
      <c r="DA53" s="15">
        <f>IF(ISNA(VLOOKUP(A53,'Données projet'!$A$139:$I$159,3,0)),0,VLOOKUP(A53,'Données projet'!$A$139:$I$159,3,0))</f>
        <v>3</v>
      </c>
      <c r="DB53" s="15">
        <f>IF(ISNA(VLOOKUP(A53,'Données projet'!$A$139:$I$159,4,0)),0,VLOOKUP(A53,'Données projet'!$A$139:$I$159,4,0))</f>
        <v>66.62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63.208031725549262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63.208031725549262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24.4</v>
      </c>
      <c r="N54" s="13">
        <f>IF('Données projet'!$A$36&gt;35,N53+M54-V53,IF(A54&lt;'Données projet'!$A$36,$K$205^A54,IF(A54='Données projet'!$A$36,'Données projet'!$B$36,N53+M54-V53)))</f>
        <v>599.39999999999986</v>
      </c>
      <c r="O54" s="13">
        <f>N54*VLOOKUP('Données projet'!$B$9,Paramètres!$A$1:$I$89,3,0)*VLOOKUP('Données projet'!$B$9,Paramètres!$A$1:$I$89,5,0)</f>
        <v>280.5191999999999</v>
      </c>
      <c r="P54" s="13">
        <f t="shared" si="33"/>
        <v>67.076718933381159</v>
      </c>
      <c r="Q54" s="20">
        <f t="shared" si="53"/>
        <v>605.39622547563874</v>
      </c>
      <c r="R54" s="59">
        <f t="shared" si="0"/>
        <v>898.72955880897212</v>
      </c>
      <c r="S54" s="59">
        <f ca="1">AVERAGE(OFFSET($R$3,0,0,'Données projet'!$E$9+1,1))-AVERAGE(OFFSET($H$3,0,0,'Données projet'!$E$9+1,1))</f>
        <v>488.67934252295686</v>
      </c>
      <c r="T54" s="59">
        <f t="shared" si="34"/>
        <v>424.50324471331095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89.085944904557508</v>
      </c>
      <c r="AA54" s="21">
        <f>EXP(-LN(2)/25)*AA53+(1-EXP(-LN(2)/25))/(LN(2)/25)*Calculateur!V54*Calculateur!X54*VLOOKUP('Données projet'!$B$9,Paramètres!$A$1:$I$89,3,0)*0.475*44/12</f>
        <v>27.366453647591708</v>
      </c>
      <c r="AB54" s="21">
        <f>EXP(-LN(2)/2)*AB53+(1-EXP(-LN(2)/2))/(LN(2)/2)*V54*Y54*VLOOKUP('Données projet'!$B$9,Paramètres!$A$1:$I$89,3,0)*0.475*44/12</f>
        <v>5.6028957197127379E-4</v>
      </c>
      <c r="AC54" s="22">
        <f t="shared" si="3"/>
        <v>116.45295884172118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18.399999999999999</v>
      </c>
      <c r="AI54" s="13">
        <f>IF('Données projet'!$A$62&gt;35,AI53+AH54-AQ53,IF(A54&lt;'Données projet'!$A$62,$AF$205^A54,IF(A54='Données projet'!$A$62,'Données projet'!$B$62,AI53+AH54-AQ53)))</f>
        <v>474.40000000000032</v>
      </c>
      <c r="AJ54" s="13">
        <f>AI54*VLOOKUP('Données projet'!$B$10,Paramètres!$A$1:$I$89,3,0)*VLOOKUP('Données projet'!$B$10,Paramètres!$A$1:$I$89,5,0)</f>
        <v>283.69120000000021</v>
      </c>
      <c r="AK54" s="13">
        <f t="shared" si="35"/>
        <v>67.746469973847553</v>
      </c>
      <c r="AL54" s="20">
        <f t="shared" si="4"/>
        <v>612.08727520445143</v>
      </c>
      <c r="AM54" s="59">
        <f t="shared" si="5"/>
        <v>905.4206085377848</v>
      </c>
      <c r="AN54" s="59">
        <f ca="1">AVERAGE(OFFSET($AM$3,0,0,'Données projet'!$E$10+1,1))-AVERAGE(OFFSET($H$3,0,0,'Données projet'!$E$10+1,1))</f>
        <v>504.81063008331739</v>
      </c>
      <c r="AO54" s="59">
        <f t="shared" si="36"/>
        <v>441.82647565372287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72.037225260492733</v>
      </c>
      <c r="AV54" s="21">
        <f>EXP(-LN(2)/25)*AV53+(1-EXP(-LN(2)/25))/(LN(2)/25)*Calculateur!AQ54*Calculateur!AS54*VLOOKUP('Données projet'!$B$10,Paramètres!$A$1:$I$89,3,0)*0.475*44/12</f>
        <v>32.892506516173</v>
      </c>
      <c r="AW54" s="21">
        <f>EXP(-LN(2)/2)*AW53+(1-EXP(-LN(2)/2))/(LN(2)/2)*AQ54*AT54*VLOOKUP('Données projet'!$B$10,Paramètres!$A$1:$I$89,3,0)*0.475*44/12</f>
        <v>3.6159701518598864E-5</v>
      </c>
      <c r="AX54" s="21">
        <f t="shared" si="6"/>
        <v>104.92976793636726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207.99999999999989</v>
      </c>
      <c r="BE54" s="13">
        <f>BD54*VLOOKUP('Données projet'!$B$11,Paramètres!$A$1:$I$89,3,0)*VLOOKUP('Données projet'!$B$11,Paramètres!$A$1:$I$89,5,0)</f>
        <v>181.70879999999991</v>
      </c>
      <c r="BF54" s="13">
        <f t="shared" si="37"/>
        <v>45.702153370067769</v>
      </c>
      <c r="BG54" s="20">
        <f t="shared" si="7"/>
        <v>396.07407711953448</v>
      </c>
      <c r="BH54" s="59">
        <f t="shared" si="8"/>
        <v>689.40741045286779</v>
      </c>
      <c r="BI54" s="59">
        <f ca="1">AVERAGE(OFFSET($BH$3,0,0,'Données projet'!$E$11+1,1))-AVERAGE(OFFSET($H$3,0,0,'Données projet'!$E$11+1,1))</f>
        <v>324.86930206492627</v>
      </c>
      <c r="BJ54" s="59">
        <f t="shared" si="38"/>
        <v>317.03005098025352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40.495255421602835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40.495255421602835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10.199999999999999</v>
      </c>
      <c r="BY54" s="12">
        <f>IF('Données projet'!$A$114&gt;35,BY53+BX54-CG53,IF(A54&lt;'Données projet'!$A$114,$BV$205^A54,IF(A54='Données projet'!$A$114,'Données projet'!$B$114,BY53+BX54-CG53)))</f>
        <v>213.20000000000002</v>
      </c>
      <c r="BZ54" s="13">
        <f>BY54*VLOOKUP('Données projet'!$B$12,Paramètres!$A$1:$I$89,3,0)*VLOOKUP('Données projet'!$B$12,Paramètres!$A$1:$I$89,5,0)</f>
        <v>216.18480000000002</v>
      </c>
      <c r="CA54" s="13">
        <f t="shared" si="39"/>
        <v>53.284828478170375</v>
      </c>
      <c r="CB54" s="20">
        <f t="shared" si="10"/>
        <v>469.3262695994801</v>
      </c>
      <c r="CC54" s="59">
        <f t="shared" si="11"/>
        <v>762.65960293281341</v>
      </c>
      <c r="CD54" s="59">
        <f ca="1">AVERAGE(OFFSET($CC$3,0,0,'Données projet'!$E$12+1,1))-AVERAGE(OFFSET($H$3,0,0,'Données projet'!$E$12+1,1))</f>
        <v>487.18832528146936</v>
      </c>
      <c r="CE54" s="59">
        <f t="shared" si="40"/>
        <v>306.61893266146666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45.900987246511995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45.900987246511995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13.559999999999995</v>
      </c>
      <c r="CT54" s="12">
        <f>IF('Données projet'!$A$140&gt;35,CT53+CS54-DB53,IF(A54&lt;'Données projet'!$A$140,$CQ$205^A54,IF(A54='Données projet'!$A$140,'Données projet'!$B$140,CT53+CS54-DB53)))</f>
        <v>251.66000000000003</v>
      </c>
      <c r="CU54" s="17">
        <f>CT54*VLOOKUP('Données projet'!$B$13,Paramètres!$A$1:$I$89,3,0)*VLOOKUP('Données projet'!$B$13,Paramètres!$A$1:$I$89,5,0)</f>
        <v>239.47965600000003</v>
      </c>
      <c r="CV54" s="13">
        <f t="shared" si="41"/>
        <v>58.327561797596459</v>
      </c>
      <c r="CW54" s="20">
        <f t="shared" si="13"/>
        <v>518.68090433081386</v>
      </c>
      <c r="CX54" s="59">
        <f t="shared" si="14"/>
        <v>812.01423766414723</v>
      </c>
      <c r="CY54" s="59">
        <f ca="1">AVERAGE(OFFSET($CX$3,0,0,'Données projet'!$E$13+1,1))-AVERAGE(OFFSET($H$3,0,0,'Données projet'!$E$13+1,1))</f>
        <v>733.95677909788878</v>
      </c>
      <c r="CZ54" s="59">
        <f t="shared" si="42"/>
        <v>264.63778997972378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61.968560776503793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61.968560776503793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24.4</v>
      </c>
      <c r="N55" s="13">
        <f>IF('Données projet'!$A$36&gt;35,N54+M55-V54,IF(A55&lt;'Données projet'!$A$36,$K$205^A55,IF(A55='Données projet'!$A$36,'Données projet'!$B$36,N54+M55-V54)))</f>
        <v>623.79999999999984</v>
      </c>
      <c r="O55" s="13">
        <f>N55*VLOOKUP('Données projet'!$B$9,Paramètres!$A$1:$I$89,3,0)*VLOOKUP('Données projet'!$B$9,Paramètres!$A$1:$I$89,5,0)</f>
        <v>291.93839999999989</v>
      </c>
      <c r="P55" s="13">
        <f t="shared" si="33"/>
        <v>69.48377254397181</v>
      </c>
      <c r="Q55" s="20">
        <f t="shared" si="53"/>
        <v>629.47695051408391</v>
      </c>
      <c r="R55" s="59">
        <f t="shared" si="0"/>
        <v>922.81028384741717</v>
      </c>
      <c r="S55" s="59">
        <f ca="1">AVERAGE(OFFSET($R$3,0,0,'Données projet'!$E$9+1,1))-AVERAGE(OFFSET($H$3,0,0,'Données projet'!$E$9+1,1))</f>
        <v>488.67934252295686</v>
      </c>
      <c r="T55" s="59">
        <f t="shared" si="34"/>
        <v>424.50324471331095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87.339023862040193</v>
      </c>
      <c r="AA55" s="21">
        <f>EXP(-LN(2)/25)*AA54+(1-EXP(-LN(2)/25))/(LN(2)/25)*Calculateur!V55*Calculateur!X55*VLOOKUP('Données projet'!$B$9,Paramètres!$A$1:$I$89,3,0)*0.475*44/12</f>
        <v>26.618116533459062</v>
      </c>
      <c r="AB55" s="21">
        <f>EXP(-LN(2)/2)*AB54+(1-EXP(-LN(2)/2))/(LN(2)/2)*V55*Y55*VLOOKUP('Données projet'!$B$9,Paramètres!$A$1:$I$89,3,0)*0.475*44/12</f>
        <v>3.9618455576899587E-4</v>
      </c>
      <c r="AC55" s="22">
        <f t="shared" si="3"/>
        <v>113.95753658005502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18.399999999999999</v>
      </c>
      <c r="AI55" s="13">
        <f>IF('Données projet'!$A$62&gt;35,AI54+AH55-AQ54,IF(A55&lt;'Données projet'!$A$62,$AF$205^A55,IF(A55='Données projet'!$A$62,'Données projet'!$B$62,AI54+AH55-AQ54)))</f>
        <v>492.8000000000003</v>
      </c>
      <c r="AJ55" s="13">
        <f>AI55*VLOOKUP('Données projet'!$B$10,Paramètres!$A$1:$I$89,3,0)*VLOOKUP('Données projet'!$B$10,Paramètres!$A$1:$I$89,5,0)</f>
        <v>294.6944000000002</v>
      </c>
      <c r="AK55" s="13">
        <f t="shared" si="35"/>
        <v>70.063053488002765</v>
      </c>
      <c r="AL55" s="20">
        <f t="shared" si="4"/>
        <v>635.28589815827183</v>
      </c>
      <c r="AM55" s="59">
        <f t="shared" si="5"/>
        <v>928.61923149160521</v>
      </c>
      <c r="AN55" s="59">
        <f ca="1">AVERAGE(OFFSET($AM$3,0,0,'Données projet'!$E$10+1,1))-AVERAGE(OFFSET($H$3,0,0,'Données projet'!$E$10+1,1))</f>
        <v>504.81063008331739</v>
      </c>
      <c r="AO55" s="59">
        <f t="shared" si="36"/>
        <v>441.82647565372287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70.62461921150333</v>
      </c>
      <c r="AV55" s="21">
        <f>EXP(-LN(2)/25)*AV54+(1-EXP(-LN(2)/25))/(LN(2)/25)*Calculateur!AQ55*Calculateur!AS55*VLOOKUP('Données projet'!$B$10,Paramètres!$A$1:$I$89,3,0)*0.475*44/12</f>
        <v>31.993059195746508</v>
      </c>
      <c r="AW55" s="21">
        <f>EXP(-LN(2)/2)*AW54+(1-EXP(-LN(2)/2))/(LN(2)/2)*AQ55*AT55*VLOOKUP('Données projet'!$B$10,Paramètres!$A$1:$I$89,3,0)*0.475*44/12</f>
        <v>2.5568770149482758E-5</v>
      </c>
      <c r="AX55" s="21">
        <f t="shared" si="6"/>
        <v>102.61770397602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213.99999999999989</v>
      </c>
      <c r="BE55" s="13">
        <f>BD55*VLOOKUP('Données projet'!$B$11,Paramètres!$A$1:$I$89,3,0)*VLOOKUP('Données projet'!$B$11,Paramètres!$A$1:$I$89,5,0)</f>
        <v>186.95039999999992</v>
      </c>
      <c r="BF55" s="13">
        <f t="shared" si="37"/>
        <v>46.86509597661761</v>
      </c>
      <c r="BG55" s="20">
        <f t="shared" si="7"/>
        <v>407.22865549260882</v>
      </c>
      <c r="BH55" s="59">
        <f t="shared" si="8"/>
        <v>700.56198882594208</v>
      </c>
      <c r="BI55" s="59">
        <f ca="1">AVERAGE(OFFSET($BH$3,0,0,'Données projet'!$E$11+1,1))-AVERAGE(OFFSET($H$3,0,0,'Données projet'!$E$11+1,1))</f>
        <v>324.86930206492627</v>
      </c>
      <c r="BJ55" s="59">
        <f t="shared" si="38"/>
        <v>317.03005098025352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39.70116816245212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39.70116816245212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10.199999999999999</v>
      </c>
      <c r="BY55" s="12">
        <f>IF('Données projet'!$A$114&gt;35,BY54+BX55-CG54,IF(A55&lt;'Données projet'!$A$114,$BV$205^A55,IF(A55='Données projet'!$A$114,'Données projet'!$B$114,BY54+BX55-CG54)))</f>
        <v>223.4</v>
      </c>
      <c r="BZ55" s="13">
        <f>BY55*VLOOKUP('Données projet'!$B$12,Paramètres!$A$1:$I$89,3,0)*VLOOKUP('Données projet'!$B$12,Paramètres!$A$1:$I$89,5,0)</f>
        <v>226.52760000000001</v>
      </c>
      <c r="CA55" s="13">
        <f t="shared" si="39"/>
        <v>55.531204013656371</v>
      </c>
      <c r="CB55" s="20">
        <f t="shared" si="10"/>
        <v>491.25241699045142</v>
      </c>
      <c r="CC55" s="59">
        <f t="shared" si="11"/>
        <v>784.58575032378474</v>
      </c>
      <c r="CD55" s="59">
        <f ca="1">AVERAGE(OFFSET($CC$3,0,0,'Données projet'!$E$12+1,1))-AVERAGE(OFFSET($H$3,0,0,'Données projet'!$E$12+1,1))</f>
        <v>487.18832528146936</v>
      </c>
      <c r="CE55" s="59">
        <f t="shared" si="40"/>
        <v>306.61893266146666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45.000896883445655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45.000896883445655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13.559999999999995</v>
      </c>
      <c r="CT55" s="12">
        <f>IF('Données projet'!$A$140&gt;35,CT54+CS55-DB54,IF(A55&lt;'Données projet'!$A$140,$CQ$205^A55,IF(A55='Données projet'!$A$140,'Données projet'!$B$140,CT54+CS55-DB54)))</f>
        <v>265.22000000000003</v>
      </c>
      <c r="CU55" s="17">
        <f>CT55*VLOOKUP('Données projet'!$B$13,Paramètres!$A$1:$I$89,3,0)*VLOOKUP('Données projet'!$B$13,Paramètres!$A$1:$I$89,5,0)</f>
        <v>252.38335200000006</v>
      </c>
      <c r="CV55" s="13">
        <f t="shared" si="41"/>
        <v>61.09601764192513</v>
      </c>
      <c r="CW55" s="20">
        <f t="shared" si="13"/>
        <v>545.97656879301974</v>
      </c>
      <c r="CX55" s="59">
        <f t="shared" si="14"/>
        <v>839.30990212635311</v>
      </c>
      <c r="CY55" s="59">
        <f ca="1">AVERAGE(OFFSET($CX$3,0,0,'Données projet'!$E$13+1,1))-AVERAGE(OFFSET($H$3,0,0,'Données projet'!$E$13+1,1))</f>
        <v>733.95677909788878</v>
      </c>
      <c r="CZ55" s="59">
        <f t="shared" si="42"/>
        <v>264.63778997972378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60.753395096766475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60.753395096766475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24.4</v>
      </c>
      <c r="N56" s="13">
        <f>IF('Données projet'!$A$36&gt;35,N55+M56-V55,IF(A56&lt;'Données projet'!$A$36,$K$205^A56,IF(A56='Données projet'!$A$36,'Données projet'!$B$36,N55+M56-V55)))</f>
        <v>648.19999999999982</v>
      </c>
      <c r="O56" s="13">
        <f>N56*VLOOKUP('Données projet'!$B$9,Paramètres!$A$1:$I$89,3,0)*VLOOKUP('Données projet'!$B$9,Paramètres!$A$1:$I$89,5,0)</f>
        <v>303.35759999999988</v>
      </c>
      <c r="P56" s="13">
        <f t="shared" si="33"/>
        <v>71.879888810204818</v>
      </c>
      <c r="Q56" s="20">
        <f t="shared" si="53"/>
        <v>653.53862634443976</v>
      </c>
      <c r="R56" s="59">
        <f t="shared" si="0"/>
        <v>946.87195967777302</v>
      </c>
      <c r="S56" s="59">
        <f ca="1">AVERAGE(OFFSET($R$3,0,0,'Données projet'!$E$9+1,1))-AVERAGE(OFFSET($H$3,0,0,'Données projet'!$E$9+1,1))</f>
        <v>488.67934252295686</v>
      </c>
      <c r="T56" s="59">
        <f t="shared" si="34"/>
        <v>424.50324471331095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85.626358875650013</v>
      </c>
      <c r="AA56" s="21">
        <f>EXP(-LN(2)/25)*AA55+(1-EXP(-LN(2)/25))/(LN(2)/25)*Calculateur!V56*Calculateur!X56*VLOOKUP('Données projet'!$B$9,Paramètres!$A$1:$I$89,3,0)*0.475*44/12</f>
        <v>25.890242737065712</v>
      </c>
      <c r="AB56" s="21">
        <f>EXP(-LN(2)/2)*AB55+(1-EXP(-LN(2)/2))/(LN(2)/2)*V56*Y56*VLOOKUP('Données projet'!$B$9,Paramètres!$A$1:$I$89,3,0)*0.475*44/12</f>
        <v>2.8014478598563689E-4</v>
      </c>
      <c r="AC56" s="22">
        <f t="shared" si="3"/>
        <v>111.51688175750172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18.399999999999999</v>
      </c>
      <c r="AI56" s="13">
        <f>IF('Données projet'!$A$62&gt;35,AI55+AH56-AQ55,IF(A56&lt;'Données projet'!$A$62,$AF$205^A56,IF(A56='Données projet'!$A$62,'Données projet'!$B$62,AI55+AH56-AQ55)))</f>
        <v>511.20000000000027</v>
      </c>
      <c r="AJ56" s="13">
        <f>AI56*VLOOKUP('Données projet'!$B$10,Paramètres!$A$1:$I$89,3,0)*VLOOKUP('Données projet'!$B$10,Paramètres!$A$1:$I$89,5,0)</f>
        <v>305.69760000000019</v>
      </c>
      <c r="AK56" s="13">
        <f t="shared" si="35"/>
        <v>72.369588270212418</v>
      </c>
      <c r="AL56" s="20">
        <f t="shared" si="4"/>
        <v>658.46701957062021</v>
      </c>
      <c r="AM56" s="59">
        <f t="shared" si="5"/>
        <v>951.80035290395358</v>
      </c>
      <c r="AN56" s="59">
        <f ca="1">AVERAGE(OFFSET($AM$3,0,0,'Données projet'!$E$10+1,1))-AVERAGE(OFFSET($H$3,0,0,'Données projet'!$E$10+1,1))</f>
        <v>504.81063008331739</v>
      </c>
      <c r="AO56" s="59">
        <f t="shared" si="36"/>
        <v>441.82647565372287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69.239713505529991</v>
      </c>
      <c r="AV56" s="21">
        <f>EXP(-LN(2)/25)*AV55+(1-EXP(-LN(2)/25))/(LN(2)/25)*Calculateur!AQ56*Calculateur!AS56*VLOOKUP('Données projet'!$B$10,Paramètres!$A$1:$I$89,3,0)*0.475*44/12</f>
        <v>31.118207309596958</v>
      </c>
      <c r="AW56" s="21">
        <f>EXP(-LN(2)/2)*AW55+(1-EXP(-LN(2)/2))/(LN(2)/2)*AQ56*AT56*VLOOKUP('Données projet'!$B$10,Paramètres!$A$1:$I$89,3,0)*0.475*44/12</f>
        <v>1.8079850759299432E-5</v>
      </c>
      <c r="AX56" s="21">
        <f t="shared" si="6"/>
        <v>100.35793889497771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219.99999999999989</v>
      </c>
      <c r="BE56" s="13">
        <f>BD56*VLOOKUP('Données projet'!$B$11,Paramètres!$A$1:$I$89,3,0)*VLOOKUP('Données projet'!$B$11,Paramètres!$A$1:$I$89,5,0)</f>
        <v>192.19199999999992</v>
      </c>
      <c r="BF56" s="13">
        <f t="shared" si="37"/>
        <v>48.02424892193244</v>
      </c>
      <c r="BG56" s="20">
        <f t="shared" si="7"/>
        <v>418.37663353903218</v>
      </c>
      <c r="BH56" s="59">
        <f t="shared" si="8"/>
        <v>711.7099668723655</v>
      </c>
      <c r="BI56" s="59">
        <f ca="1">AVERAGE(OFFSET($BH$3,0,0,'Données projet'!$E$11+1,1))-AVERAGE(OFFSET($H$3,0,0,'Données projet'!$E$11+1,1))</f>
        <v>324.86930206492627</v>
      </c>
      <c r="BJ56" s="59">
        <f t="shared" si="38"/>
        <v>317.03005098025352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38.922652470107948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38.922652470107948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10.199999999999999</v>
      </c>
      <c r="BY56" s="12">
        <f>IF('Données projet'!$A$114&gt;35,BY55+BX56-CG55,IF(A56&lt;'Données projet'!$A$114,$BV$205^A56,IF(A56='Données projet'!$A$114,'Données projet'!$B$114,BY55+BX56-CG55)))</f>
        <v>233.6</v>
      </c>
      <c r="BZ56" s="13">
        <f>BY56*VLOOKUP('Données projet'!$B$12,Paramètres!$A$1:$I$89,3,0)*VLOOKUP('Données projet'!$B$12,Paramètres!$A$1:$I$89,5,0)</f>
        <v>236.87040000000002</v>
      </c>
      <c r="CA56" s="13">
        <f t="shared" si="39"/>
        <v>57.765668276484661</v>
      </c>
      <c r="CB56" s="20">
        <f t="shared" si="10"/>
        <v>513.15781891487757</v>
      </c>
      <c r="CC56" s="59">
        <f t="shared" si="11"/>
        <v>806.49115224821094</v>
      </c>
      <c r="CD56" s="59">
        <f ca="1">AVERAGE(OFFSET($CC$3,0,0,'Données projet'!$E$12+1,1))-AVERAGE(OFFSET($H$3,0,0,'Données projet'!$E$12+1,1))</f>
        <v>487.18832528146936</v>
      </c>
      <c r="CE56" s="59">
        <f t="shared" si="40"/>
        <v>306.61893266146666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44.118456743398134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44.118456743398134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13.559999999999995</v>
      </c>
      <c r="CT56" s="12">
        <f>IF('Données projet'!$A$140&gt;35,CT55+CS56-DB55,IF(A56&lt;'Données projet'!$A$140,$CQ$205^A56,IF(A56='Données projet'!$A$140,'Données projet'!$B$140,CT55+CS56-DB55)))</f>
        <v>278.78000000000003</v>
      </c>
      <c r="CU56" s="17">
        <f>CT56*VLOOKUP('Données projet'!$B$13,Paramètres!$A$1:$I$89,3,0)*VLOOKUP('Données projet'!$B$13,Paramètres!$A$1:$I$89,5,0)</f>
        <v>265.28704800000003</v>
      </c>
      <c r="CV56" s="13">
        <f t="shared" si="41"/>
        <v>63.848039150838382</v>
      </c>
      <c r="CW56" s="20">
        <f t="shared" si="13"/>
        <v>573.24361012104362</v>
      </c>
      <c r="CX56" s="59">
        <f t="shared" si="14"/>
        <v>866.57694345437699</v>
      </c>
      <c r="CY56" s="59">
        <f ca="1">AVERAGE(OFFSET($CX$3,0,0,'Données projet'!$E$13+1,1))-AVERAGE(OFFSET($H$3,0,0,'Données projet'!$E$13+1,1))</f>
        <v>733.95677909788878</v>
      </c>
      <c r="CZ56" s="59">
        <f t="shared" si="42"/>
        <v>264.63778997972378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59.562058074830929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59.562058074830929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24.4</v>
      </c>
      <c r="N57" s="13">
        <f>IF('Données projet'!$A$36&gt;35,N56+M57-V56,IF(A57&lt;'Données projet'!$A$36,$K$205^A57,IF(A57='Données projet'!$A$36,'Données projet'!$B$36,N56+M57-V56)))</f>
        <v>672.5999999999998</v>
      </c>
      <c r="O57" s="13">
        <f>N57*VLOOKUP('Données projet'!$B$9,Paramètres!$A$1:$I$89,3,0)*VLOOKUP('Données projet'!$B$9,Paramètres!$A$1:$I$89,5,0)</f>
        <v>314.77679999999987</v>
      </c>
      <c r="P57" s="13">
        <f t="shared" si="33"/>
        <v>74.265526581536733</v>
      </c>
      <c r="Q57" s="20">
        <f t="shared" si="53"/>
        <v>677.58205212950963</v>
      </c>
      <c r="R57" s="59">
        <f t="shared" si="0"/>
        <v>970.91538546284301</v>
      </c>
      <c r="S57" s="59">
        <f ca="1">AVERAGE(OFFSET($R$3,0,0,'Données projet'!$E$9+1,1))-AVERAGE(OFFSET($H$3,0,0,'Données projet'!$E$9+1,1))</f>
        <v>488.67934252295686</v>
      </c>
      <c r="T57" s="59">
        <f t="shared" si="34"/>
        <v>424.50324471331095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83.947278205020453</v>
      </c>
      <c r="AA57" s="21">
        <f>EXP(-LN(2)/25)*AA56+(1-EXP(-LN(2)/25))/(LN(2)/25)*Calculateur!V57*Calculateur!X57*VLOOKUP('Données projet'!$B$9,Paramètres!$A$1:$I$89,3,0)*0.475*44/12</f>
        <v>25.182272687911958</v>
      </c>
      <c r="AB57" s="21">
        <f>EXP(-LN(2)/2)*AB56+(1-EXP(-LN(2)/2))/(LN(2)/2)*V57*Y57*VLOOKUP('Données projet'!$B$9,Paramètres!$A$1:$I$89,3,0)*0.475*44/12</f>
        <v>1.9809227788449794E-4</v>
      </c>
      <c r="AC57" s="22">
        <f t="shared" si="3"/>
        <v>109.1297489852103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18.399999999999999</v>
      </c>
      <c r="AI57" s="13">
        <f>IF('Données projet'!$A$62&gt;35,AI56+AH57-AQ56,IF(A57&lt;'Données projet'!$A$62,$AF$205^A57,IF(A57='Données projet'!$A$62,'Données projet'!$B$62,AI56+AH57-AQ56)))</f>
        <v>529.60000000000025</v>
      </c>
      <c r="AJ57" s="13">
        <f>AI57*VLOOKUP('Données projet'!$B$10,Paramètres!$A$1:$I$89,3,0)*VLOOKUP('Données projet'!$B$10,Paramètres!$A$1:$I$89,5,0)</f>
        <v>316.70080000000019</v>
      </c>
      <c r="AK57" s="13">
        <f t="shared" si="35"/>
        <v>74.666477445141737</v>
      </c>
      <c r="AL57" s="20">
        <f t="shared" si="4"/>
        <v>681.63134155028877</v>
      </c>
      <c r="AM57" s="59">
        <f t="shared" si="5"/>
        <v>974.96467488362214</v>
      </c>
      <c r="AN57" s="59">
        <f ca="1">AVERAGE(OFFSET($AM$3,0,0,'Données projet'!$E$10+1,1))-AVERAGE(OFFSET($H$3,0,0,'Données projet'!$E$10+1,1))</f>
        <v>504.81063008331739</v>
      </c>
      <c r="AO57" s="59">
        <f t="shared" si="36"/>
        <v>441.82647565372287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67.881964955741722</v>
      </c>
      <c r="AV57" s="21">
        <f>EXP(-LN(2)/25)*AV56+(1-EXP(-LN(2)/25))/(LN(2)/25)*Calculateur!AQ57*Calculateur!AS57*VLOOKUP('Données projet'!$B$10,Paramètres!$A$1:$I$89,3,0)*0.475*44/12</f>
        <v>30.267278294280629</v>
      </c>
      <c r="AW57" s="21">
        <f>EXP(-LN(2)/2)*AW56+(1-EXP(-LN(2)/2))/(LN(2)/2)*AQ57*AT57*VLOOKUP('Données projet'!$B$10,Paramètres!$A$1:$I$89,3,0)*0.475*44/12</f>
        <v>1.2784385074741379E-5</v>
      </c>
      <c r="AX57" s="21">
        <f t="shared" si="6"/>
        <v>98.149256034407429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225.99999999999989</v>
      </c>
      <c r="BE57" s="13">
        <f>BD57*VLOOKUP('Données projet'!$B$11,Paramètres!$A$1:$I$89,3,0)*VLOOKUP('Données projet'!$B$11,Paramètres!$A$1:$I$89,5,0)</f>
        <v>197.43359999999993</v>
      </c>
      <c r="BF57" s="13">
        <f t="shared" si="37"/>
        <v>49.179727436837609</v>
      </c>
      <c r="BG57" s="20">
        <f t="shared" si="7"/>
        <v>429.51821195249204</v>
      </c>
      <c r="BH57" s="59">
        <f t="shared" si="8"/>
        <v>722.8515452858253</v>
      </c>
      <c r="BI57" s="59">
        <f ca="1">AVERAGE(OFFSET($BH$3,0,0,'Données projet'!$E$11+1,1))-AVERAGE(OFFSET($H$3,0,0,'Données projet'!$E$11+1,1))</f>
        <v>324.86930206492627</v>
      </c>
      <c r="BJ57" s="59">
        <f t="shared" si="38"/>
        <v>317.03005098025352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38.159402995642964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38.159402995642964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10.199999999999999</v>
      </c>
      <c r="BY57" s="12">
        <f>IF('Données projet'!$A$114&gt;35,BY56+BX57-CG56,IF(A57&lt;'Données projet'!$A$114,$BV$205^A57,IF(A57='Données projet'!$A$114,'Données projet'!$B$114,BY56+BX57-CG56)))</f>
        <v>243.79999999999998</v>
      </c>
      <c r="BZ57" s="13">
        <f>BY57*VLOOKUP('Données projet'!$B$12,Paramètres!$A$1:$I$89,3,0)*VLOOKUP('Données projet'!$B$12,Paramètres!$A$1:$I$89,5,0)</f>
        <v>247.2132</v>
      </c>
      <c r="CA57" s="13">
        <f t="shared" si="39"/>
        <v>59.988800807398761</v>
      </c>
      <c r="CB57" s="20">
        <f t="shared" si="10"/>
        <v>535.04348473955281</v>
      </c>
      <c r="CC57" s="59">
        <f t="shared" si="11"/>
        <v>828.37681807288618</v>
      </c>
      <c r="CD57" s="59">
        <f ca="1">AVERAGE(OFFSET($CC$3,0,0,'Données projet'!$E$12+1,1))-AVERAGE(OFFSET($H$3,0,0,'Données projet'!$E$12+1,1))</f>
        <v>487.18832528146936</v>
      </c>
      <c r="CE57" s="59">
        <f t="shared" si="40"/>
        <v>306.61893266146666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43.253320716261605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43.253320716261605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13.559999999999995</v>
      </c>
      <c r="CT57" s="12">
        <f>IF('Données projet'!$A$140&gt;35,CT56+CS57-DB56,IF(A57&lt;'Données projet'!$A$140,$CQ$205^A57,IF(A57='Données projet'!$A$140,'Données projet'!$B$140,CT56+CS57-DB56)))</f>
        <v>292.34000000000003</v>
      </c>
      <c r="CU57" s="17">
        <f>CT57*VLOOKUP('Données projet'!$B$13,Paramètres!$A$1:$I$89,3,0)*VLOOKUP('Données projet'!$B$13,Paramètres!$A$1:$I$89,5,0)</f>
        <v>278.19074400000005</v>
      </c>
      <c r="CV57" s="13">
        <f t="shared" si="41"/>
        <v>66.584516943107175</v>
      </c>
      <c r="CW57" s="20">
        <f t="shared" si="13"/>
        <v>600.48357947591182</v>
      </c>
      <c r="CX57" s="59">
        <f t="shared" si="14"/>
        <v>893.8169128092452</v>
      </c>
      <c r="CY57" s="59">
        <f ca="1">AVERAGE(OFFSET($CX$3,0,0,'Données projet'!$E$13+1,1))-AVERAGE(OFFSET($H$3,0,0,'Données projet'!$E$13+1,1))</f>
        <v>733.95677909788878</v>
      </c>
      <c r="CZ57" s="59">
        <f t="shared" si="42"/>
        <v>264.63778997972378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58.394082445251705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58.394082445251705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697</v>
      </c>
      <c r="L58" s="12">
        <f>VLOOKUP(A58,'Données projet'!$A$35:$I$55,9,0)</f>
        <v>24.4</v>
      </c>
      <c r="M58" s="12">
        <f t="array" ref="M58">INDEX(L:L,MIN(IF(ISNUMBER(L58:L254),ROW(L58:L254),"")))</f>
        <v>24.4</v>
      </c>
      <c r="N58" s="13">
        <f>IF('Données projet'!$A$36&gt;35,N57+M58-V57,IF(A58&lt;'Données projet'!$A$36,$K$205^A58,IF(A58='Données projet'!$A$36,'Données projet'!$B$36,N57+M58-V57)))</f>
        <v>696.99999999999977</v>
      </c>
      <c r="O58" s="13">
        <f>N58*VLOOKUP('Données projet'!$B$9,Paramètres!$A$1:$I$89,3,0)*VLOOKUP('Données projet'!$B$9,Paramètres!$A$1:$I$89,5,0)</f>
        <v>326.19599999999986</v>
      </c>
      <c r="P58" s="13">
        <f t="shared" si="33"/>
        <v>76.641109529113464</v>
      </c>
      <c r="Q58" s="20">
        <f t="shared" si="53"/>
        <v>701.6079657632057</v>
      </c>
      <c r="R58" s="59">
        <f t="shared" si="0"/>
        <v>994.94129909653907</v>
      </c>
      <c r="S58" s="59">
        <f ca="1">AVERAGE(OFFSET($R$3,0,0,'Données projet'!$E$9+1,1))-AVERAGE(OFFSET($H$3,0,0,'Données projet'!$E$9+1,1))</f>
        <v>488.67934252295686</v>
      </c>
      <c r="T58" s="59">
        <f t="shared" si="34"/>
        <v>424.50324471331095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66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104.83733087699294</v>
      </c>
      <c r="AA58" s="21">
        <f>EXP(-LN(2)/25)*AA57+(1-EXP(-LN(2)/25))/(LN(2)/25)*Calculateur!V58*Calculateur!X58*VLOOKUP('Données projet'!$B$9,Paramètres!$A$1:$I$89,3,0)*0.475*44/12</f>
        <v>24.49366211698284</v>
      </c>
      <c r="AB58" s="21">
        <f>EXP(-LN(2)/2)*AB57+(1-EXP(-LN(2)/2))/(LN(2)/2)*V58*Y58*VLOOKUP('Données projet'!$B$9,Paramètres!$A$1:$I$89,3,0)*0.475*44/12</f>
        <v>1.4007239299281845E-4</v>
      </c>
      <c r="AC58" s="22">
        <f t="shared" si="3"/>
        <v>129.33113306636875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548</v>
      </c>
      <c r="AG58" s="12">
        <f>VLOOKUP(A58,'Données projet'!$A$61:$I$81,9,0)</f>
        <v>18.399999999999999</v>
      </c>
      <c r="AH58" s="12">
        <f t="array" ref="AH58">INDEX(AG:AG,MIN(IF(ISNUMBER(AG58:AG254),ROW(AG58:AG254),"")))</f>
        <v>18.399999999999999</v>
      </c>
      <c r="AI58" s="13">
        <f>IF('Données projet'!$A$62&gt;35,AI57+AH58-AQ57,IF(A58&lt;'Données projet'!$A$62,$AF$205^A58,IF(A58='Données projet'!$A$62,'Données projet'!$B$62,AI57+AH58-AQ57)))</f>
        <v>548.00000000000023</v>
      </c>
      <c r="AJ58" s="13">
        <f>AI58*VLOOKUP('Données projet'!$B$10,Paramètres!$A$1:$I$89,3,0)*VLOOKUP('Données projet'!$B$10,Paramètres!$A$1:$I$89,5,0)</f>
        <v>327.70400000000018</v>
      </c>
      <c r="AK58" s="13">
        <f t="shared" si="35"/>
        <v>76.954094537214459</v>
      </c>
      <c r="AL58" s="20">
        <f t="shared" si="4"/>
        <v>704.77951465231547</v>
      </c>
      <c r="AM58" s="59">
        <f t="shared" si="5"/>
        <v>998.11284798564884</v>
      </c>
      <c r="AN58" s="59">
        <f ca="1">AVERAGE(OFFSET($AM$3,0,0,'Données projet'!$E$10+1,1))-AVERAGE(OFFSET($H$3,0,0,'Données projet'!$E$10+1,1))</f>
        <v>504.81063008331739</v>
      </c>
      <c r="AO58" s="59">
        <f t="shared" si="36"/>
        <v>441.82647565372287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45</v>
      </c>
      <c r="AR58" s="16">
        <f>IF(ISNA(VLOOKUP(A58,'Données projet'!$A$61:$I$81,5,0)),0%,VLOOKUP(A58,'Données projet'!$A$61:$I$81,5,0)*VLOOKUP('Données projet'!$B$10,Paramètres!$A$1:$I$89,7,0))</f>
        <v>0.45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82.614873300015063</v>
      </c>
      <c r="AV58" s="21">
        <f>EXP(-LN(2)/25)*AV57+(1-EXP(-LN(2)/25))/(LN(2)/25)*Calculateur!AQ58*Calculateur!AS58*VLOOKUP('Données projet'!$B$10,Paramètres!$A$1:$I$89,3,0)*0.475*44/12</f>
        <v>29.439617977636537</v>
      </c>
      <c r="AW58" s="21">
        <f>EXP(-LN(2)/2)*AW57+(1-EXP(-LN(2)/2))/(LN(2)/2)*AQ58*AT58*VLOOKUP('Données projet'!$B$10,Paramètres!$A$1:$I$89,3,0)*0.475*44/12</f>
        <v>9.0399253796497161E-6</v>
      </c>
      <c r="AX58" s="21">
        <f t="shared" si="6"/>
        <v>112.05450031757698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231.99999999999989</v>
      </c>
      <c r="BE58" s="13">
        <f>BD58*VLOOKUP('Données projet'!$B$11,Paramètres!$A$1:$I$89,3,0)*VLOOKUP('Données projet'!$B$11,Paramètres!$A$1:$I$89,5,0)</f>
        <v>202.67519999999993</v>
      </c>
      <c r="BF58" s="13">
        <f t="shared" si="37"/>
        <v>50.33164028531364</v>
      </c>
      <c r="BG58" s="20">
        <f t="shared" si="7"/>
        <v>440.65358016358778</v>
      </c>
      <c r="BH58" s="59">
        <f t="shared" si="8"/>
        <v>733.98691349692103</v>
      </c>
      <c r="BI58" s="59">
        <f ca="1">AVERAGE(OFFSET($BH$3,0,0,'Données projet'!$E$11+1,1))-AVERAGE(OFFSET($H$3,0,0,'Données projet'!$E$11+1,1))</f>
        <v>324.86930206492627</v>
      </c>
      <c r="BJ58" s="59">
        <f t="shared" si="38"/>
        <v>317.03005098025352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44.06506156116432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44.06506156116432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254</v>
      </c>
      <c r="BW58" s="12">
        <f>VLOOKUP(A58,'Données projet'!$A$113:$I$133,9,0)</f>
        <v>10.199999999999999</v>
      </c>
      <c r="BX58" s="12">
        <f t="array" ref="BX58">INDEX(BW:BW,MIN(IF(ISNUMBER(BW58:BW254),ROW(BW58:BW254),"")))</f>
        <v>10.199999999999999</v>
      </c>
      <c r="BY58" s="12">
        <f>IF('Données projet'!$A$114&gt;35,BY57+BX58-CG57,IF(A58&lt;'Données projet'!$A$114,$BV$205^A58,IF(A58='Données projet'!$A$114,'Données projet'!$B$114,BY57+BX58-CG57)))</f>
        <v>253.99999999999997</v>
      </c>
      <c r="BZ58" s="13">
        <f>BY58*VLOOKUP('Données projet'!$B$12,Paramètres!$A$1:$I$89,3,0)*VLOOKUP('Données projet'!$B$12,Paramètres!$A$1:$I$89,5,0)</f>
        <v>257.55599999999998</v>
      </c>
      <c r="CA58" s="13">
        <f t="shared" si="39"/>
        <v>62.201129910568184</v>
      </c>
      <c r="CB58" s="20">
        <f t="shared" si="10"/>
        <v>556.91033459423954</v>
      </c>
      <c r="CC58" s="59">
        <f t="shared" si="11"/>
        <v>850.24366792757291</v>
      </c>
      <c r="CD58" s="59">
        <f ca="1">AVERAGE(OFFSET($CC$3,0,0,'Données projet'!$E$12+1,1))-AVERAGE(OFFSET($H$3,0,0,'Données projet'!$E$12+1,1))</f>
        <v>487.18832528146936</v>
      </c>
      <c r="CE58" s="59">
        <f t="shared" si="40"/>
        <v>306.61893266146666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28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55.901350935687148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55.901350935687148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13.559999999999995</v>
      </c>
      <c r="CT58" s="12">
        <f>IF('Données projet'!$A$140&gt;35,CT57+CS58-DB57,IF(A58&lt;'Données projet'!$A$140,$CQ$205^A58,IF(A58='Données projet'!$A$140,'Données projet'!$B$140,CT57+CS58-DB57)))</f>
        <v>305.90000000000003</v>
      </c>
      <c r="CU58" s="17">
        <f>CT58*VLOOKUP('Données projet'!$B$13,Paramètres!$A$1:$I$89,3,0)*VLOOKUP('Données projet'!$B$13,Paramètres!$A$1:$I$89,5,0)</f>
        <v>291.09444000000002</v>
      </c>
      <c r="CV58" s="13">
        <f t="shared" si="41"/>
        <v>69.306254346464257</v>
      </c>
      <c r="CW58" s="20">
        <f t="shared" si="13"/>
        <v>627.6978759867585</v>
      </c>
      <c r="CX58" s="59">
        <f t="shared" si="14"/>
        <v>921.03120932009188</v>
      </c>
      <c r="CY58" s="59">
        <f ca="1">AVERAGE(OFFSET($CX$3,0,0,'Données projet'!$E$13+1,1))-AVERAGE(OFFSET($H$3,0,0,'Données projet'!$E$13+1,1))</f>
        <v>733.95677909788878</v>
      </c>
      <c r="CZ58" s="59">
        <f t="shared" si="42"/>
        <v>264.63778997972378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57.249010105373735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57.249010105373735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22.6</v>
      </c>
      <c r="N59" s="13">
        <f>IF('Données projet'!$A$36&gt;35,N58+M59-V58,IF(A59&lt;'Données projet'!$A$36,$K$205^A59,IF(A59='Données projet'!$A$36,'Données projet'!$B$36,N58+M59-V58)))</f>
        <v>653.5999999999998</v>
      </c>
      <c r="O59" s="13">
        <f>N59*VLOOKUP('Données projet'!$B$9,Paramètres!$A$1:$I$89,3,0)*VLOOKUP('Données projet'!$B$9,Paramètres!$A$1:$I$89,5,0)</f>
        <v>305.88479999999987</v>
      </c>
      <c r="P59" s="13">
        <f t="shared" si="33"/>
        <v>72.408745336772242</v>
      </c>
      <c r="Q59" s="20">
        <f t="shared" si="53"/>
        <v>658.86125812821149</v>
      </c>
      <c r="R59" s="59">
        <f t="shared" si="0"/>
        <v>952.19459146154486</v>
      </c>
      <c r="S59" s="59">
        <f ca="1">AVERAGE(OFFSET($R$3,0,0,'Données projet'!$E$9+1,1))-AVERAGE(OFFSET($H$3,0,0,'Données projet'!$E$9+1,1))</f>
        <v>488.67934252295686</v>
      </c>
      <c r="T59" s="59">
        <f t="shared" si="34"/>
        <v>424.50324471331095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102.78153476295294</v>
      </c>
      <c r="AA59" s="21">
        <f>EXP(-LN(2)/25)*AA58+(1-EXP(-LN(2)/25))/(LN(2)/25)*Calculateur!V59*Calculateur!X59*VLOOKUP('Données projet'!$B$9,Paramètres!$A$1:$I$89,3,0)*0.475*44/12</f>
        <v>23.823881638328235</v>
      </c>
      <c r="AB59" s="21">
        <f>EXP(-LN(2)/2)*AB58+(1-EXP(-LN(2)/2))/(LN(2)/2)*V59*Y59*VLOOKUP('Données projet'!$B$9,Paramètres!$A$1:$I$89,3,0)*0.475*44/12</f>
        <v>9.9046138942248969E-5</v>
      </c>
      <c r="AC59" s="22">
        <f t="shared" si="3"/>
        <v>126.60551544742012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17</v>
      </c>
      <c r="AI59" s="13">
        <f>IF('Données projet'!$A$62&gt;35,AI58+AH59-AQ58,IF(A59&lt;'Données projet'!$A$62,$AF$205^A59,IF(A59='Données projet'!$A$62,'Données projet'!$B$62,AI58+AH59-AQ58)))</f>
        <v>520.00000000000023</v>
      </c>
      <c r="AJ59" s="13">
        <f>AI59*VLOOKUP('Données projet'!$B$10,Paramètres!$A$1:$I$89,3,0)*VLOOKUP('Données projet'!$B$10,Paramètres!$A$1:$I$89,5,0)</f>
        <v>310.96000000000015</v>
      </c>
      <c r="AK59" s="13">
        <f t="shared" si="35"/>
        <v>73.4692802883242</v>
      </c>
      <c r="AL59" s="20">
        <f t="shared" si="4"/>
        <v>669.54766316883149</v>
      </c>
      <c r="AM59" s="59">
        <f t="shared" si="5"/>
        <v>962.88099650216486</v>
      </c>
      <c r="AN59" s="59">
        <f ca="1">AVERAGE(OFFSET($AM$3,0,0,'Données projet'!$E$10+1,1))-AVERAGE(OFFSET($H$3,0,0,'Données projet'!$E$10+1,1))</f>
        <v>504.81063008331739</v>
      </c>
      <c r="AO59" s="59">
        <f t="shared" si="36"/>
        <v>441.82647565372287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80.994846024698873</v>
      </c>
      <c r="AV59" s="21">
        <f>EXP(-LN(2)/25)*AV58+(1-EXP(-LN(2)/25))/(LN(2)/25)*Calculateur!AQ59*Calculateur!AS59*VLOOKUP('Données projet'!$B$10,Paramètres!$A$1:$I$89,3,0)*0.475*44/12</f>
        <v>28.634590075875842</v>
      </c>
      <c r="AW59" s="21">
        <f>EXP(-LN(2)/2)*AW58+(1-EXP(-LN(2)/2))/(LN(2)/2)*AQ59*AT59*VLOOKUP('Données projet'!$B$10,Paramètres!$A$1:$I$89,3,0)*0.475*44/12</f>
        <v>6.3921925373706895E-6</v>
      </c>
      <c r="AX59" s="21">
        <f t="shared" si="6"/>
        <v>109.62944249276724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224.19999999999987</v>
      </c>
      <c r="BE59" s="13">
        <f>BD59*VLOOKUP('Données projet'!$B$11,Paramètres!$A$1:$I$89,3,0)*VLOOKUP('Données projet'!$B$11,Paramètres!$A$1:$I$89,5,0)</f>
        <v>195.86111999999991</v>
      </c>
      <c r="BF59" s="13">
        <f t="shared" si="37"/>
        <v>48.833463106716422</v>
      </c>
      <c r="BG59" s="20">
        <f t="shared" si="7"/>
        <v>426.17639891086424</v>
      </c>
      <c r="BH59" s="59">
        <f t="shared" si="8"/>
        <v>719.50973224419749</v>
      </c>
      <c r="BI59" s="59">
        <f ca="1">AVERAGE(OFFSET($BH$3,0,0,'Données projet'!$E$11+1,1))-AVERAGE(OFFSET($H$3,0,0,'Données projet'!$E$11+1,1))</f>
        <v>324.86930206492627</v>
      </c>
      <c r="BJ59" s="59">
        <f t="shared" si="38"/>
        <v>317.03005098025352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43.200972580983553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43.200972580983553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9.4</v>
      </c>
      <c r="BY59" s="12">
        <f>IF('Données projet'!$A$114&gt;35,BY58+BX59-CG58,IF(A59&lt;'Données projet'!$A$114,$BV$205^A59,IF(A59='Données projet'!$A$114,'Données projet'!$B$114,BY58+BX59-CG58)))</f>
        <v>235.39999999999998</v>
      </c>
      <c r="BZ59" s="13">
        <f>BY59*VLOOKUP('Données projet'!$B$12,Paramètres!$A$1:$I$89,3,0)*VLOOKUP('Données projet'!$B$12,Paramètres!$A$1:$I$89,5,0)</f>
        <v>238.69559999999998</v>
      </c>
      <c r="CA59" s="13">
        <f t="shared" si="39"/>
        <v>58.158793514165929</v>
      </c>
      <c r="CB59" s="20">
        <f t="shared" si="10"/>
        <v>517.02140203717238</v>
      </c>
      <c r="CC59" s="59">
        <f t="shared" si="11"/>
        <v>810.35473537050575</v>
      </c>
      <c r="CD59" s="59">
        <f ca="1">AVERAGE(OFFSET($CC$3,0,0,'Données projet'!$E$12+1,1))-AVERAGE(OFFSET($H$3,0,0,'Données projet'!$E$12+1,1))</f>
        <v>487.18832528146936</v>
      </c>
      <c r="CE59" s="59">
        <f t="shared" si="40"/>
        <v>306.61893266146666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54.805159540295648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54.805159540295648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13.559999999999995</v>
      </c>
      <c r="CT59" s="12">
        <f>IF('Données projet'!$A$140&gt;35,CT58+CS59-DB58,IF(A59&lt;'Données projet'!$A$140,$CQ$205^A59,IF(A59='Données projet'!$A$140,'Données projet'!$B$140,CT58+CS59-DB58)))</f>
        <v>319.46000000000004</v>
      </c>
      <c r="CU59" s="17">
        <f>CT59*VLOOKUP('Données projet'!$B$13,Paramètres!$A$1:$I$89,3,0)*VLOOKUP('Données projet'!$B$13,Paramètres!$A$1:$I$89,5,0)</f>
        <v>303.99813600000004</v>
      </c>
      <c r="CV59" s="13">
        <f t="shared" si="41"/>
        <v>72.013979441744397</v>
      </c>
      <c r="CW59" s="20">
        <f t="shared" si="13"/>
        <v>654.88776772770484</v>
      </c>
      <c r="CX59" s="59">
        <f t="shared" si="14"/>
        <v>948.2211010610381</v>
      </c>
      <c r="CY59" s="59">
        <f ca="1">AVERAGE(OFFSET($CX$3,0,0,'Données projet'!$E$13+1,1))-AVERAGE(OFFSET($H$3,0,0,'Données projet'!$E$13+1,1))</f>
        <v>733.95677909788878</v>
      </c>
      <c r="CZ59" s="59">
        <f t="shared" si="42"/>
        <v>264.63778997972378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56.126391935655612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56.126391935655612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22.6</v>
      </c>
      <c r="N60" s="13">
        <f>IF('Données projet'!$A$36&gt;35,N59+M60-V59,IF(A60&lt;'Données projet'!$A$36,$K$205^A60,IF(A60='Données projet'!$A$36,'Données projet'!$B$36,N59+M60-V59)))</f>
        <v>676.19999999999982</v>
      </c>
      <c r="O60" s="13">
        <f>N60*VLOOKUP('Données projet'!$B$9,Paramètres!$A$1:$I$89,3,0)*VLOOKUP('Données projet'!$B$9,Paramètres!$A$1:$I$89,5,0)</f>
        <v>316.46159999999992</v>
      </c>
      <c r="P60" s="13">
        <f t="shared" si="33"/>
        <v>74.616644967491681</v>
      </c>
      <c r="Q60" s="20">
        <f t="shared" si="53"/>
        <v>681.1279433183812</v>
      </c>
      <c r="R60" s="59">
        <f t="shared" si="0"/>
        <v>974.46127665171457</v>
      </c>
      <c r="S60" s="59">
        <f ca="1">AVERAGE(OFFSET($R$3,0,0,'Données projet'!$E$9+1,1))-AVERAGE(OFFSET($H$3,0,0,'Données projet'!$E$9+1,1))</f>
        <v>488.67934252295686</v>
      </c>
      <c r="T60" s="59">
        <f t="shared" si="34"/>
        <v>424.50324471331095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100.76605155679746</v>
      </c>
      <c r="AA60" s="21">
        <f>EXP(-LN(2)/25)*AA59+(1-EXP(-LN(2)/25))/(LN(2)/25)*Calculateur!V60*Calculateur!X60*VLOOKUP('Données projet'!$B$9,Paramètres!$A$1:$I$89,3,0)*0.475*44/12</f>
        <v>23.172416342084663</v>
      </c>
      <c r="AB60" s="21">
        <f>EXP(-LN(2)/2)*AB59+(1-EXP(-LN(2)/2))/(LN(2)/2)*V60*Y60*VLOOKUP('Données projet'!$B$9,Paramètres!$A$1:$I$89,3,0)*0.475*44/12</f>
        <v>7.0036196496409223E-5</v>
      </c>
      <c r="AC60" s="22">
        <f t="shared" si="3"/>
        <v>123.93853793507861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17</v>
      </c>
      <c r="AI60" s="13">
        <f>IF('Données projet'!$A$62&gt;35,AI59+AH60-AQ59,IF(A60&lt;'Données projet'!$A$62,$AF$205^A60,IF(A60='Données projet'!$A$62,'Données projet'!$B$62,AI59+AH60-AQ59)))</f>
        <v>537.00000000000023</v>
      </c>
      <c r="AJ60" s="13">
        <f>AI60*VLOOKUP('Données projet'!$B$10,Paramètres!$A$1:$I$89,3,0)*VLOOKUP('Données projet'!$B$10,Paramètres!$A$1:$I$89,5,0)</f>
        <v>321.12600000000015</v>
      </c>
      <c r="AK60" s="13">
        <f t="shared" si="35"/>
        <v>75.587591944000323</v>
      </c>
      <c r="AL60" s="20">
        <f t="shared" si="4"/>
        <v>690.94283930246741</v>
      </c>
      <c r="AM60" s="59">
        <f t="shared" si="5"/>
        <v>984.27617263580078</v>
      </c>
      <c r="AN60" s="59">
        <f ca="1">AVERAGE(OFFSET($AM$3,0,0,'Données projet'!$E$10+1,1))-AVERAGE(OFFSET($H$3,0,0,'Données projet'!$E$10+1,1))</f>
        <v>504.81063008331739</v>
      </c>
      <c r="AO60" s="59">
        <f t="shared" si="36"/>
        <v>441.82647565372287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79.406586496132562</v>
      </c>
      <c r="AV60" s="21">
        <f>EXP(-LN(2)/25)*AV59+(1-EXP(-LN(2)/25))/(LN(2)/25)*Calculateur!AQ60*Calculateur!AS60*VLOOKUP('Données projet'!$B$10,Paramètres!$A$1:$I$89,3,0)*0.475*44/12</f>
        <v>27.851575704423372</v>
      </c>
      <c r="AW60" s="21">
        <f>EXP(-LN(2)/2)*AW59+(1-EXP(-LN(2)/2))/(LN(2)/2)*AQ60*AT60*VLOOKUP('Données projet'!$B$10,Paramètres!$A$1:$I$89,3,0)*0.475*44/12</f>
        <v>4.519962689824858E-6</v>
      </c>
      <c r="AX60" s="21">
        <f t="shared" si="6"/>
        <v>107.25816672051862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229.39999999999986</v>
      </c>
      <c r="BE60" s="13">
        <f>BD60*VLOOKUP('Données projet'!$B$11,Paramètres!$A$1:$I$89,3,0)*VLOOKUP('Données projet'!$B$11,Paramètres!$A$1:$I$89,5,0)</f>
        <v>200.40383999999992</v>
      </c>
      <c r="BF60" s="13">
        <f t="shared" si="37"/>
        <v>49.832909112305636</v>
      </c>
      <c r="BG60" s="20">
        <f t="shared" si="7"/>
        <v>435.82900470393218</v>
      </c>
      <c r="BH60" s="59">
        <f t="shared" si="8"/>
        <v>729.1623380372655</v>
      </c>
      <c r="BI60" s="59">
        <f ca="1">AVERAGE(OFFSET($BH$3,0,0,'Données projet'!$E$11+1,1))-AVERAGE(OFFSET($H$3,0,0,'Données projet'!$E$11+1,1))</f>
        <v>324.86930206492627</v>
      </c>
      <c r="BJ60" s="59">
        <f t="shared" si="38"/>
        <v>317.03005098025352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42.353827858661894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42.353827858661894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9.4</v>
      </c>
      <c r="BY60" s="12">
        <f>IF('Données projet'!$A$114&gt;35,BY59+BX60-CG59,IF(A60&lt;'Données projet'!$A$114,$BV$205^A60,IF(A60='Données projet'!$A$114,'Données projet'!$B$114,BY59+BX60-CG59)))</f>
        <v>244.79999999999998</v>
      </c>
      <c r="BZ60" s="13">
        <f>BY60*VLOOKUP('Données projet'!$B$12,Paramètres!$A$1:$I$89,3,0)*VLOOKUP('Données projet'!$B$12,Paramètres!$A$1:$I$89,5,0)</f>
        <v>248.22720000000001</v>
      </c>
      <c r="CA60" s="13">
        <f t="shared" si="39"/>
        <v>60.20616532763993</v>
      </c>
      <c r="CB60" s="20">
        <f t="shared" si="10"/>
        <v>537.18811127897277</v>
      </c>
      <c r="CC60" s="59">
        <f t="shared" si="11"/>
        <v>830.52144461230614</v>
      </c>
      <c r="CD60" s="59">
        <f ca="1">AVERAGE(OFFSET($CC$3,0,0,'Données projet'!$E$12+1,1))-AVERAGE(OFFSET($H$3,0,0,'Données projet'!$E$12+1,1))</f>
        <v>487.18832528146936</v>
      </c>
      <c r="CE60" s="59">
        <f t="shared" si="40"/>
        <v>306.61893266146666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53.730463789557042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53.730463789557042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13.559999999999995</v>
      </c>
      <c r="CT60" s="12">
        <f>IF('Données projet'!$A$140&gt;35,CT59+CS60-DB59,IF(A60&lt;'Données projet'!$A$140,$CQ$205^A60,IF(A60='Données projet'!$A$140,'Données projet'!$B$140,CT59+CS60-DB59)))</f>
        <v>333.02000000000004</v>
      </c>
      <c r="CU60" s="17">
        <f>CT60*VLOOKUP('Données projet'!$B$13,Paramètres!$A$1:$I$89,3,0)*VLOOKUP('Données projet'!$B$13,Paramètres!$A$1:$I$89,5,0)</f>
        <v>316.90183200000007</v>
      </c>
      <c r="CV60" s="13">
        <f t="shared" si="41"/>
        <v>74.708355004436555</v>
      </c>
      <c r="CW60" s="20">
        <f t="shared" si="13"/>
        <v>682.05440903272711</v>
      </c>
      <c r="CX60" s="59">
        <f t="shared" si="14"/>
        <v>975.38774236606037</v>
      </c>
      <c r="CY60" s="59">
        <f ca="1">AVERAGE(OFFSET($CX$3,0,0,'Données projet'!$E$13+1,1))-AVERAGE(OFFSET($H$3,0,0,'Données projet'!$E$13+1,1))</f>
        <v>733.95677909788878</v>
      </c>
      <c r="CZ60" s="59">
        <f t="shared" si="42"/>
        <v>264.63778997972378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55.025787623516187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55.025787623516187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22.6</v>
      </c>
      <c r="N61" s="13">
        <f>IF('Données projet'!$A$36&gt;35,N60+M61-V60,IF(A61&lt;'Données projet'!$A$36,$K$205^A61,IF(A61='Données projet'!$A$36,'Données projet'!$B$36,N60+M61-V60)))</f>
        <v>698.79999999999984</v>
      </c>
      <c r="O61" s="13">
        <f>N61*VLOOKUP('Données projet'!$B$9,Paramètres!$A$1:$I$89,3,0)*VLOOKUP('Données projet'!$B$9,Paramètres!$A$1:$I$89,5,0)</f>
        <v>327.03839999999991</v>
      </c>
      <c r="P61" s="13">
        <f t="shared" si="33"/>
        <v>76.815970143630011</v>
      </c>
      <c r="Q61" s="20">
        <f t="shared" si="53"/>
        <v>703.37969466682216</v>
      </c>
      <c r="R61" s="59">
        <f t="shared" si="0"/>
        <v>996.71302800015542</v>
      </c>
      <c r="S61" s="59">
        <f ca="1">AVERAGE(OFFSET($R$3,0,0,'Données projet'!$E$9+1,1))-AVERAGE(OFFSET($H$3,0,0,'Données projet'!$E$9+1,1))</f>
        <v>488.67934252295686</v>
      </c>
      <c r="T61" s="59">
        <f t="shared" si="34"/>
        <v>424.50324471331095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98.790090746991325</v>
      </c>
      <c r="AA61" s="21">
        <f>EXP(-LN(2)/25)*AA60+(1-EXP(-LN(2)/25))/(LN(2)/25)*Calculateur!V61*Calculateur!X61*VLOOKUP('Données projet'!$B$9,Paramètres!$A$1:$I$89,3,0)*0.475*44/12</f>
        <v>22.538765398625944</v>
      </c>
      <c r="AB61" s="21">
        <f>EXP(-LN(2)/2)*AB60+(1-EXP(-LN(2)/2))/(LN(2)/2)*V61*Y61*VLOOKUP('Données projet'!$B$9,Paramètres!$A$1:$I$89,3,0)*0.475*44/12</f>
        <v>4.9523069471124484E-5</v>
      </c>
      <c r="AC61" s="22">
        <f t="shared" si="3"/>
        <v>121.32890566868674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17</v>
      </c>
      <c r="AI61" s="13">
        <f>IF('Données projet'!$A$62&gt;35,AI60+AH61-AQ60,IF(A61&lt;'Données projet'!$A$62,$AF$205^A61,IF(A61='Données projet'!$A$62,'Données projet'!$B$62,AI60+AH61-AQ60)))</f>
        <v>554.00000000000023</v>
      </c>
      <c r="AJ61" s="13">
        <f>AI61*VLOOKUP('Données projet'!$B$10,Paramètres!$A$1:$I$89,3,0)*VLOOKUP('Données projet'!$B$10,Paramètres!$A$1:$I$89,5,0)</f>
        <v>331.29200000000014</v>
      </c>
      <c r="AK61" s="13">
        <f t="shared" si="35"/>
        <v>77.698110787752142</v>
      </c>
      <c r="AL61" s="20">
        <f t="shared" si="4"/>
        <v>712.32444295533526</v>
      </c>
      <c r="AM61" s="59">
        <f t="shared" si="5"/>
        <v>1005.6577762886686</v>
      </c>
      <c r="AN61" s="59">
        <f ca="1">AVERAGE(OFFSET($AM$3,0,0,'Données projet'!$E$10+1,1))-AVERAGE(OFFSET($H$3,0,0,'Données projet'!$E$10+1,1))</f>
        <v>504.81063008331739</v>
      </c>
      <c r="AO61" s="59">
        <f t="shared" si="36"/>
        <v>441.82647565372287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77.849471768178773</v>
      </c>
      <c r="AV61" s="21">
        <f>EXP(-LN(2)/25)*AV60+(1-EXP(-LN(2)/25))/(LN(2)/25)*Calculateur!AQ61*Calculateur!AS61*VLOOKUP('Données projet'!$B$10,Paramètres!$A$1:$I$89,3,0)*0.475*44/12</f>
        <v>27.089972902135205</v>
      </c>
      <c r="AW61" s="21">
        <f>EXP(-LN(2)/2)*AW60+(1-EXP(-LN(2)/2))/(LN(2)/2)*AQ61*AT61*VLOOKUP('Données projet'!$B$10,Paramètres!$A$1:$I$89,3,0)*0.475*44/12</f>
        <v>3.1960962686853447E-6</v>
      </c>
      <c r="AX61" s="21">
        <f t="shared" si="6"/>
        <v>104.93944786641025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234.59999999999985</v>
      </c>
      <c r="BE61" s="13">
        <f>BD61*VLOOKUP('Données projet'!$B$11,Paramètres!$A$1:$I$89,3,0)*VLOOKUP('Données projet'!$B$11,Paramètres!$A$1:$I$89,5,0)</f>
        <v>204.94655999999989</v>
      </c>
      <c r="BF61" s="13">
        <f t="shared" si="37"/>
        <v>50.829721281867236</v>
      </c>
      <c r="BG61" s="20">
        <f t="shared" si="7"/>
        <v>445.47702323258522</v>
      </c>
      <c r="BH61" s="59">
        <f t="shared" si="8"/>
        <v>738.81035656591848</v>
      </c>
      <c r="BI61" s="59">
        <f ca="1">AVERAGE(OFFSET($BH$3,0,0,'Données projet'!$E$11+1,1))-AVERAGE(OFFSET($H$3,0,0,'Données projet'!$E$11+1,1))</f>
        <v>324.86930206492627</v>
      </c>
      <c r="BJ61" s="59">
        <f t="shared" si="38"/>
        <v>317.03005098025352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41.523295127637702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41.523295127637702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9.4</v>
      </c>
      <c r="BY61" s="12">
        <f>IF('Données projet'!$A$114&gt;35,BY60+BX61-CG60,IF(A61&lt;'Données projet'!$A$114,$BV$205^A61,IF(A61='Données projet'!$A$114,'Données projet'!$B$114,BY60+BX61-CG60)))</f>
        <v>254.2</v>
      </c>
      <c r="BZ61" s="13">
        <f>BY61*VLOOKUP('Données projet'!$B$12,Paramètres!$A$1:$I$89,3,0)*VLOOKUP('Données projet'!$B$12,Paramètres!$A$1:$I$89,5,0)</f>
        <v>257.75880000000001</v>
      </c>
      <c r="CA61" s="13">
        <f t="shared" si="39"/>
        <v>62.244404241627407</v>
      </c>
      <c r="CB61" s="20">
        <f t="shared" si="10"/>
        <v>557.33891405416773</v>
      </c>
      <c r="CC61" s="59">
        <f t="shared" si="11"/>
        <v>850.6722473875011</v>
      </c>
      <c r="CD61" s="59">
        <f ca="1">AVERAGE(OFFSET($CC$3,0,0,'Données projet'!$E$12+1,1))-AVERAGE(OFFSET($H$3,0,0,'Données projet'!$E$12+1,1))</f>
        <v>487.18832528146936</v>
      </c>
      <c r="CE61" s="59">
        <f t="shared" si="40"/>
        <v>306.61893266146666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52.676842166990738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52.676842166990738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346.58</v>
      </c>
      <c r="CR61" s="12">
        <f>VLOOKUP(A61,'Données projet'!$A$139:$I$159,9,0)</f>
        <v>13.559999999999995</v>
      </c>
      <c r="CS61" s="12">
        <f t="array" ref="CS61">INDEX(CR:CR,MIN(IF(ISNUMBER(CR61:CR257),ROW(CR61:CR257),"")))</f>
        <v>13.559999999999995</v>
      </c>
      <c r="CT61" s="12">
        <f>IF('Données projet'!$A$140&gt;35,CT60+CS61-DB60,IF(A61&lt;'Données projet'!$A$140,$CQ$205^A61,IF(A61='Données projet'!$A$140,'Données projet'!$B$140,CT60+CS61-DB60)))</f>
        <v>346.58000000000004</v>
      </c>
      <c r="CU61" s="17">
        <f>CT61*VLOOKUP('Données projet'!$B$13,Paramètres!$A$1:$I$89,3,0)*VLOOKUP('Données projet'!$B$13,Paramètres!$A$1:$I$89,5,0)</f>
        <v>329.80552800000004</v>
      </c>
      <c r="CV61" s="13">
        <f t="shared" si="41"/>
        <v>77.389986781426714</v>
      </c>
      <c r="CW61" s="20">
        <f t="shared" si="13"/>
        <v>709.19885491098478</v>
      </c>
      <c r="CX61" s="59">
        <f t="shared" si="14"/>
        <v>1002.5321882443181</v>
      </c>
      <c r="CY61" s="59">
        <f ca="1">AVERAGE(OFFSET($CX$3,0,0,'Données projet'!$E$13+1,1))-AVERAGE(OFFSET($H$3,0,0,'Données projet'!$E$13+1,1))</f>
        <v>733.95677909788878</v>
      </c>
      <c r="CZ61" s="59">
        <f t="shared" si="42"/>
        <v>264.63778997972378</v>
      </c>
      <c r="DA61" s="15">
        <f>IF(ISNA(VLOOKUP(A61,'Données projet'!$A$139:$I$159,3,0)),0,VLOOKUP(A61,'Données projet'!$A$139:$I$159,3,0))</f>
        <v>4</v>
      </c>
      <c r="DB61" s="15">
        <f>IF(ISNA(VLOOKUP(A61,'Données projet'!$A$139:$I$159,4,0)),0,VLOOKUP(A61,'Données projet'!$A$139:$I$159,4,0))</f>
        <v>62.16</v>
      </c>
      <c r="DC61" s="16">
        <f>IF(ISNA(VLOOKUP(A61,'Données projet'!$A$139:$I$159,5,0)),0%,VLOOKUP(A61,'Données projet'!$A$139:$I$159,5,0)*VLOOKUP('Données projet'!$B$13,Paramètres!$A$1:$I$89,7,0))</f>
        <v>0.43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82.064543971761509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82.064543971761509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22.6</v>
      </c>
      <c r="N62" s="13">
        <f>IF('Données projet'!$A$36&gt;35,N61+M62-V61,IF(A62&lt;'Données projet'!$A$36,$K$205^A62,IF(A62='Données projet'!$A$36,'Données projet'!$B$36,N61+M62-V61)))</f>
        <v>721.39999999999986</v>
      </c>
      <c r="O62" s="13">
        <f>N62*VLOOKUP('Données projet'!$B$9,Paramètres!$A$1:$I$89,3,0)*VLOOKUP('Données projet'!$B$9,Paramètres!$A$1:$I$89,5,0)</f>
        <v>337.61519999999996</v>
      </c>
      <c r="P62" s="13">
        <f t="shared" si="33"/>
        <v>79.007029978996599</v>
      </c>
      <c r="Q62" s="20">
        <f t="shared" si="53"/>
        <v>725.61705054675224</v>
      </c>
      <c r="R62" s="59">
        <f t="shared" si="0"/>
        <v>1018.9503838800856</v>
      </c>
      <c r="S62" s="59">
        <f ca="1">AVERAGE(OFFSET($R$3,0,0,'Données projet'!$E$9+1,1))-AVERAGE(OFFSET($H$3,0,0,'Données projet'!$E$9+1,1))</f>
        <v>488.67934252295686</v>
      </c>
      <c r="T62" s="59">
        <f t="shared" si="34"/>
        <v>424.50324471331095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96.852877323448396</v>
      </c>
      <c r="AA62" s="21">
        <f>EXP(-LN(2)/25)*AA61+(1-EXP(-LN(2)/25))/(LN(2)/25)*Calculateur!V62*Calculateur!X62*VLOOKUP('Données projet'!$B$9,Paramètres!$A$1:$I$89,3,0)*0.475*44/12</f>
        <v>21.922441673538358</v>
      </c>
      <c r="AB62" s="21">
        <f>EXP(-LN(2)/2)*AB61+(1-EXP(-LN(2)/2))/(LN(2)/2)*V62*Y62*VLOOKUP('Données projet'!$B$9,Paramètres!$A$1:$I$89,3,0)*0.475*44/12</f>
        <v>3.5018098248204612E-5</v>
      </c>
      <c r="AC62" s="22">
        <f t="shared" si="3"/>
        <v>118.775354015085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17</v>
      </c>
      <c r="AI62" s="13">
        <f>IF('Données projet'!$A$62&gt;35,AI61+AH62-AQ61,IF(A62&lt;'Données projet'!$A$62,$AF$205^A62,IF(A62='Données projet'!$A$62,'Données projet'!$B$62,AI61+AH62-AQ61)))</f>
        <v>571.00000000000023</v>
      </c>
      <c r="AJ62" s="13">
        <f>AI62*VLOOKUP('Données projet'!$B$10,Paramètres!$A$1:$I$89,3,0)*VLOOKUP('Données projet'!$B$10,Paramètres!$A$1:$I$89,5,0)</f>
        <v>341.4580000000002</v>
      </c>
      <c r="AK62" s="13">
        <f t="shared" si="35"/>
        <v>79.801103392528489</v>
      </c>
      <c r="AL62" s="20">
        <f t="shared" si="4"/>
        <v>733.69293840865419</v>
      </c>
      <c r="AM62" s="59">
        <f t="shared" si="5"/>
        <v>1027.0262717419876</v>
      </c>
      <c r="AN62" s="59">
        <f ca="1">AVERAGE(OFFSET($AM$3,0,0,'Données projet'!$E$10+1,1))-AVERAGE(OFFSET($H$3,0,0,'Données projet'!$E$10+1,1))</f>
        <v>504.81063008331739</v>
      </c>
      <c r="AO62" s="59">
        <f t="shared" si="36"/>
        <v>441.82647565372287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76.322891110293966</v>
      </c>
      <c r="AV62" s="21">
        <f>EXP(-LN(2)/25)*AV61+(1-EXP(-LN(2)/25))/(LN(2)/25)*Calculateur!AQ62*Calculateur!AS62*VLOOKUP('Données projet'!$B$10,Paramètres!$A$1:$I$89,3,0)*0.475*44/12</f>
        <v>26.349196168526557</v>
      </c>
      <c r="AW62" s="21">
        <f>EXP(-LN(2)/2)*AW61+(1-EXP(-LN(2)/2))/(LN(2)/2)*AQ62*AT62*VLOOKUP('Données projet'!$B$10,Paramètres!$A$1:$I$89,3,0)*0.475*44/12</f>
        <v>2.259981344912429E-6</v>
      </c>
      <c r="AX62" s="21">
        <f t="shared" si="6"/>
        <v>102.67208953880187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239.79999999999984</v>
      </c>
      <c r="BE62" s="13">
        <f>BD62*VLOOKUP('Données projet'!$B$11,Paramètres!$A$1:$I$89,3,0)*VLOOKUP('Données projet'!$B$11,Paramètres!$A$1:$I$89,5,0)</f>
        <v>209.48927999999989</v>
      </c>
      <c r="BF62" s="13">
        <f t="shared" si="37"/>
        <v>51.823964717594365</v>
      </c>
      <c r="BG62" s="20">
        <f t="shared" si="7"/>
        <v>455.12056788314334</v>
      </c>
      <c r="BH62" s="59">
        <f t="shared" si="8"/>
        <v>748.45390121647665</v>
      </c>
      <c r="BI62" s="59">
        <f ca="1">AVERAGE(OFFSET($BH$3,0,0,'Données projet'!$E$11+1,1))-AVERAGE(OFFSET($H$3,0,0,'Données projet'!$E$11+1,1))</f>
        <v>324.86930206492627</v>
      </c>
      <c r="BJ62" s="59">
        <f t="shared" si="38"/>
        <v>317.03005098025352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40.709048636893947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40.709048636893947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9.4</v>
      </c>
      <c r="BY62" s="12">
        <f>IF('Données projet'!$A$114&gt;35,BY61+BX62-CG61,IF(A62&lt;'Données projet'!$A$114,$BV$205^A62,IF(A62='Données projet'!$A$114,'Données projet'!$B$114,BY61+BX62-CG61)))</f>
        <v>263.59999999999997</v>
      </c>
      <c r="BZ62" s="13">
        <f>BY62*VLOOKUP('Données projet'!$B$12,Paramètres!$A$1:$I$89,3,0)*VLOOKUP('Données projet'!$B$12,Paramètres!$A$1:$I$89,5,0)</f>
        <v>267.29039999999998</v>
      </c>
      <c r="CA62" s="13">
        <f t="shared" si="39"/>
        <v>64.273886654661325</v>
      </c>
      <c r="CB62" s="20">
        <f t="shared" si="10"/>
        <v>577.47446592353515</v>
      </c>
      <c r="CC62" s="59">
        <f t="shared" si="11"/>
        <v>870.80779925686852</v>
      </c>
      <c r="CD62" s="59">
        <f ca="1">AVERAGE(OFFSET($CC$3,0,0,'Données projet'!$E$12+1,1))-AVERAGE(OFFSET($H$3,0,0,'Données projet'!$E$12+1,1))</f>
        <v>487.18832528146936</v>
      </c>
      <c r="CE62" s="59">
        <f t="shared" si="40"/>
        <v>306.61893266146666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51.643881421797225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51.643881421797225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13.062500000000007</v>
      </c>
      <c r="CT62" s="12">
        <f>IF('Données projet'!$A$140&gt;35,CT61+CS62-DB61,IF(A62&lt;'Données projet'!$A$140,$CQ$205^A62,IF(A62='Données projet'!$A$140,'Données projet'!$B$140,CT61+CS62-DB61)))</f>
        <v>297.48250000000007</v>
      </c>
      <c r="CU62" s="17">
        <f>CT62*VLOOKUP('Données projet'!$B$13,Paramètres!$A$1:$I$89,3,0)*VLOOKUP('Données projet'!$B$13,Paramètres!$A$1:$I$89,5,0)</f>
        <v>283.08434700000004</v>
      </c>
      <c r="CV62" s="13">
        <f t="shared" si="41"/>
        <v>67.618403891292076</v>
      </c>
      <c r="CW62" s="20">
        <f t="shared" si="13"/>
        <v>610.80729113566701</v>
      </c>
      <c r="CX62" s="59">
        <f t="shared" si="14"/>
        <v>904.14062446900039</v>
      </c>
      <c r="CY62" s="59">
        <f ca="1">AVERAGE(OFFSET($CX$3,0,0,'Données projet'!$E$13+1,1))-AVERAGE(OFFSET($H$3,0,0,'Données projet'!$E$13+1,1))</f>
        <v>733.95677909788878</v>
      </c>
      <c r="CZ62" s="59">
        <f t="shared" si="42"/>
        <v>264.63778997972378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80.455308318904628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80.455308318904628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744</v>
      </c>
      <c r="L63" s="12">
        <f>VLOOKUP(A63,'Données projet'!$A$35:$I$55,9,0)</f>
        <v>22.6</v>
      </c>
      <c r="M63" s="12">
        <f t="array" ref="M63">INDEX(L:L,MIN(IF(ISNUMBER(L63:L259),ROW(L63:L259),"")))</f>
        <v>22.6</v>
      </c>
      <c r="N63" s="13">
        <f>IF('Données projet'!$A$36&gt;35,N62+M63-V62,IF(A63&lt;'Données projet'!$A$36,$K$205^A63,IF(A63='Données projet'!$A$36,'Données projet'!$B$36,N62+M63-V62)))</f>
        <v>743.99999999999989</v>
      </c>
      <c r="O63" s="13">
        <f>N63*VLOOKUP('Données projet'!$B$9,Paramètres!$A$1:$I$89,3,0)*VLOOKUP('Données projet'!$B$9,Paramètres!$A$1:$I$89,5,0)</f>
        <v>348.19200000000001</v>
      </c>
      <c r="P63" s="13">
        <f t="shared" si="33"/>
        <v>81.190113119538722</v>
      </c>
      <c r="Q63" s="20">
        <f t="shared" si="53"/>
        <v>747.84051368319672</v>
      </c>
      <c r="R63" s="59">
        <f t="shared" si="0"/>
        <v>1041.1738470165301</v>
      </c>
      <c r="S63" s="59">
        <f ca="1">AVERAGE(OFFSET($R$3,0,0,'Données projet'!$E$9+1,1))-AVERAGE(OFFSET($H$3,0,0,'Données projet'!$E$9+1,1))</f>
        <v>488.67934252295686</v>
      </c>
      <c r="T63" s="59">
        <f t="shared" si="34"/>
        <v>424.50324471331095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60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115.44111292336589</v>
      </c>
      <c r="AA63" s="21">
        <f>EXP(-LN(2)/25)*AA62+(1-EXP(-LN(2)/25))/(LN(2)/25)*Calculateur!V63*Calculateur!X63*VLOOKUP('Données projet'!$B$9,Paramètres!$A$1:$I$89,3,0)*0.475*44/12</f>
        <v>21.322971353124348</v>
      </c>
      <c r="AB63" s="21">
        <f>EXP(-LN(2)/2)*AB62+(1-EXP(-LN(2)/2))/(LN(2)/2)*V63*Y63*VLOOKUP('Données projet'!$B$9,Paramètres!$A$1:$I$89,3,0)*0.475*44/12</f>
        <v>2.4761534735562242E-5</v>
      </c>
      <c r="AC63" s="22">
        <f t="shared" si="3"/>
        <v>136.764109038025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588</v>
      </c>
      <c r="AG63" s="12">
        <f>VLOOKUP(A63,'Données projet'!$A$61:$I$81,9,0)</f>
        <v>17</v>
      </c>
      <c r="AH63" s="12">
        <f t="array" ref="AH63">INDEX(AG:AG,MIN(IF(ISNUMBER(AG63:AG259),ROW(AG63:AG259),"")))</f>
        <v>17</v>
      </c>
      <c r="AI63" s="13">
        <f>IF('Données projet'!$A$62&gt;35,AI62+AH63-AQ62,IF(A63&lt;'Données projet'!$A$62,$AF$205^A63,IF(A63='Données projet'!$A$62,'Données projet'!$B$62,AI62+AH63-AQ62)))</f>
        <v>588.00000000000023</v>
      </c>
      <c r="AJ63" s="13">
        <f>AI63*VLOOKUP('Données projet'!$B$10,Paramètres!$A$1:$I$89,3,0)*VLOOKUP('Données projet'!$B$10,Paramètres!$A$1:$I$89,5,0)</f>
        <v>351.62400000000019</v>
      </c>
      <c r="AK63" s="13">
        <f t="shared" si="35"/>
        <v>81.89681955603848</v>
      </c>
      <c r="AL63" s="20">
        <f t="shared" si="4"/>
        <v>755.04876072676723</v>
      </c>
      <c r="AM63" s="59">
        <f t="shared" si="5"/>
        <v>1048.3820940601006</v>
      </c>
      <c r="AN63" s="59">
        <f ca="1">AVERAGE(OFFSET($AM$3,0,0,'Données projet'!$E$10+1,1))-AVERAGE(OFFSET($H$3,0,0,'Données projet'!$E$10+1,1))</f>
        <v>504.81063008331739</v>
      </c>
      <c r="AO63" s="59">
        <f t="shared" si="36"/>
        <v>441.82647565372287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39</v>
      </c>
      <c r="AR63" s="16">
        <f>IF(ISNA(VLOOKUP(A63,'Données projet'!$A$61:$I$81,5,0)),0%,VLOOKUP(A63,'Données projet'!$A$61:$I$81,5,0)*VLOOKUP('Données projet'!$B$10,Paramètres!$A$1:$I$89,7,0))</f>
        <v>0.45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88.748407071380441</v>
      </c>
      <c r="AV63" s="21">
        <f>EXP(-LN(2)/25)*AV62+(1-EXP(-LN(2)/25))/(LN(2)/25)*Calculateur!AQ63*Calculateur!AS63*VLOOKUP('Données projet'!$B$10,Paramètres!$A$1:$I$89,3,0)*0.475*44/12</f>
        <v>25.628676013654193</v>
      </c>
      <c r="AW63" s="21">
        <f>EXP(-LN(2)/2)*AW62+(1-EXP(-LN(2)/2))/(LN(2)/2)*AQ63*AT63*VLOOKUP('Données projet'!$B$10,Paramètres!$A$1:$I$89,3,0)*0.475*44/12</f>
        <v>1.5980481343426724E-6</v>
      </c>
      <c r="AX63" s="21">
        <f t="shared" si="6"/>
        <v>114.37708468308276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244.99999999999983</v>
      </c>
      <c r="BE63" s="13">
        <f>BD63*VLOOKUP('Données projet'!$B$11,Paramètres!$A$1:$I$89,3,0)*VLOOKUP('Données projet'!$B$11,Paramètres!$A$1:$I$89,5,0)</f>
        <v>214.03199999999987</v>
      </c>
      <c r="BF63" s="13">
        <f t="shared" si="37"/>
        <v>52.815701536972192</v>
      </c>
      <c r="BG63" s="20">
        <f t="shared" si="7"/>
        <v>464.7597468435597</v>
      </c>
      <c r="BH63" s="59">
        <f t="shared" si="8"/>
        <v>758.09308017689295</v>
      </c>
      <c r="BI63" s="59">
        <f ca="1">AVERAGE(OFFSET($BH$3,0,0,'Données projet'!$E$11+1,1))-AVERAGE(OFFSET($H$3,0,0,'Données projet'!$E$11+1,1))</f>
        <v>324.86930206492627</v>
      </c>
      <c r="BJ63" s="59">
        <f t="shared" si="38"/>
        <v>317.03005098025352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12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46.052868577033863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46.052868577033863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273</v>
      </c>
      <c r="BW63" s="12">
        <f>VLOOKUP(A63,'Données projet'!$A$113:$I$133,9,0)</f>
        <v>9.4</v>
      </c>
      <c r="BX63" s="12">
        <f t="array" ref="BX63">INDEX(BW:BW,MIN(IF(ISNUMBER(BW63:BW259),ROW(BW63:BW259),"")))</f>
        <v>9.4</v>
      </c>
      <c r="BY63" s="12">
        <f>IF('Données projet'!$A$114&gt;35,BY62+BX63-CG62,IF(A63&lt;'Données projet'!$A$114,$BV$205^A63,IF(A63='Données projet'!$A$114,'Données projet'!$B$114,BY62+BX63-CG62)))</f>
        <v>272.99999999999994</v>
      </c>
      <c r="BZ63" s="13">
        <f>BY63*VLOOKUP('Données projet'!$B$12,Paramètres!$A$1:$I$89,3,0)*VLOOKUP('Données projet'!$B$12,Paramètres!$A$1:$I$89,5,0)</f>
        <v>276.82199999999995</v>
      </c>
      <c r="CA63" s="13">
        <f t="shared" si="39"/>
        <v>66.29496059864374</v>
      </c>
      <c r="CB63" s="20">
        <f t="shared" si="10"/>
        <v>597.59537304263779</v>
      </c>
      <c r="CC63" s="59">
        <f t="shared" si="11"/>
        <v>890.92870637597116</v>
      </c>
      <c r="CD63" s="59">
        <f ca="1">AVERAGE(OFFSET($CC$3,0,0,'Données projet'!$E$12+1,1))-AVERAGE(OFFSET($H$3,0,0,'Données projet'!$E$12+1,1))</f>
        <v>487.18832528146936</v>
      </c>
      <c r="CE63" s="59">
        <f t="shared" si="40"/>
        <v>306.61893266146666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64.127377863523904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64.127377863523904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13.062500000000007</v>
      </c>
      <c r="CT63" s="12">
        <f>IF('Données projet'!$A$140&gt;35,CT62+CS63-DB62,IF(A63&lt;'Données projet'!$A$140,$CQ$205^A63,IF(A63='Données projet'!$A$140,'Données projet'!$B$140,CT62+CS63-DB62)))</f>
        <v>310.54500000000007</v>
      </c>
      <c r="CU63" s="17">
        <f>CT63*VLOOKUP('Données projet'!$B$13,Paramètres!$A$1:$I$89,3,0)*VLOOKUP('Données projet'!$B$13,Paramètres!$A$1:$I$89,5,0)</f>
        <v>295.51462200000009</v>
      </c>
      <c r="CV63" s="13">
        <f t="shared" si="41"/>
        <v>70.235333151677239</v>
      </c>
      <c r="CW63" s="20">
        <f t="shared" si="13"/>
        <v>637.01450522250468</v>
      </c>
      <c r="CX63" s="59">
        <f t="shared" si="14"/>
        <v>930.34783855583805</v>
      </c>
      <c r="CY63" s="59">
        <f ca="1">AVERAGE(OFFSET($CX$3,0,0,'Données projet'!$E$13+1,1))-AVERAGE(OFFSET($H$3,0,0,'Données projet'!$E$13+1,1))</f>
        <v>733.95677909788878</v>
      </c>
      <c r="CZ63" s="59">
        <f t="shared" si="42"/>
        <v>264.63778997972378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78.877628795663441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78.877628795663441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21.2</v>
      </c>
      <c r="N64" s="13">
        <f>IF('Données projet'!$A$36&gt;35,N63+M64-V63,IF(A64&lt;'Données projet'!$A$36,$K$205^A64,IF(A64='Données projet'!$A$36,'Données projet'!$B$36,N63+M64-V63)))</f>
        <v>705.19999999999993</v>
      </c>
      <c r="O64" s="13">
        <f>N64*VLOOKUP('Données projet'!$B$9,Paramètres!$A$1:$I$89,3,0)*VLOOKUP('Données projet'!$B$9,Paramètres!$A$1:$I$89,5,0)</f>
        <v>330.03359999999998</v>
      </c>
      <c r="P64" s="13">
        <f t="shared" si="33"/>
        <v>77.437273267793145</v>
      </c>
      <c r="Q64" s="20">
        <f t="shared" si="53"/>
        <v>709.67843760807307</v>
      </c>
      <c r="R64" s="59">
        <f t="shared" si="0"/>
        <v>1003.0117709414064</v>
      </c>
      <c r="S64" s="59">
        <f ca="1">AVERAGE(OFFSET($R$3,0,0,'Données projet'!$E$9+1,1))-AVERAGE(OFFSET($H$3,0,0,'Données projet'!$E$9+1,1))</f>
        <v>488.67934252295686</v>
      </c>
      <c r="T64" s="59">
        <f t="shared" si="34"/>
        <v>424.50324471331095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113.17738311106496</v>
      </c>
      <c r="AA64" s="21">
        <f>EXP(-LN(2)/25)*AA63+(1-EXP(-LN(2)/25))/(LN(2)/25)*Calculateur!V64*Calculateur!X64*VLOOKUP('Données projet'!$B$9,Paramètres!$A$1:$I$89,3,0)*0.475*44/12</f>
        <v>20.739893580146834</v>
      </c>
      <c r="AB64" s="21">
        <f>EXP(-LN(2)/2)*AB63+(1-EXP(-LN(2)/2))/(LN(2)/2)*V64*Y64*VLOOKUP('Données projet'!$B$9,Paramètres!$A$1:$I$89,3,0)*0.475*44/12</f>
        <v>1.7509049124102306E-5</v>
      </c>
      <c r="AC64" s="22">
        <f t="shared" si="3"/>
        <v>133.9172942002609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15.6</v>
      </c>
      <c r="AI64" s="13">
        <f>IF('Données projet'!$A$62&gt;35,AI63+AH64-AQ63,IF(A64&lt;'Données projet'!$A$62,$AF$205^A64,IF(A64='Données projet'!$A$62,'Données projet'!$B$62,AI63+AH64-AQ63)))</f>
        <v>564.60000000000025</v>
      </c>
      <c r="AJ64" s="13">
        <f>AI64*VLOOKUP('Données projet'!$B$10,Paramètres!$A$1:$I$89,3,0)*VLOOKUP('Données projet'!$B$10,Paramètres!$A$1:$I$89,5,0)</f>
        <v>337.63080000000019</v>
      </c>
      <c r="AK64" s="13">
        <f t="shared" si="35"/>
        <v>79.01025567088999</v>
      </c>
      <c r="AL64" s="20">
        <f t="shared" si="4"/>
        <v>725.64983862680037</v>
      </c>
      <c r="AM64" s="59">
        <f t="shared" si="5"/>
        <v>1018.9831719601336</v>
      </c>
      <c r="AN64" s="59">
        <f ca="1">AVERAGE(OFFSET($AM$3,0,0,'Données projet'!$E$10+1,1))-AVERAGE(OFFSET($H$3,0,0,'Données projet'!$E$10+1,1))</f>
        <v>504.81063008331739</v>
      </c>
      <c r="AO64" s="59">
        <f t="shared" si="36"/>
        <v>441.82647565372287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87.008104939893968</v>
      </c>
      <c r="AV64" s="21">
        <f>EXP(-LN(2)/25)*AV63+(1-EXP(-LN(2)/25))/(LN(2)/25)*Calculateur!AQ64*Calculateur!AS64*VLOOKUP('Données projet'!$B$10,Paramètres!$A$1:$I$89,3,0)*0.475*44/12</f>
        <v>24.927858520307321</v>
      </c>
      <c r="AW64" s="21">
        <f>EXP(-LN(2)/2)*AW63+(1-EXP(-LN(2)/2))/(LN(2)/2)*AQ64*AT64*VLOOKUP('Données projet'!$B$10,Paramètres!$A$1:$I$89,3,0)*0.475*44/12</f>
        <v>1.1299906724562145E-6</v>
      </c>
      <c r="AX64" s="21">
        <f t="shared" si="6"/>
        <v>111.93596459019197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237.39999999999984</v>
      </c>
      <c r="BE64" s="13">
        <f>BD64*VLOOKUP('Données projet'!$B$11,Paramètres!$A$1:$I$89,3,0)*VLOOKUP('Données projet'!$B$11,Paramètres!$A$1:$I$89,5,0)</f>
        <v>207.39263999999989</v>
      </c>
      <c r="BF64" s="13">
        <f t="shared" si="37"/>
        <v>51.365398298247158</v>
      </c>
      <c r="BG64" s="20">
        <f t="shared" si="7"/>
        <v>450.67025003611349</v>
      </c>
      <c r="BH64" s="59">
        <f t="shared" si="8"/>
        <v>744.0035833694468</v>
      </c>
      <c r="BI64" s="59">
        <f ca="1">AVERAGE(OFFSET($BH$3,0,0,'Données projet'!$E$11+1,1))-AVERAGE(OFFSET($H$3,0,0,'Données projet'!$E$11+1,1))</f>
        <v>324.86930206492627</v>
      </c>
      <c r="BJ64" s="59">
        <f t="shared" si="38"/>
        <v>317.03005098025352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45.149799913714453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45.149799913714453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8.8000000000000007</v>
      </c>
      <c r="BY64" s="12">
        <f>IF('Données projet'!$A$114&gt;35,BY63+BX64-CG63,IF(A64&lt;'Données projet'!$A$114,$BV$205^A64,IF(A64='Données projet'!$A$114,'Données projet'!$B$114,BY63+BX64-CG63)))</f>
        <v>253.79999999999995</v>
      </c>
      <c r="BZ64" s="13">
        <f>BY64*VLOOKUP('Données projet'!$B$12,Paramètres!$A$1:$I$89,3,0)*VLOOKUP('Données projet'!$B$12,Paramètres!$A$1:$I$89,5,0)</f>
        <v>257.35319999999996</v>
      </c>
      <c r="CA64" s="13">
        <f t="shared" si="39"/>
        <v>62.157851613080908</v>
      </c>
      <c r="CB64" s="20">
        <f t="shared" si="10"/>
        <v>556.48174822611588</v>
      </c>
      <c r="CC64" s="59">
        <f t="shared" si="11"/>
        <v>849.81508155944925</v>
      </c>
      <c r="CD64" s="59">
        <f ca="1">AVERAGE(OFFSET($CC$3,0,0,'Données projet'!$E$12+1,1))-AVERAGE(OFFSET($H$3,0,0,'Données projet'!$E$12+1,1))</f>
        <v>487.18832528146936</v>
      </c>
      <c r="CE64" s="59">
        <f t="shared" si="40"/>
        <v>306.61893266146666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62.869879097458529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62.869879097458529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13.062500000000007</v>
      </c>
      <c r="CT64" s="12">
        <f>IF('Données projet'!$A$140&gt;35,CT63+CS64-DB63,IF(A64&lt;'Données projet'!$A$140,$CQ$205^A64,IF(A64='Données projet'!$A$140,'Données projet'!$B$140,CT63+CS64-DB63)))</f>
        <v>323.60750000000007</v>
      </c>
      <c r="CU64" s="17">
        <f>CT64*VLOOKUP('Données projet'!$B$13,Paramètres!$A$1:$I$89,3,0)*VLOOKUP('Données projet'!$B$13,Paramètres!$A$1:$I$89,5,0)</f>
        <v>307.94489700000008</v>
      </c>
      <c r="CV64" s="13">
        <f t="shared" si="41"/>
        <v>72.839476867157188</v>
      </c>
      <c r="CW64" s="20">
        <f t="shared" si="13"/>
        <v>663.19945115196549</v>
      </c>
      <c r="CX64" s="59">
        <f t="shared" si="14"/>
        <v>956.53278448529886</v>
      </c>
      <c r="CY64" s="59">
        <f ca="1">AVERAGE(OFFSET($CX$3,0,0,'Données projet'!$E$13+1,1))-AVERAGE(OFFSET($H$3,0,0,'Données projet'!$E$13+1,1))</f>
        <v>733.95677909788878</v>
      </c>
      <c r="CZ64" s="59">
        <f t="shared" si="42"/>
        <v>264.63778997972378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77.330886605583515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77.330886605583515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21.2</v>
      </c>
      <c r="N65" s="13">
        <f>IF('Données projet'!$A$36&gt;35,N64+M65-V64,IF(A65&lt;'Données projet'!$A$36,$K$205^A65,IF(A65='Données projet'!$A$36,'Données projet'!$B$36,N64+M65-V64)))</f>
        <v>726.4</v>
      </c>
      <c r="O65" s="13">
        <f>N65*VLOOKUP('Données projet'!$B$9,Paramètres!$A$1:$I$89,3,0)*VLOOKUP('Données projet'!$B$9,Paramètres!$A$1:$I$89,5,0)</f>
        <v>339.95519999999999</v>
      </c>
      <c r="P65" s="13">
        <f t="shared" si="33"/>
        <v>79.49069038716631</v>
      </c>
      <c r="Q65" s="20">
        <f t="shared" si="53"/>
        <v>730.53492575764778</v>
      </c>
      <c r="R65" s="59">
        <f t="shared" si="0"/>
        <v>1023.8682590909812</v>
      </c>
      <c r="S65" s="59">
        <f ca="1">AVERAGE(OFFSET($R$3,0,0,'Données projet'!$E$9+1,1))-AVERAGE(OFFSET($H$3,0,0,'Données projet'!$E$9+1,1))</f>
        <v>488.67934252295686</v>
      </c>
      <c r="T65" s="59">
        <f t="shared" si="34"/>
        <v>424.50324471331095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110.95804365964439</v>
      </c>
      <c r="AA65" s="21">
        <f>EXP(-LN(2)/25)*AA64+(1-EXP(-LN(2)/25))/(LN(2)/25)*Calculateur!V65*Calculateur!X65*VLOOKUP('Données projet'!$B$9,Paramètres!$A$1:$I$89,3,0)*0.475*44/12</f>
        <v>20.172760099534116</v>
      </c>
      <c r="AB65" s="21">
        <f>EXP(-LN(2)/2)*AB64+(1-EXP(-LN(2)/2))/(LN(2)/2)*V65*Y65*VLOOKUP('Données projet'!$B$9,Paramètres!$A$1:$I$89,3,0)*0.475*44/12</f>
        <v>1.2380767367781121E-5</v>
      </c>
      <c r="AC65" s="22">
        <f t="shared" si="3"/>
        <v>131.13081613994586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15.6</v>
      </c>
      <c r="AI65" s="13">
        <f>IF('Données projet'!$A$62&gt;35,AI64+AH65-AQ64,IF(A65&lt;'Données projet'!$A$62,$AF$205^A65,IF(A65='Données projet'!$A$62,'Données projet'!$B$62,AI64+AH65-AQ64)))</f>
        <v>580.20000000000027</v>
      </c>
      <c r="AJ65" s="13">
        <f>AI65*VLOOKUP('Données projet'!$B$10,Paramètres!$A$1:$I$89,3,0)*VLOOKUP('Données projet'!$B$10,Paramètres!$A$1:$I$89,5,0)</f>
        <v>346.95960000000014</v>
      </c>
      <c r="AK65" s="13">
        <f t="shared" si="35"/>
        <v>80.936143758770243</v>
      </c>
      <c r="AL65" s="20">
        <f t="shared" si="4"/>
        <v>745.25175371319165</v>
      </c>
      <c r="AM65" s="59">
        <f t="shared" si="5"/>
        <v>1038.5850870465249</v>
      </c>
      <c r="AN65" s="59">
        <f ca="1">AVERAGE(OFFSET($AM$3,0,0,'Données projet'!$E$10+1,1))-AVERAGE(OFFSET($H$3,0,0,'Données projet'!$E$10+1,1))</f>
        <v>504.81063008331739</v>
      </c>
      <c r="AO65" s="59">
        <f t="shared" si="36"/>
        <v>441.82647565372287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85.301929071726462</v>
      </c>
      <c r="AV65" s="21">
        <f>EXP(-LN(2)/25)*AV64+(1-EXP(-LN(2)/25))/(LN(2)/25)*Calculateur!AQ65*Calculateur!AS65*VLOOKUP('Données projet'!$B$10,Paramètres!$A$1:$I$89,3,0)*0.475*44/12</f>
        <v>24.246204918170413</v>
      </c>
      <c r="AW65" s="21">
        <f>EXP(-LN(2)/2)*AW64+(1-EXP(-LN(2)/2))/(LN(2)/2)*AQ65*AT65*VLOOKUP('Données projet'!$B$10,Paramètres!$A$1:$I$89,3,0)*0.475*44/12</f>
        <v>7.9902406717133618E-7</v>
      </c>
      <c r="AX65" s="21">
        <f t="shared" si="6"/>
        <v>109.54813478892095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241.79999999999984</v>
      </c>
      <c r="BE65" s="13">
        <f>BD65*VLOOKUP('Données projet'!$B$11,Paramètres!$A$1:$I$89,3,0)*VLOOKUP('Données projet'!$B$11,Paramètres!$A$1:$I$89,5,0)</f>
        <v>211.23647999999989</v>
      </c>
      <c r="BF65" s="13">
        <f t="shared" si="37"/>
        <v>52.205695296687686</v>
      </c>
      <c r="BG65" s="20">
        <f t="shared" si="7"/>
        <v>458.82845530839751</v>
      </c>
      <c r="BH65" s="59">
        <f t="shared" si="8"/>
        <v>752.16178864173082</v>
      </c>
      <c r="BI65" s="59">
        <f ca="1">AVERAGE(OFFSET($BH$3,0,0,'Données projet'!$E$11+1,1))-AVERAGE(OFFSET($H$3,0,0,'Données projet'!$E$11+1,1))</f>
        <v>324.86930206492627</v>
      </c>
      <c r="BJ65" s="59">
        <f t="shared" si="38"/>
        <v>317.03005098025352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44.264439876065246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44.264439876065246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8.8000000000000007</v>
      </c>
      <c r="BY65" s="12">
        <f>IF('Données projet'!$A$114&gt;35,BY64+BX65-CG64,IF(A65&lt;'Données projet'!$A$114,$BV$205^A65,IF(A65='Données projet'!$A$114,'Données projet'!$B$114,BY64+BX65-CG64)))</f>
        <v>262.59999999999997</v>
      </c>
      <c r="BZ65" s="13">
        <f>BY65*VLOOKUP('Données projet'!$B$12,Paramètres!$A$1:$I$89,3,0)*VLOOKUP('Données projet'!$B$12,Paramètres!$A$1:$I$89,5,0)</f>
        <v>266.27640000000002</v>
      </c>
      <c r="CA65" s="13">
        <f t="shared" si="39"/>
        <v>64.058389829439747</v>
      </c>
      <c r="CB65" s="20">
        <f t="shared" si="10"/>
        <v>575.33309228627434</v>
      </c>
      <c r="CC65" s="59">
        <f t="shared" si="11"/>
        <v>868.66642561960771</v>
      </c>
      <c r="CD65" s="59">
        <f ca="1">AVERAGE(OFFSET($CC$3,0,0,'Données projet'!$E$12+1,1))-AVERAGE(OFFSET($H$3,0,0,'Données projet'!$E$12+1,1))</f>
        <v>487.18832528146936</v>
      </c>
      <c r="CE65" s="59">
        <f t="shared" si="40"/>
        <v>306.61893266146666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61.637039115197183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61.637039115197183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13.062500000000007</v>
      </c>
      <c r="CT65" s="12">
        <f>IF('Données projet'!$A$140&gt;35,CT64+CS65-DB64,IF(A65&lt;'Données projet'!$A$140,$CQ$205^A65,IF(A65='Données projet'!$A$140,'Données projet'!$B$140,CT64+CS65-DB64)))</f>
        <v>336.67000000000007</v>
      </c>
      <c r="CU65" s="17">
        <f>CT65*VLOOKUP('Données projet'!$B$13,Paramètres!$A$1:$I$89,3,0)*VLOOKUP('Données projet'!$B$13,Paramètres!$A$1:$I$89,5,0)</f>
        <v>320.37517200000008</v>
      </c>
      <c r="CV65" s="13">
        <f t="shared" si="41"/>
        <v>75.43141016951941</v>
      </c>
      <c r="CW65" s="20">
        <f t="shared" si="13"/>
        <v>689.36313061191311</v>
      </c>
      <c r="CX65" s="59">
        <f t="shared" si="14"/>
        <v>982.69646394524648</v>
      </c>
      <c r="CY65" s="59">
        <f ca="1">AVERAGE(OFFSET($CX$3,0,0,'Données projet'!$E$13+1,1))-AVERAGE(OFFSET($H$3,0,0,'Données projet'!$E$13+1,1))</f>
        <v>733.95677909788878</v>
      </c>
      <c r="CZ65" s="59">
        <f t="shared" si="42"/>
        <v>264.63778997972378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75.814475086431486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75.814475086431486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21.2</v>
      </c>
      <c r="N66" s="13">
        <f>IF('Données projet'!$A$36&gt;35,N65+M66-V65,IF(A66&lt;'Données projet'!$A$36,$K$205^A66,IF(A66='Données projet'!$A$36,'Données projet'!$B$36,N65+M66-V65)))</f>
        <v>747.6</v>
      </c>
      <c r="O66" s="13">
        <f>N66*VLOOKUP('Données projet'!$B$9,Paramètres!$A$1:$I$89,3,0)*VLOOKUP('Données projet'!$B$9,Paramètres!$A$1:$I$89,5,0)</f>
        <v>349.87680000000006</v>
      </c>
      <c r="P66" s="13">
        <f t="shared" si="33"/>
        <v>81.537142558789228</v>
      </c>
      <c r="Q66" s="20">
        <f t="shared" si="53"/>
        <v>751.3792832898913</v>
      </c>
      <c r="R66" s="59">
        <f t="shared" si="0"/>
        <v>1044.7126166232247</v>
      </c>
      <c r="S66" s="59">
        <f ca="1">AVERAGE(OFFSET($R$3,0,0,'Données projet'!$E$9+1,1))-AVERAGE(OFFSET($H$3,0,0,'Données projet'!$E$9+1,1))</f>
        <v>488.67934252295686</v>
      </c>
      <c r="T66" s="59">
        <f t="shared" si="34"/>
        <v>424.50324471331095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108.78222410120277</v>
      </c>
      <c r="AA66" s="21">
        <f>EXP(-LN(2)/25)*AA65+(1-EXP(-LN(2)/25))/(LN(2)/25)*Calculateur!V66*Calculateur!X66*VLOOKUP('Données projet'!$B$9,Paramètres!$A$1:$I$89,3,0)*0.475*44/12</f>
        <v>19.621134913773009</v>
      </c>
      <c r="AB66" s="21">
        <f>EXP(-LN(2)/2)*AB65+(1-EXP(-LN(2)/2))/(LN(2)/2)*V66*Y66*VLOOKUP('Données projet'!$B$9,Paramètres!$A$1:$I$89,3,0)*0.475*44/12</f>
        <v>8.7545245620511529E-6</v>
      </c>
      <c r="AC66" s="22">
        <f t="shared" si="3"/>
        <v>128.40336776950036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15.6</v>
      </c>
      <c r="AI66" s="13">
        <f>IF('Données projet'!$A$62&gt;35,AI65+AH66-AQ65,IF(A66&lt;'Données projet'!$A$62,$AF$205^A66,IF(A66='Données projet'!$A$62,'Données projet'!$B$62,AI65+AH66-AQ65)))</f>
        <v>595.8000000000003</v>
      </c>
      <c r="AJ66" s="13">
        <f>AI66*VLOOKUP('Données projet'!$B$10,Paramètres!$A$1:$I$89,3,0)*VLOOKUP('Données projet'!$B$10,Paramètres!$A$1:$I$89,5,0)</f>
        <v>356.28840000000019</v>
      </c>
      <c r="AK66" s="13">
        <f t="shared" si="35"/>
        <v>82.856013090111389</v>
      </c>
      <c r="AL66" s="20">
        <f t="shared" si="4"/>
        <v>764.84318613194444</v>
      </c>
      <c r="AM66" s="59">
        <f t="shared" si="5"/>
        <v>1058.1765194652778</v>
      </c>
      <c r="AN66" s="59">
        <f ca="1">AVERAGE(OFFSET($AM$3,0,0,'Données projet'!$E$10+1,1))-AVERAGE(OFFSET($H$3,0,0,'Données projet'!$E$10+1,1))</f>
        <v>504.81063008331739</v>
      </c>
      <c r="AO66" s="59">
        <f t="shared" si="36"/>
        <v>441.82647565372287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83.629210271669194</v>
      </c>
      <c r="AV66" s="21">
        <f>EXP(-LN(2)/25)*AV65+(1-EXP(-LN(2)/25))/(LN(2)/25)*Calculateur!AQ66*Calculateur!AS66*VLOOKUP('Données projet'!$B$10,Paramètres!$A$1:$I$89,3,0)*0.475*44/12</f>
        <v>23.583191169630542</v>
      </c>
      <c r="AW66" s="21">
        <f>EXP(-LN(2)/2)*AW65+(1-EXP(-LN(2)/2))/(LN(2)/2)*AQ66*AT66*VLOOKUP('Données projet'!$B$10,Paramètres!$A$1:$I$89,3,0)*0.475*44/12</f>
        <v>5.6499533622810726E-7</v>
      </c>
      <c r="AX66" s="21">
        <f t="shared" si="6"/>
        <v>107.21240200629506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246.19999999999985</v>
      </c>
      <c r="BE66" s="13">
        <f>BD66*VLOOKUP('Données projet'!$B$11,Paramètres!$A$1:$I$89,3,0)*VLOOKUP('Données projet'!$B$11,Paramètres!$A$1:$I$89,5,0)</f>
        <v>215.08031999999989</v>
      </c>
      <c r="BF66" s="13">
        <f t="shared" si="37"/>
        <v>53.044214230061456</v>
      </c>
      <c r="BG66" s="20">
        <f t="shared" si="7"/>
        <v>466.98356378402349</v>
      </c>
      <c r="BH66" s="59">
        <f t="shared" si="8"/>
        <v>760.3168971173568</v>
      </c>
      <c r="BI66" s="59">
        <f ca="1">AVERAGE(OFFSET($BH$3,0,0,'Données projet'!$E$11+1,1))-AVERAGE(OFFSET($H$3,0,0,'Données projet'!$E$11+1,1))</f>
        <v>324.86930206492627</v>
      </c>
      <c r="BJ66" s="59">
        <f t="shared" si="38"/>
        <v>317.03005098025352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43.39644120873804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43.39644120873804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8.8000000000000007</v>
      </c>
      <c r="BY66" s="12">
        <f>IF('Données projet'!$A$114&gt;35,BY65+BX66-CG65,IF(A66&lt;'Données projet'!$A$114,$BV$205^A66,IF(A66='Données projet'!$A$114,'Données projet'!$B$114,BY65+BX66-CG65)))</f>
        <v>271.39999999999998</v>
      </c>
      <c r="BZ66" s="13">
        <f>BY66*VLOOKUP('Données projet'!$B$12,Paramètres!$A$1:$I$89,3,0)*VLOOKUP('Données projet'!$B$12,Paramètres!$A$1:$I$89,5,0)</f>
        <v>275.19960000000003</v>
      </c>
      <c r="CA66" s="13">
        <f t="shared" si="39"/>
        <v>65.951527620662617</v>
      </c>
      <c r="CB66" s="20">
        <f t="shared" si="10"/>
        <v>594.17154727265404</v>
      </c>
      <c r="CC66" s="59">
        <f t="shared" si="11"/>
        <v>887.50488060598741</v>
      </c>
      <c r="CD66" s="59">
        <f ca="1">AVERAGE(OFFSET($CC$3,0,0,'Données projet'!$E$12+1,1))-AVERAGE(OFFSET($H$3,0,0,'Données projet'!$E$12+1,1))</f>
        <v>487.18832528146936</v>
      </c>
      <c r="CE66" s="59">
        <f t="shared" si="40"/>
        <v>306.61893266146666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60.42837437302984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60.42837437302984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13.062500000000007</v>
      </c>
      <c r="CT66" s="12">
        <f>IF('Données projet'!$A$140&gt;35,CT65+CS66-DB65,IF(A66&lt;'Données projet'!$A$140,$CQ$205^A66,IF(A66='Données projet'!$A$140,'Données projet'!$B$140,CT65+CS66-DB65)))</f>
        <v>349.73250000000007</v>
      </c>
      <c r="CU66" s="17">
        <f>CT66*VLOOKUP('Données projet'!$B$13,Paramètres!$A$1:$I$89,3,0)*VLOOKUP('Données projet'!$B$13,Paramètres!$A$1:$I$89,5,0)</f>
        <v>332.80544700000007</v>
      </c>
      <c r="CV66" s="13">
        <f t="shared" si="41"/>
        <v>78.011661034212906</v>
      </c>
      <c r="CW66" s="20">
        <f t="shared" si="13"/>
        <v>715.50646315958772</v>
      </c>
      <c r="CX66" s="59">
        <f t="shared" si="14"/>
        <v>1008.8397964929211</v>
      </c>
      <c r="CY66" s="59">
        <f ca="1">AVERAGE(OFFSET($CX$3,0,0,'Données projet'!$E$13+1,1))-AVERAGE(OFFSET($H$3,0,0,'Données projet'!$E$13+1,1))</f>
        <v>733.95677909788878</v>
      </c>
      <c r="CZ66" s="59">
        <f t="shared" si="42"/>
        <v>264.63778997972378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74.327799472250319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74.327799472250319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21.2</v>
      </c>
      <c r="N67" s="13">
        <f>IF('Données projet'!$A$36&gt;35,N66+M67-V66,IF(A67&lt;'Données projet'!$A$36,$K$205^A67,IF(A67='Données projet'!$A$36,'Données projet'!$B$36,N66+M67-V66)))</f>
        <v>768.80000000000007</v>
      </c>
      <c r="O67" s="13">
        <f>N67*VLOOKUP('Données projet'!$B$9,Paramètres!$A$1:$I$89,3,0)*VLOOKUP('Données projet'!$B$9,Paramètres!$A$1:$I$89,5,0)</f>
        <v>359.79840000000007</v>
      </c>
      <c r="P67" s="13">
        <f t="shared" si="33"/>
        <v>83.576849976748889</v>
      </c>
      <c r="Q67" s="20">
        <f t="shared" ref="Q67:Q98" si="54">(O67+P67)*0.475*44/12</f>
        <v>772.21189370950435</v>
      </c>
      <c r="R67" s="59">
        <f t="shared" ref="R67:R130" si="55">Q67+(I67+J67)*44/12</f>
        <v>1065.5452270428377</v>
      </c>
      <c r="S67" s="59">
        <f ca="1">AVERAGE(OFFSET($R$3,0,0,'Données projet'!$E$9+1,1))-AVERAGE(OFFSET($H$3,0,0,'Données projet'!$E$9+1,1))</f>
        <v>488.67934252295686</v>
      </c>
      <c r="T67" s="59">
        <f t="shared" si="34"/>
        <v>424.50324471331095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106.6490710371833</v>
      </c>
      <c r="AA67" s="21">
        <f>EXP(-LN(2)/25)*AA66+(1-EXP(-LN(2)/25))/(LN(2)/25)*Calculateur!V67*Calculateur!X67*VLOOKUP('Données projet'!$B$9,Paramètres!$A$1:$I$89,3,0)*0.475*44/12</f>
        <v>19.084593947725246</v>
      </c>
      <c r="AB67" s="21">
        <f>EXP(-LN(2)/2)*AB66+(1-EXP(-LN(2)/2))/(LN(2)/2)*V67*Y67*VLOOKUP('Données projet'!$B$9,Paramètres!$A$1:$I$89,3,0)*0.475*44/12</f>
        <v>6.1903836838905605E-6</v>
      </c>
      <c r="AC67" s="22">
        <f t="shared" si="3"/>
        <v>125.73367117529224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15.6</v>
      </c>
      <c r="AI67" s="13">
        <f>IF('Données projet'!$A$62&gt;35,AI66+AH67-AQ66,IF(A67&lt;'Données projet'!$A$62,$AF$205^A67,IF(A67='Données projet'!$A$62,'Données projet'!$B$62,AI66+AH67-AQ66)))</f>
        <v>611.40000000000032</v>
      </c>
      <c r="AJ67" s="13">
        <f>AI67*VLOOKUP('Données projet'!$B$10,Paramètres!$A$1:$I$89,3,0)*VLOOKUP('Données projet'!$B$10,Paramètres!$A$1:$I$89,5,0)</f>
        <v>365.6172000000002</v>
      </c>
      <c r="AK67" s="13">
        <f t="shared" si="35"/>
        <v>84.770039372098395</v>
      </c>
      <c r="AL67" s="20">
        <f t="shared" si="4"/>
        <v>784.42444190640492</v>
      </c>
      <c r="AM67" s="59">
        <f t="shared" si="5"/>
        <v>1077.7577752397383</v>
      </c>
      <c r="AN67" s="59">
        <f ca="1">AVERAGE(OFFSET($AM$3,0,0,'Données projet'!$E$10+1,1))-AVERAGE(OFFSET($H$3,0,0,'Données projet'!$E$10+1,1))</f>
        <v>504.81063008331739</v>
      </c>
      <c r="AO67" s="59">
        <f t="shared" si="36"/>
        <v>441.82647565372287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81.989292467023333</v>
      </c>
      <c r="AV67" s="21">
        <f>EXP(-LN(2)/25)*AV66+(1-EXP(-LN(2)/25))/(LN(2)/25)*Calculateur!AQ67*Calculateur!AS67*VLOOKUP('Données projet'!$B$10,Paramètres!$A$1:$I$89,3,0)*0.475*44/12</f>
        <v>22.938307566910872</v>
      </c>
      <c r="AW67" s="21">
        <f>EXP(-LN(2)/2)*AW66+(1-EXP(-LN(2)/2))/(LN(2)/2)*AQ67*AT67*VLOOKUP('Données projet'!$B$10,Paramètres!$A$1:$I$89,3,0)*0.475*44/12</f>
        <v>3.9951203358566809E-7</v>
      </c>
      <c r="AX67" s="21">
        <f t="shared" si="6"/>
        <v>104.92760043344623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250.59999999999985</v>
      </c>
      <c r="BE67" s="13">
        <f>BD67*VLOOKUP('Données projet'!$B$11,Paramètres!$A$1:$I$89,3,0)*VLOOKUP('Données projet'!$B$11,Paramètres!$A$1:$I$89,5,0)</f>
        <v>218.92415999999989</v>
      </c>
      <c r="BF67" s="13">
        <f t="shared" si="37"/>
        <v>53.880990541091087</v>
      </c>
      <c r="BG67" s="20">
        <f t="shared" si="7"/>
        <v>475.13563719240005</v>
      </c>
      <c r="BH67" s="59">
        <f t="shared" si="8"/>
        <v>768.46897052573331</v>
      </c>
      <c r="BI67" s="59">
        <f ca="1">AVERAGE(OFFSET($BH$3,0,0,'Données projet'!$E$11+1,1))-AVERAGE(OFFSET($H$3,0,0,'Données projet'!$E$11+1,1))</f>
        <v>324.86930206492627</v>
      </c>
      <c r="BJ67" s="59">
        <f t="shared" si="38"/>
        <v>317.03005098025352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42.545463465850204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42.545463465850204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8.8000000000000007</v>
      </c>
      <c r="BY67" s="12">
        <f>IF('Données projet'!$A$114&gt;35,BY66+BX67-CG66,IF(A67&lt;'Données projet'!$A$114,$BV$205^A67,IF(A67='Données projet'!$A$114,'Données projet'!$B$114,BY66+BX67-CG66)))</f>
        <v>280.2</v>
      </c>
      <c r="BZ67" s="13">
        <f>BY67*VLOOKUP('Données projet'!$B$12,Paramètres!$A$1:$I$89,3,0)*VLOOKUP('Données projet'!$B$12,Paramètres!$A$1:$I$89,5,0)</f>
        <v>284.12279999999998</v>
      </c>
      <c r="CA67" s="13">
        <f t="shared" si="39"/>
        <v>67.837532462585557</v>
      </c>
      <c r="CB67" s="20">
        <f t="shared" si="10"/>
        <v>612.99757903900309</v>
      </c>
      <c r="CC67" s="59">
        <f t="shared" si="11"/>
        <v>906.33091237233634</v>
      </c>
      <c r="CD67" s="59">
        <f ca="1">AVERAGE(OFFSET($CC$3,0,0,'Données projet'!$E$12+1,1))-AVERAGE(OFFSET($H$3,0,0,'Données projet'!$E$12+1,1))</f>
        <v>487.18832528146936</v>
      </c>
      <c r="CE67" s="59">
        <f t="shared" si="40"/>
        <v>306.61893266146666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59.243410809243699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59.243410809243699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13.062500000000007</v>
      </c>
      <c r="CT67" s="12">
        <f>IF('Données projet'!$A$140&gt;35,CT66+CS67-DB66,IF(A67&lt;'Données projet'!$A$140,$CQ$205^A67,IF(A67='Données projet'!$A$140,'Données projet'!$B$140,CT66+CS67-DB66)))</f>
        <v>362.79500000000007</v>
      </c>
      <c r="CU67" s="17">
        <f>CT67*VLOOKUP('Données projet'!$B$13,Paramètres!$A$1:$I$89,3,0)*VLOOKUP('Données projet'!$B$13,Paramètres!$A$1:$I$89,5,0)</f>
        <v>345.23572200000007</v>
      </c>
      <c r="CV67" s="13">
        <f t="shared" si="41"/>
        <v>80.580715762556764</v>
      </c>
      <c r="CW67" s="20">
        <f t="shared" si="13"/>
        <v>741.63029576978636</v>
      </c>
      <c r="CX67" s="59">
        <f t="shared" si="14"/>
        <v>1034.9636291031197</v>
      </c>
      <c r="CY67" s="59">
        <f ca="1">AVERAGE(OFFSET($CX$3,0,0,'Données projet'!$E$13+1,1))-AVERAGE(OFFSET($H$3,0,0,'Données projet'!$E$13+1,1))</f>
        <v>733.95677909788878</v>
      </c>
      <c r="CZ67" s="59">
        <f t="shared" si="42"/>
        <v>264.63778997972378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72.870276660080663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72.870276660080663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790</v>
      </c>
      <c r="L68" s="12">
        <f>VLOOKUP(A68,'Données projet'!$A$35:$I$55,9,0)</f>
        <v>21.2</v>
      </c>
      <c r="M68" s="12">
        <f t="array" ref="M68">INDEX(L:L,MIN(IF(ISNUMBER(L68:L264),ROW(L68:L264),"")))</f>
        <v>21.2</v>
      </c>
      <c r="N68" s="13">
        <f>IF('Données projet'!$A$36&gt;35,N67+M68-V67,IF(A68&lt;'Données projet'!$A$36,$K$205^A68,IF(A68='Données projet'!$A$36,'Données projet'!$B$36,N67+M68-V67)))</f>
        <v>790.00000000000011</v>
      </c>
      <c r="O68" s="13">
        <f>N68*VLOOKUP('Données projet'!$B$9,Paramètres!$A$1:$I$89,3,0)*VLOOKUP('Données projet'!$B$9,Paramètres!$A$1:$I$89,5,0)</f>
        <v>369.72000000000008</v>
      </c>
      <c r="P68" s="13">
        <f t="shared" si="33"/>
        <v>85.610020000143891</v>
      </c>
      <c r="Q68" s="20">
        <f t="shared" si="54"/>
        <v>793.03311816691746</v>
      </c>
      <c r="R68" s="59">
        <f t="shared" si="55"/>
        <v>1086.3664515002508</v>
      </c>
      <c r="S68" s="59">
        <f ca="1">AVERAGE(OFFSET($R$3,0,0,'Données projet'!$E$9+1,1))-AVERAGE(OFFSET($H$3,0,0,'Données projet'!$E$9+1,1))</f>
        <v>488.67934252295686</v>
      </c>
      <c r="T68" s="59">
        <f t="shared" si="34"/>
        <v>424.50324471331095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56</v>
      </c>
      <c r="W68" s="16">
        <f>IF(ISNA(VLOOKUP(A68,'Données projet'!$A$35:$I$55,5,0)),0%,VLOOKUP(A68,'Données projet'!$A$35:$I$55,5,0)*VLOOKUP('Données projet'!$B$9,Paramètres!$A$1:$I$89,7,0))</f>
        <v>0.55000000000000004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123.67937849014207</v>
      </c>
      <c r="AA68" s="21">
        <f>EXP(-LN(2)/25)*AA67+(1-EXP(-LN(2)/25))/(LN(2)/25)*Calculateur!V68*Calculateur!X68*VLOOKUP('Données projet'!$B$9,Paramètres!$A$1:$I$89,3,0)*0.475*44/12</f>
        <v>18.56272472260952</v>
      </c>
      <c r="AB68" s="21">
        <f>EXP(-LN(2)/2)*AB67+(1-EXP(-LN(2)/2))/(LN(2)/2)*V68*Y68*VLOOKUP('Données projet'!$B$9,Paramètres!$A$1:$I$89,3,0)*0.475*44/12</f>
        <v>4.3772622810255764E-6</v>
      </c>
      <c r="AC68" s="22">
        <f t="shared" ref="AC68:AC131" si="57">SUM(Z68:AB68)</f>
        <v>142.24210759001389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627</v>
      </c>
      <c r="AG68" s="12">
        <f>VLOOKUP(A68,'Données projet'!$A$61:$I$81,9,0)</f>
        <v>15.6</v>
      </c>
      <c r="AH68" s="12">
        <f t="array" ref="AH68">INDEX(AG:AG,MIN(IF(ISNUMBER(AG68:AG264),ROW(AG68:AG264),"")))</f>
        <v>15.6</v>
      </c>
      <c r="AI68" s="13">
        <f>IF('Données projet'!$A$62&gt;35,AI67+AH68-AQ67,IF(A68&lt;'Données projet'!$A$62,$AF$205^A68,IF(A68='Données projet'!$A$62,'Données projet'!$B$62,AI67+AH68-AQ67)))</f>
        <v>627.00000000000034</v>
      </c>
      <c r="AJ68" s="13">
        <f>AI68*VLOOKUP('Données projet'!$B$10,Paramètres!$A$1:$I$89,3,0)*VLOOKUP('Données projet'!$B$10,Paramètres!$A$1:$I$89,5,0)</f>
        <v>374.94600000000025</v>
      </c>
      <c r="AK68" s="13">
        <f t="shared" si="35"/>
        <v>86.678388834633466</v>
      </c>
      <c r="AL68" s="20">
        <f t="shared" ref="AL68:AL131" si="58">(AJ68+AK68)*0.475*44/12</f>
        <v>803.99581055365354</v>
      </c>
      <c r="AM68" s="59">
        <f t="shared" ref="AM68:AM131" si="59">AL68+(AD68+AE68)*44/12</f>
        <v>1097.3291438869869</v>
      </c>
      <c r="AN68" s="59">
        <f ca="1">AVERAGE(OFFSET($AM$3,0,0,'Données projet'!$E$10+1,1))-AVERAGE(OFFSET($H$3,0,0,'Données projet'!$E$10+1,1))</f>
        <v>504.81063008331739</v>
      </c>
      <c r="AO68" s="59">
        <f t="shared" si="36"/>
        <v>441.82647565372287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34</v>
      </c>
      <c r="AR68" s="16">
        <f>IF(ISNA(VLOOKUP(A68,'Données projet'!$A$61:$I$81,5,0)),0%,VLOOKUP(A68,'Données projet'!$A$61:$I$81,5,0)*VLOOKUP('Données projet'!$B$10,Paramètres!$A$1:$I$89,7,0))</f>
        <v>0.45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92.518801278874008</v>
      </c>
      <c r="AV68" s="21">
        <f>EXP(-LN(2)/25)*AV67+(1-EXP(-LN(2)/25))/(LN(2)/25)*Calculateur!AQ68*Calculateur!AS68*VLOOKUP('Données projet'!$B$10,Paramètres!$A$1:$I$89,3,0)*0.475*44/12</f>
        <v>22.311058340220526</v>
      </c>
      <c r="AW68" s="21">
        <f>EXP(-LN(2)/2)*AW67+(1-EXP(-LN(2)/2))/(LN(2)/2)*AQ68*AT68*VLOOKUP('Données projet'!$B$10,Paramètres!$A$1:$I$89,3,0)*0.475*44/12</f>
        <v>2.8249766811405363E-7</v>
      </c>
      <c r="AX68" s="21">
        <f t="shared" ref="AX68:AX131" si="60">SUM(AU68:AW68)</f>
        <v>114.8298599015922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254.99999999999986</v>
      </c>
      <c r="BE68" s="13">
        <f>BD68*VLOOKUP('Données projet'!$B$11,Paramètres!$A$1:$I$89,3,0)*VLOOKUP('Données projet'!$B$11,Paramètres!$A$1:$I$89,5,0)</f>
        <v>222.76799999999989</v>
      </c>
      <c r="BF68" s="13">
        <f t="shared" si="37"/>
        <v>54.716058356609459</v>
      </c>
      <c r="BG68" s="20">
        <f t="shared" ref="BG68:BG131" si="61">(BE68+BF68)*0.475*44/12</f>
        <v>483.28473497109462</v>
      </c>
      <c r="BH68" s="59">
        <f t="shared" ref="BH68:BH131" si="62">BG68+(AY68+AZ68)*44/12</f>
        <v>776.61806830442788</v>
      </c>
      <c r="BI68" s="59">
        <f ca="1">AVERAGE(OFFSET($BH$3,0,0,'Données projet'!$E$11+1,1))-AVERAGE(OFFSET($H$3,0,0,'Données projet'!$E$11+1,1))</f>
        <v>324.86930206492627</v>
      </c>
      <c r="BJ68" s="59">
        <f t="shared" si="38"/>
        <v>317.03005098025352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47.341430801809942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47.341430801809942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289</v>
      </c>
      <c r="BW68" s="12">
        <f>VLOOKUP(A68,'Données projet'!$A$113:$I$133,9,0)</f>
        <v>8.8000000000000007</v>
      </c>
      <c r="BX68" s="12">
        <f t="array" ref="BX68">INDEX(BW:BW,MIN(IF(ISNUMBER(BW68:BW264),ROW(BW68:BW264),"")))</f>
        <v>8.8000000000000007</v>
      </c>
      <c r="BY68" s="12">
        <f>IF('Données projet'!$A$114&gt;35,BY67+BX68-CG67,IF(A68&lt;'Données projet'!$A$114,$BV$205^A68,IF(A68='Données projet'!$A$114,'Données projet'!$B$114,BY67+BX68-CG67)))</f>
        <v>289</v>
      </c>
      <c r="BZ68" s="13">
        <f>BY68*VLOOKUP('Données projet'!$B$12,Paramètres!$A$1:$I$89,3,0)*VLOOKUP('Données projet'!$B$12,Paramètres!$A$1:$I$89,5,0)</f>
        <v>293.04599999999999</v>
      </c>
      <c r="CA68" s="13">
        <f t="shared" si="39"/>
        <v>69.716654076072615</v>
      </c>
      <c r="CB68" s="20">
        <f t="shared" ref="CB68:CB131" si="64">(BZ68+CA68)*0.475*44/12</f>
        <v>631.81162251582646</v>
      </c>
      <c r="CC68" s="59">
        <f t="shared" ref="CC68:CC131" si="65">CB68+(BT68+BU68)*44/12</f>
        <v>925.14495584915971</v>
      </c>
      <c r="CD68" s="59">
        <f ca="1">AVERAGE(OFFSET($CC$3,0,0,'Données projet'!$E$12+1,1))-AVERAGE(OFFSET($H$3,0,0,'Données projet'!$E$12+1,1))</f>
        <v>487.18832528146936</v>
      </c>
      <c r="CE68" s="59">
        <f t="shared" si="40"/>
        <v>306.61893266146666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28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71.577885114937786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71.577885114937786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13.062500000000007</v>
      </c>
      <c r="CT68" s="12">
        <f>IF('Données projet'!$A$140&gt;35,CT67+CS68-DB67,IF(A68&lt;'Données projet'!$A$140,$CQ$205^A68,IF(A68='Données projet'!$A$140,'Données projet'!$B$140,CT67+CS68-DB67)))</f>
        <v>375.85750000000007</v>
      </c>
      <c r="CU68" s="17">
        <f>CT68*VLOOKUP('Données projet'!$B$13,Paramètres!$A$1:$I$89,3,0)*VLOOKUP('Données projet'!$B$13,Paramètres!$A$1:$I$89,5,0)</f>
        <v>357.66599700000006</v>
      </c>
      <c r="CV68" s="13">
        <f t="shared" si="41"/>
        <v>83.139023652209147</v>
      </c>
      <c r="CW68" s="20">
        <f t="shared" ref="CW68:CW131" si="67">(CU68+CV68)*0.475*44/12</f>
        <v>767.73541096926454</v>
      </c>
      <c r="CX68" s="59">
        <f t="shared" ref="CX68:CX131" si="68">CW68+(CO68+CP68)*44/12</f>
        <v>1061.0687443025979</v>
      </c>
      <c r="CY68" s="59">
        <f ca="1">AVERAGE(OFFSET($CX$3,0,0,'Données projet'!$E$13+1,1))-AVERAGE(OFFSET($H$3,0,0,'Données projet'!$E$13+1,1))</f>
        <v>733.95677909788878</v>
      </c>
      <c r="CZ68" s="59">
        <f t="shared" si="42"/>
        <v>264.63778997972378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71.441334981256517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71.441334981256517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19.399999999999999</v>
      </c>
      <c r="N69" s="13">
        <f>IF('Données projet'!$A$36&gt;35,N68+M69-V68,IF(A69&lt;'Données projet'!$A$36,$K$205^A69,IF(A69='Données projet'!$A$36,'Données projet'!$B$36,N68+M69-V68)))</f>
        <v>753.40000000000009</v>
      </c>
      <c r="O69" s="13">
        <f>N69*VLOOKUP('Données projet'!$B$9,Paramètres!$A$1:$I$89,3,0)*VLOOKUP('Données projet'!$B$9,Paramètres!$A$1:$I$89,5,0)</f>
        <v>352.59120000000007</v>
      </c>
      <c r="P69" s="13">
        <f t="shared" ref="P69:P132" si="87">EXP(-1.0587+0.8836*LN(O69)+0.284)</f>
        <v>82.095836961982101</v>
      </c>
      <c r="Q69" s="20">
        <f t="shared" si="54"/>
        <v>757.07992270878549</v>
      </c>
      <c r="R69" s="59">
        <f t="shared" si="55"/>
        <v>1050.4132560421187</v>
      </c>
      <c r="S69" s="59">
        <f ca="1">AVERAGE(OFFSET($R$3,0,0,'Données projet'!$E$9+1,1))-AVERAGE(OFFSET($H$3,0,0,'Données projet'!$E$9+1,1))</f>
        <v>488.67934252295686</v>
      </c>
      <c r="T69" s="59">
        <f t="shared" ref="T69:T132" si="88">$T$3</f>
        <v>424.50324471331095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121.25410131492248</v>
      </c>
      <c r="AA69" s="21">
        <f>EXP(-LN(2)/25)*AA68+(1-EXP(-LN(2)/25))/(LN(2)/25)*Calculateur!V69*Calculateur!X69*VLOOKUP('Données projet'!$B$9,Paramètres!$A$1:$I$89,3,0)*0.475*44/12</f>
        <v>18.055126038898496</v>
      </c>
      <c r="AB69" s="21">
        <f>EXP(-LN(2)/2)*AB68+(1-EXP(-LN(2)/2))/(LN(2)/2)*V69*Y69*VLOOKUP('Données projet'!$B$9,Paramètres!$A$1:$I$89,3,0)*0.475*44/12</f>
        <v>3.0951918419452803E-6</v>
      </c>
      <c r="AC69" s="22">
        <f t="shared" si="57"/>
        <v>139.3092304490128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13.8</v>
      </c>
      <c r="AI69" s="13">
        <f>IF('Données projet'!$A$62&gt;35,AI68+AH69-AQ68,IF(A69&lt;'Données projet'!$A$62,$AF$205^A69,IF(A69='Données projet'!$A$62,'Données projet'!$B$62,AI68+AH69-AQ68)))</f>
        <v>606.8000000000003</v>
      </c>
      <c r="AJ69" s="13">
        <f>AI69*VLOOKUP('Données projet'!$B$10,Paramètres!$A$1:$I$89,3,0)*VLOOKUP('Données projet'!$B$10,Paramètres!$A$1:$I$89,5,0)</f>
        <v>362.86640000000023</v>
      </c>
      <c r="AK69" s="13">
        <f t="shared" ref="AK69:AK132" si="89">EXP(-1.0587+0.8836*LN(AJ69)+0.284)</f>
        <v>84.206244461628913</v>
      </c>
      <c r="AL69" s="20">
        <f t="shared" si="58"/>
        <v>778.65152243733735</v>
      </c>
      <c r="AM69" s="59">
        <f t="shared" si="59"/>
        <v>1071.9848557706707</v>
      </c>
      <c r="AN69" s="59">
        <f ca="1">AVERAGE(OFFSET($AM$3,0,0,'Données projet'!$E$10+1,1))-AVERAGE(OFFSET($H$3,0,0,'Données projet'!$E$10+1,1))</f>
        <v>504.81063008331739</v>
      </c>
      <c r="AO69" s="59">
        <f t="shared" ref="AO69:AO132" si="90">$AO$3</f>
        <v>441.82647565372287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90.704564016691975</v>
      </c>
      <c r="AV69" s="21">
        <f>EXP(-LN(2)/25)*AV68+(1-EXP(-LN(2)/25))/(LN(2)/25)*Calculateur!AQ69*Calculateur!AS69*VLOOKUP('Données projet'!$B$10,Paramètres!$A$1:$I$89,3,0)*0.475*44/12</f>
        <v>21.70096127661963</v>
      </c>
      <c r="AW69" s="21">
        <f>EXP(-LN(2)/2)*AW68+(1-EXP(-LN(2)/2))/(LN(2)/2)*AQ69*AT69*VLOOKUP('Données projet'!$B$10,Paramètres!$A$1:$I$89,3,0)*0.475*44/12</f>
        <v>1.9975601679283405E-7</v>
      </c>
      <c r="AX69" s="21">
        <f t="shared" si="60"/>
        <v>112.40552549306761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3.8</v>
      </c>
      <c r="BD69" s="12">
        <f>IF('Données projet'!$A$88&gt;35,BD68+BC69-BL68,IF(A69&lt;'Données projet'!$A$88,$BA$205^A69,IF(A69='Données projet'!$A$88,'Données projet'!$B$88,BD68+BC69-BL68)))</f>
        <v>247.79999999999984</v>
      </c>
      <c r="BE69" s="13">
        <f>BD69*VLOOKUP('Données projet'!$B$11,Paramètres!$A$1:$I$89,3,0)*VLOOKUP('Données projet'!$B$11,Paramètres!$A$1:$I$89,5,0)</f>
        <v>216.47807999999986</v>
      </c>
      <c r="BF69" s="13">
        <f t="shared" ref="BF69:BF132" si="91">EXP(-1.0587+0.8836*LN(BE69)+0.284)</f>
        <v>53.348696328338377</v>
      </c>
      <c r="BG69" s="20">
        <f t="shared" si="61"/>
        <v>469.94830210518904</v>
      </c>
      <c r="BH69" s="59">
        <f t="shared" si="62"/>
        <v>763.28163543852236</v>
      </c>
      <c r="BI69" s="59">
        <f ca="1">AVERAGE(OFFSET($BH$3,0,0,'Données projet'!$E$11+1,1))-AVERAGE(OFFSET($H$3,0,0,'Données projet'!$E$11+1,1))</f>
        <v>324.86930206492627</v>
      </c>
      <c r="BJ69" s="59">
        <f t="shared" ref="BJ69:BJ132" si="92">$BJ$3</f>
        <v>317.03005098025352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46.413094219208027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46.413094219208027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8.1999999999999993</v>
      </c>
      <c r="BY69" s="12">
        <f>IF('Données projet'!$A$114&gt;35,BY68+BX69-CG68,IF(A69&lt;'Données projet'!$A$114,$BV$205^A69,IF(A69='Données projet'!$A$114,'Données projet'!$B$114,BY68+BX69-CG68)))</f>
        <v>269.2</v>
      </c>
      <c r="BZ69" s="13">
        <f>BY69*VLOOKUP('Données projet'!$B$12,Paramètres!$A$1:$I$89,3,0)*VLOOKUP('Données projet'!$B$12,Paramètres!$A$1:$I$89,5,0)</f>
        <v>272.96879999999999</v>
      </c>
      <c r="CA69" s="13">
        <f t="shared" ref="CA69:CA132" si="93">EXP(-1.0587+0.8836*LN(BZ69)+0.284)</f>
        <v>65.478922017818945</v>
      </c>
      <c r="CB69" s="20">
        <f t="shared" si="64"/>
        <v>589.46311584770126</v>
      </c>
      <c r="CC69" s="59">
        <f t="shared" si="65"/>
        <v>882.79644918103463</v>
      </c>
      <c r="CD69" s="59">
        <f ca="1">AVERAGE(OFFSET($CC$3,0,0,'Données projet'!$E$12+1,1))-AVERAGE(OFFSET($H$3,0,0,'Données projet'!$E$12+1,1))</f>
        <v>487.18832528146936</v>
      </c>
      <c r="CE69" s="59">
        <f t="shared" ref="CE69:CE132" si="94">$CE$3</f>
        <v>306.61893266146666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70.17428644603288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70.17428644603288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388.92</v>
      </c>
      <c r="CR69" s="12">
        <f>VLOOKUP(A69,'Données projet'!$A$139:$I$159,9,0)</f>
        <v>13.062500000000007</v>
      </c>
      <c r="CS69" s="12">
        <f t="array" ref="CS69">INDEX(CR:CR,MIN(IF(ISNUMBER(CR69:CR265),ROW(CR69:CR265),"")))</f>
        <v>13.062500000000007</v>
      </c>
      <c r="CT69" s="12">
        <f>IF('Données projet'!$A$140&gt;35,CT68+CS69-DB68,IF(A69&lt;'Données projet'!$A$140,$CQ$205^A69,IF(A69='Données projet'!$A$140,'Données projet'!$B$140,CT68+CS69-DB68)))</f>
        <v>388.92000000000007</v>
      </c>
      <c r="CU69" s="17">
        <f>CT69*VLOOKUP('Données projet'!$B$13,Paramètres!$A$1:$I$89,3,0)*VLOOKUP('Données projet'!$B$13,Paramètres!$A$1:$I$89,5,0)</f>
        <v>370.09627200000011</v>
      </c>
      <c r="CV69" s="13">
        <f t="shared" ref="CV69:CV132" si="95">EXP(-1.0587+0.8836*LN(CU69)+0.284)</f>
        <v>85.687001000126386</v>
      </c>
      <c r="CW69" s="20">
        <f t="shared" si="67"/>
        <v>793.82253380855354</v>
      </c>
      <c r="CX69" s="59">
        <f t="shared" si="68"/>
        <v>1087.1558671418868</v>
      </c>
      <c r="CY69" s="59">
        <f ca="1">AVERAGE(OFFSET($CX$3,0,0,'Données projet'!$E$13+1,1))-AVERAGE(OFFSET($H$3,0,0,'Données projet'!$E$13+1,1))</f>
        <v>733.95677909788878</v>
      </c>
      <c r="CZ69" s="59">
        <f t="shared" ref="CZ69:CZ132" si="96">$CZ$3</f>
        <v>264.63778997972378</v>
      </c>
      <c r="DA69" s="15">
        <f>IF(ISNA(VLOOKUP(A69,'Données projet'!$A$139:$I$159,3,0)),0,VLOOKUP(A69,'Données projet'!$A$139:$I$159,3,0))</f>
        <v>5</v>
      </c>
      <c r="DB69" s="15">
        <f>IF(ISNA(VLOOKUP(A69,'Données projet'!$A$139:$I$159,4,0)),0,VLOOKUP(A69,'Données projet'!$A$139:$I$159,4,0))</f>
        <v>71.34</v>
      </c>
      <c r="DC69" s="16">
        <f>IF(ISNA(VLOOKUP(A69,'Données projet'!$A$139:$I$159,5,0)),0%,VLOOKUP(A69,'Données projet'!$A$139:$I$159,5,0)*VLOOKUP('Données projet'!$B$13,Paramètres!$A$1:$I$89,7,0))</f>
        <v>0.43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102.31072151971361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102.31072151971361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19.399999999999999</v>
      </c>
      <c r="N70" s="13">
        <f>IF('Données projet'!$A$36&gt;35,N69+M70-V69,IF(A70&lt;'Données projet'!$A$36,$K$205^A70,IF(A70='Données projet'!$A$36,'Données projet'!$B$36,N69+M70-V69)))</f>
        <v>772.80000000000007</v>
      </c>
      <c r="O70" s="13">
        <f>N70*VLOOKUP('Données projet'!$B$9,Paramètres!$A$1:$I$89,3,0)*VLOOKUP('Données projet'!$B$9,Paramètres!$A$1:$I$89,5,0)</f>
        <v>361.67040000000003</v>
      </c>
      <c r="P70" s="13">
        <f t="shared" si="87"/>
        <v>83.96096124513258</v>
      </c>
      <c r="Q70" s="20">
        <f t="shared" si="54"/>
        <v>776.14128750193925</v>
      </c>
      <c r="R70" s="59">
        <f t="shared" si="55"/>
        <v>1069.4746208352726</v>
      </c>
      <c r="S70" s="59">
        <f ca="1">AVERAGE(OFFSET($R$3,0,0,'Données projet'!$E$9+1,1))-AVERAGE(OFFSET($H$3,0,0,'Données projet'!$E$9+1,1))</f>
        <v>488.67934252295686</v>
      </c>
      <c r="T70" s="59">
        <f t="shared" si="88"/>
        <v>424.50324471331095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118.87638234583594</v>
      </c>
      <c r="AA70" s="21">
        <f>EXP(-LN(2)/25)*AA69+(1-EXP(-LN(2)/25))/(LN(2)/25)*Calculateur!V70*Calculateur!X70*VLOOKUP('Données projet'!$B$9,Paramètres!$A$1:$I$89,3,0)*0.475*44/12</f>
        <v>17.561407667887003</v>
      </c>
      <c r="AB70" s="21">
        <f>EXP(-LN(2)/2)*AB69+(1-EXP(-LN(2)/2))/(LN(2)/2)*V70*Y70*VLOOKUP('Données projet'!$B$9,Paramètres!$A$1:$I$89,3,0)*0.475*44/12</f>
        <v>2.1886311405127882E-6</v>
      </c>
      <c r="AC70" s="22">
        <f t="shared" si="57"/>
        <v>136.43779220235407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13.8</v>
      </c>
      <c r="AI70" s="13">
        <f>IF('Données projet'!$A$62&gt;35,AI69+AH70-AQ69,IF(A70&lt;'Données projet'!$A$62,$AF$205^A70,IF(A70='Données projet'!$A$62,'Données projet'!$B$62,AI69+AH70-AQ69)))</f>
        <v>620.60000000000025</v>
      </c>
      <c r="AJ70" s="13">
        <f>AI70*VLOOKUP('Données projet'!$B$10,Paramètres!$A$1:$I$89,3,0)*VLOOKUP('Données projet'!$B$10,Paramètres!$A$1:$I$89,5,0)</f>
        <v>371.11880000000014</v>
      </c>
      <c r="AK70" s="13">
        <f t="shared" si="89"/>
        <v>85.896152691454745</v>
      </c>
      <c r="AL70" s="20">
        <f t="shared" si="58"/>
        <v>795.96770927095042</v>
      </c>
      <c r="AM70" s="59">
        <f t="shared" si="59"/>
        <v>1089.3010426042838</v>
      </c>
      <c r="AN70" s="59">
        <f ca="1">AVERAGE(OFFSET($AM$3,0,0,'Données projet'!$E$10+1,1))-AVERAGE(OFFSET($H$3,0,0,'Données projet'!$E$10+1,1))</f>
        <v>504.81063008331739</v>
      </c>
      <c r="AO70" s="59">
        <f t="shared" si="90"/>
        <v>441.82647565372287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88.925902840645875</v>
      </c>
      <c r="AV70" s="21">
        <f>EXP(-LN(2)/25)*AV69+(1-EXP(-LN(2)/25))/(LN(2)/25)*Calculateur!AQ70*Calculateur!AS70*VLOOKUP('Données projet'!$B$10,Paramètres!$A$1:$I$89,3,0)*0.475*44/12</f>
        <v>21.107547349306511</v>
      </c>
      <c r="AW70" s="21">
        <f>EXP(-LN(2)/2)*AW69+(1-EXP(-LN(2)/2))/(LN(2)/2)*AQ70*AT70*VLOOKUP('Données projet'!$B$10,Paramètres!$A$1:$I$89,3,0)*0.475*44/12</f>
        <v>1.4124883405702681E-7</v>
      </c>
      <c r="AX70" s="21">
        <f t="shared" si="60"/>
        <v>110.03345033120122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3.8</v>
      </c>
      <c r="BD70" s="12">
        <f>IF('Données projet'!$A$88&gt;35,BD69+BC70-BL69,IF(A70&lt;'Données projet'!$A$88,$BA$205^A70,IF(A70='Données projet'!$A$88,'Données projet'!$B$88,BD69+BC70-BL69)))</f>
        <v>251.59999999999985</v>
      </c>
      <c r="BE70" s="13">
        <f>BD70*VLOOKUP('Données projet'!$B$11,Paramètres!$A$1:$I$89,3,0)*VLOOKUP('Données projet'!$B$11,Paramètres!$A$1:$I$89,5,0)</f>
        <v>219.7977599999999</v>
      </c>
      <c r="BF70" s="13">
        <f t="shared" si="91"/>
        <v>54.070927503307338</v>
      </c>
      <c r="BG70" s="20">
        <f t="shared" si="61"/>
        <v>476.98796406826</v>
      </c>
      <c r="BH70" s="59">
        <f t="shared" si="62"/>
        <v>770.32129740159326</v>
      </c>
      <c r="BI70" s="59">
        <f ca="1">AVERAGE(OFFSET($BH$3,0,0,'Données projet'!$E$11+1,1))-AVERAGE(OFFSET($H$3,0,0,'Données projet'!$E$11+1,1))</f>
        <v>324.86930206492627</v>
      </c>
      <c r="BJ70" s="59">
        <f t="shared" si="92"/>
        <v>317.03005098025352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45.502961750761528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45.502961750761528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8.1999999999999993</v>
      </c>
      <c r="BY70" s="12">
        <f>IF('Données projet'!$A$114&gt;35,BY69+BX70-CG69,IF(A70&lt;'Données projet'!$A$114,$BV$205^A70,IF(A70='Données projet'!$A$114,'Données projet'!$B$114,BY69+BX70-CG69)))</f>
        <v>277.39999999999998</v>
      </c>
      <c r="BZ70" s="13">
        <f>BY70*VLOOKUP('Données projet'!$B$12,Paramètres!$A$1:$I$89,3,0)*VLOOKUP('Données projet'!$B$12,Paramètres!$A$1:$I$89,5,0)</f>
        <v>281.28360000000004</v>
      </c>
      <c r="CA70" s="13">
        <f t="shared" si="93"/>
        <v>67.238198209347928</v>
      </c>
      <c r="CB70" s="20">
        <f t="shared" si="64"/>
        <v>607.00879854794766</v>
      </c>
      <c r="CC70" s="59">
        <f t="shared" si="65"/>
        <v>900.34213188128092</v>
      </c>
      <c r="CD70" s="59">
        <f ca="1">AVERAGE(OFFSET($CC$3,0,0,'Données projet'!$E$12+1,1))-AVERAGE(OFFSET($H$3,0,0,'Données projet'!$E$12+1,1))</f>
        <v>487.18832528146936</v>
      </c>
      <c r="CE70" s="59">
        <f t="shared" si="94"/>
        <v>306.61893266146666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68.798211490914554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68.798211490914554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12.152499999999996</v>
      </c>
      <c r="CT70" s="12">
        <f>IF('Données projet'!$A$140&gt;35,CT69+CS70-DB69,IF(A70&lt;'Données projet'!$A$140,$CQ$205^A70,IF(A70='Données projet'!$A$140,'Données projet'!$B$140,CT69+CS70-DB69)))</f>
        <v>329.73250000000007</v>
      </c>
      <c r="CU70" s="17">
        <f>CT70*VLOOKUP('Données projet'!$B$13,Paramètres!$A$1:$I$89,3,0)*VLOOKUP('Données projet'!$B$13,Paramètres!$A$1:$I$89,5,0)</f>
        <v>313.77344700000009</v>
      </c>
      <c r="CV70" s="13">
        <f t="shared" si="95"/>
        <v>74.056320326695612</v>
      </c>
      <c r="CW70" s="20">
        <f t="shared" si="67"/>
        <v>675.47017809399495</v>
      </c>
      <c r="CX70" s="59">
        <f t="shared" si="68"/>
        <v>968.8035114273282</v>
      </c>
      <c r="CY70" s="59">
        <f ca="1">AVERAGE(OFFSET($CX$3,0,0,'Données projet'!$E$13+1,1))-AVERAGE(OFFSET($H$3,0,0,'Données projet'!$E$13+1,1))</f>
        <v>733.95677909788878</v>
      </c>
      <c r="CZ70" s="59">
        <f t="shared" si="96"/>
        <v>264.63778997972378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100.30447067409033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100.30447067409033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19.399999999999999</v>
      </c>
      <c r="N71" s="13">
        <f>IF('Données projet'!$A$36&gt;35,N70+M71-V70,IF(A71&lt;'Données projet'!$A$36,$K$205^A71,IF(A71='Données projet'!$A$36,'Données projet'!$B$36,N70+M71-V70)))</f>
        <v>792.2</v>
      </c>
      <c r="O71" s="13">
        <f>N71*VLOOKUP('Données projet'!$B$9,Paramètres!$A$1:$I$89,3,0)*VLOOKUP('Données projet'!$B$9,Paramètres!$A$1:$I$89,5,0)</f>
        <v>370.74960000000004</v>
      </c>
      <c r="P71" s="13">
        <f t="shared" si="87"/>
        <v>85.820642893140644</v>
      </c>
      <c r="Q71" s="20">
        <f t="shared" si="54"/>
        <v>795.19317303888658</v>
      </c>
      <c r="R71" s="59">
        <f t="shared" si="55"/>
        <v>1088.52650637222</v>
      </c>
      <c r="S71" s="59">
        <f ca="1">AVERAGE(OFFSET($R$3,0,0,'Données projet'!$E$9+1,1))-AVERAGE(OFFSET($H$3,0,0,'Données projet'!$E$9+1,1))</f>
        <v>488.67934252295686</v>
      </c>
      <c r="T71" s="59">
        <f t="shared" si="88"/>
        <v>424.50324471331095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116.54528899546781</v>
      </c>
      <c r="AA71" s="21">
        <f>EXP(-LN(2)/25)*AA70+(1-EXP(-LN(2)/25))/(LN(2)/25)*Calculateur!V71*Calculateur!X71*VLOOKUP('Données projet'!$B$9,Paramètres!$A$1:$I$89,3,0)*0.475*44/12</f>
        <v>17.081190051694342</v>
      </c>
      <c r="AB71" s="21">
        <f>EXP(-LN(2)/2)*AB70+(1-EXP(-LN(2)/2))/(LN(2)/2)*V71*Y71*VLOOKUP('Données projet'!$B$9,Paramètres!$A$1:$I$89,3,0)*0.475*44/12</f>
        <v>1.5475959209726401E-6</v>
      </c>
      <c r="AC71" s="22">
        <f t="shared" si="57"/>
        <v>133.62648059475808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13.8</v>
      </c>
      <c r="AI71" s="13">
        <f>IF('Données projet'!$A$62&gt;35,AI70+AH71-AQ70,IF(A71&lt;'Données projet'!$A$62,$AF$205^A71,IF(A71='Données projet'!$A$62,'Données projet'!$B$62,AI70+AH71-AQ70)))</f>
        <v>634.4000000000002</v>
      </c>
      <c r="AJ71" s="13">
        <f>AI71*VLOOKUP('Données projet'!$B$10,Paramètres!$A$1:$I$89,3,0)*VLOOKUP('Données projet'!$B$10,Paramètres!$A$1:$I$89,5,0)</f>
        <v>379.37120000000016</v>
      </c>
      <c r="AK71" s="13">
        <f t="shared" si="89"/>
        <v>87.58169214989708</v>
      </c>
      <c r="AL71" s="20">
        <f t="shared" si="58"/>
        <v>813.27628716107108</v>
      </c>
      <c r="AM71" s="59">
        <f t="shared" si="59"/>
        <v>1106.6096204944045</v>
      </c>
      <c r="AN71" s="59">
        <f ca="1">AVERAGE(OFFSET($AM$3,0,0,'Données projet'!$E$10+1,1))-AVERAGE(OFFSET($H$3,0,0,'Données projet'!$E$10+1,1))</f>
        <v>504.81063008331739</v>
      </c>
      <c r="AO71" s="59">
        <f t="shared" si="90"/>
        <v>441.82647565372287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87.182120125385836</v>
      </c>
      <c r="AV71" s="21">
        <f>EXP(-LN(2)/25)*AV70+(1-EXP(-LN(2)/25))/(LN(2)/25)*Calculateur!AQ71*Calculateur!AS71*VLOOKUP('Données projet'!$B$10,Paramètres!$A$1:$I$89,3,0)*0.475*44/12</f>
        <v>20.530360357042053</v>
      </c>
      <c r="AW71" s="21">
        <f>EXP(-LN(2)/2)*AW70+(1-EXP(-LN(2)/2))/(LN(2)/2)*AQ71*AT71*VLOOKUP('Données projet'!$B$10,Paramètres!$A$1:$I$89,3,0)*0.475*44/12</f>
        <v>9.9878008396417023E-8</v>
      </c>
      <c r="AX71" s="21">
        <f t="shared" si="60"/>
        <v>107.7124805823059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3.8</v>
      </c>
      <c r="BD71" s="12">
        <f>IF('Données projet'!$A$88&gt;35,BD70+BC71-BL70,IF(A71&lt;'Données projet'!$A$88,$BA$205^A71,IF(A71='Données projet'!$A$88,'Données projet'!$B$88,BD70+BC71-BL70)))</f>
        <v>255.39999999999986</v>
      </c>
      <c r="BE71" s="13">
        <f>BD71*VLOOKUP('Données projet'!$B$11,Paramètres!$A$1:$I$89,3,0)*VLOOKUP('Données projet'!$B$11,Paramètres!$A$1:$I$89,5,0)</f>
        <v>223.11743999999993</v>
      </c>
      <c r="BF71" s="13">
        <f t="shared" si="91"/>
        <v>54.791890039639448</v>
      </c>
      <c r="BG71" s="20">
        <f t="shared" si="61"/>
        <v>484.02541648570531</v>
      </c>
      <c r="BH71" s="59">
        <f t="shared" si="62"/>
        <v>777.35874981903862</v>
      </c>
      <c r="BI71" s="59">
        <f ca="1">AVERAGE(OFFSET($BH$3,0,0,'Données projet'!$E$11+1,1))-AVERAGE(OFFSET($H$3,0,0,'Données projet'!$E$11+1,1))</f>
        <v>324.86930206492627</v>
      </c>
      <c r="BJ71" s="59">
        <f t="shared" si="92"/>
        <v>317.03005098025352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44.610676424895274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44.610676424895274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8.1999999999999993</v>
      </c>
      <c r="BY71" s="12">
        <f>IF('Données projet'!$A$114&gt;35,BY70+BX71-CG70,IF(A71&lt;'Données projet'!$A$114,$BV$205^A71,IF(A71='Données projet'!$A$114,'Données projet'!$B$114,BY70+BX71-CG70)))</f>
        <v>285.59999999999997</v>
      </c>
      <c r="BZ71" s="13">
        <f>BY71*VLOOKUP('Données projet'!$B$12,Paramètres!$A$1:$I$89,3,0)*VLOOKUP('Données projet'!$B$12,Paramètres!$A$1:$I$89,5,0)</f>
        <v>289.59839999999997</v>
      </c>
      <c r="CA71" s="13">
        <f t="shared" si="93"/>
        <v>68.991430542388798</v>
      </c>
      <c r="CB71" s="20">
        <f t="shared" si="64"/>
        <v>624.54395486132705</v>
      </c>
      <c r="CC71" s="59">
        <f t="shared" si="65"/>
        <v>917.87728819466042</v>
      </c>
      <c r="CD71" s="59">
        <f ca="1">AVERAGE(OFFSET($CC$3,0,0,'Données projet'!$E$12+1,1))-AVERAGE(OFFSET($H$3,0,0,'Données projet'!$E$12+1,1))</f>
        <v>487.18832528146936</v>
      </c>
      <c r="CE71" s="59">
        <f t="shared" si="94"/>
        <v>306.61893266146666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67.449120526343251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67.449120526343251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12.152499999999996</v>
      </c>
      <c r="CT71" s="12">
        <f>IF('Données projet'!$A$140&gt;35,CT70+CS71-DB70,IF(A71&lt;'Données projet'!$A$140,$CQ$205^A71,IF(A71='Données projet'!$A$140,'Données projet'!$B$140,CT70+CS71-DB70)))</f>
        <v>341.88500000000005</v>
      </c>
      <c r="CU71" s="17">
        <f>CT71*VLOOKUP('Données projet'!$B$13,Paramètres!$A$1:$I$89,3,0)*VLOOKUP('Données projet'!$B$13,Paramètres!$A$1:$I$89,5,0)</f>
        <v>325.33776600000004</v>
      </c>
      <c r="CV71" s="13">
        <f t="shared" si="95"/>
        <v>76.462908118671194</v>
      </c>
      <c r="CW71" s="20">
        <f t="shared" si="67"/>
        <v>699.80284075668567</v>
      </c>
      <c r="CX71" s="59">
        <f t="shared" si="68"/>
        <v>993.13617409001904</v>
      </c>
      <c r="CY71" s="59">
        <f ca="1">AVERAGE(OFFSET($CX$3,0,0,'Données projet'!$E$13+1,1))-AVERAGE(OFFSET($H$3,0,0,'Données projet'!$E$13+1,1))</f>
        <v>733.95677909788878</v>
      </c>
      <c r="CZ71" s="59">
        <f t="shared" si="96"/>
        <v>264.63778997972378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98.337561183857531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98.337561183857531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19.399999999999999</v>
      </c>
      <c r="N72" s="13">
        <f>IF('Données projet'!$A$36&gt;35,N71+M72-V71,IF(A72&lt;'Données projet'!$A$36,$K$205^A72,IF(A72='Données projet'!$A$36,'Données projet'!$B$36,N71+M72-V71)))</f>
        <v>811.6</v>
      </c>
      <c r="O72" s="13">
        <f>N72*VLOOKUP('Données projet'!$B$9,Paramètres!$A$1:$I$89,3,0)*VLOOKUP('Données projet'!$B$9,Paramètres!$A$1:$I$89,5,0)</f>
        <v>379.8288</v>
      </c>
      <c r="P72" s="13">
        <f t="shared" si="87"/>
        <v>87.675030521782332</v>
      </c>
      <c r="Q72" s="20">
        <f t="shared" si="54"/>
        <v>814.23583815877089</v>
      </c>
      <c r="R72" s="59">
        <f t="shared" si="55"/>
        <v>1107.5691714921043</v>
      </c>
      <c r="S72" s="59">
        <f ca="1">AVERAGE(OFFSET($R$3,0,0,'Données projet'!$E$9+1,1))-AVERAGE(OFFSET($H$3,0,0,'Données projet'!$E$9+1,1))</f>
        <v>488.67934252295686</v>
      </c>
      <c r="T72" s="59">
        <f t="shared" si="88"/>
        <v>424.50324471331095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114.25990696387386</v>
      </c>
      <c r="AA72" s="21">
        <f>EXP(-LN(2)/25)*AA71+(1-EXP(-LN(2)/25))/(LN(2)/25)*Calculateur!V72*Calculateur!X72*VLOOKUP('Données projet'!$B$9,Paramètres!$A$1:$I$89,3,0)*0.475*44/12</f>
        <v>16.614104011470015</v>
      </c>
      <c r="AB72" s="21">
        <f>EXP(-LN(2)/2)*AB71+(1-EXP(-LN(2)/2))/(LN(2)/2)*V72*Y72*VLOOKUP('Données projet'!$B$9,Paramètres!$A$1:$I$89,3,0)*0.475*44/12</f>
        <v>1.0943155702563941E-6</v>
      </c>
      <c r="AC72" s="22">
        <f t="shared" si="57"/>
        <v>130.87401206965944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13.8</v>
      </c>
      <c r="AI72" s="13">
        <f>IF('Données projet'!$A$62&gt;35,AI71+AH72-AQ71,IF(A72&lt;'Données projet'!$A$62,$AF$205^A72,IF(A72='Données projet'!$A$62,'Données projet'!$B$62,AI71+AH72-AQ71)))</f>
        <v>648.20000000000016</v>
      </c>
      <c r="AJ72" s="13">
        <f>AI72*VLOOKUP('Données projet'!$B$10,Paramètres!$A$1:$I$89,3,0)*VLOOKUP('Données projet'!$B$10,Paramètres!$A$1:$I$89,5,0)</f>
        <v>387.62360000000012</v>
      </c>
      <c r="AK72" s="13">
        <f t="shared" si="89"/>
        <v>89.262968814668071</v>
      </c>
      <c r="AL72" s="20">
        <f t="shared" si="58"/>
        <v>830.57744068554712</v>
      </c>
      <c r="AM72" s="59">
        <f t="shared" si="59"/>
        <v>1123.9107740188804</v>
      </c>
      <c r="AN72" s="59">
        <f ca="1">AVERAGE(OFFSET($AM$3,0,0,'Données projet'!$E$10+1,1))-AVERAGE(OFFSET($H$3,0,0,'Données projet'!$E$10+1,1))</f>
        <v>504.81063008331739</v>
      </c>
      <c r="AO72" s="59">
        <f t="shared" si="90"/>
        <v>441.82647565372287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85.472531925569612</v>
      </c>
      <c r="AV72" s="21">
        <f>EXP(-LN(2)/25)*AV71+(1-EXP(-LN(2)/25))/(LN(2)/25)*Calculateur!AQ72*Calculateur!AS72*VLOOKUP('Données projet'!$B$10,Paramètres!$A$1:$I$89,3,0)*0.475*44/12</f>
        <v>19.96895657343401</v>
      </c>
      <c r="AW72" s="21">
        <f>EXP(-LN(2)/2)*AW71+(1-EXP(-LN(2)/2))/(LN(2)/2)*AQ72*AT72*VLOOKUP('Données projet'!$B$10,Paramètres!$A$1:$I$89,3,0)*0.475*44/12</f>
        <v>7.0624417028513407E-8</v>
      </c>
      <c r="AX72" s="21">
        <f t="shared" si="60"/>
        <v>105.44148856962805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3.8</v>
      </c>
      <c r="BD72" s="12">
        <f>IF('Données projet'!$A$88&gt;35,BD71+BC72-BL71,IF(A72&lt;'Données projet'!$A$88,$BA$205^A72,IF(A72='Données projet'!$A$88,'Données projet'!$B$88,BD71+BC72-BL71)))</f>
        <v>259.19999999999987</v>
      </c>
      <c r="BE72" s="13">
        <f>BD72*VLOOKUP('Données projet'!$B$11,Paramètres!$A$1:$I$89,3,0)*VLOOKUP('Données projet'!$B$11,Paramètres!$A$1:$I$89,5,0)</f>
        <v>226.43711999999991</v>
      </c>
      <c r="BF72" s="13">
        <f t="shared" si="91"/>
        <v>55.5116049933753</v>
      </c>
      <c r="BG72" s="20">
        <f t="shared" si="61"/>
        <v>491.06069603012844</v>
      </c>
      <c r="BH72" s="59">
        <f t="shared" si="62"/>
        <v>784.39402936346175</v>
      </c>
      <c r="BI72" s="59">
        <f ca="1">AVERAGE(OFFSET($BH$3,0,0,'Données projet'!$E$11+1,1))-AVERAGE(OFFSET($H$3,0,0,'Données projet'!$E$11+1,1))</f>
        <v>324.86930206492627</v>
      </c>
      <c r="BJ72" s="59">
        <f t="shared" si="92"/>
        <v>317.03005098025352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43.735888270028951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43.735888270028951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8.1999999999999993</v>
      </c>
      <c r="BY72" s="12">
        <f>IF('Données projet'!$A$114&gt;35,BY71+BX72-CG71,IF(A72&lt;'Données projet'!$A$114,$BV$205^A72,IF(A72='Données projet'!$A$114,'Données projet'!$B$114,BY71+BX72-CG71)))</f>
        <v>293.79999999999995</v>
      </c>
      <c r="BZ72" s="13">
        <f>BY72*VLOOKUP('Données projet'!$B$12,Paramètres!$A$1:$I$89,3,0)*VLOOKUP('Données projet'!$B$12,Paramètres!$A$1:$I$89,5,0)</f>
        <v>297.91319999999996</v>
      </c>
      <c r="CA72" s="13">
        <f t="shared" si="93"/>
        <v>70.73881247427552</v>
      </c>
      <c r="CB72" s="20">
        <f t="shared" si="64"/>
        <v>642.06892172602977</v>
      </c>
      <c r="CC72" s="59">
        <f t="shared" si="65"/>
        <v>935.40225505936314</v>
      </c>
      <c r="CD72" s="59">
        <f ca="1">AVERAGE(OFFSET($CC$3,0,0,'Données projet'!$E$12+1,1))-AVERAGE(OFFSET($H$3,0,0,'Données projet'!$E$12+1,1))</f>
        <v>487.18832528146936</v>
      </c>
      <c r="CE72" s="59">
        <f t="shared" si="94"/>
        <v>306.61893266146666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66.126484412722959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66.126484412722959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12.152499999999996</v>
      </c>
      <c r="CT72" s="12">
        <f>IF('Données projet'!$A$140&gt;35,CT71+CS72-DB71,IF(A72&lt;'Données projet'!$A$140,$CQ$205^A72,IF(A72='Données projet'!$A$140,'Données projet'!$B$140,CT71+CS72-DB71)))</f>
        <v>354.03750000000002</v>
      </c>
      <c r="CU72" s="17">
        <f>CT72*VLOOKUP('Données projet'!$B$13,Paramètres!$A$1:$I$89,3,0)*VLOOKUP('Données projet'!$B$13,Paramètres!$A$1:$I$89,5,0)</f>
        <v>336.902085</v>
      </c>
      <c r="CV72" s="13">
        <f t="shared" si="95"/>
        <v>78.859557000789493</v>
      </c>
      <c r="CW72" s="20">
        <f t="shared" si="67"/>
        <v>724.11819315137507</v>
      </c>
      <c r="CX72" s="59">
        <f t="shared" si="68"/>
        <v>1017.4515264847084</v>
      </c>
      <c r="CY72" s="59">
        <f ca="1">AVERAGE(OFFSET($CX$3,0,0,'Données projet'!$E$13+1,1))-AVERAGE(OFFSET($H$3,0,0,'Données projet'!$E$13+1,1))</f>
        <v>733.95677909788878</v>
      </c>
      <c r="CZ72" s="59">
        <f t="shared" si="96"/>
        <v>264.63778997972378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96.409221589031873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96.409221589031873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831</v>
      </c>
      <c r="L73" s="12">
        <f>VLOOKUP(A73,'Données projet'!$A$35:$I$55,9,0)</f>
        <v>19.399999999999999</v>
      </c>
      <c r="M73" s="12">
        <f t="array" ref="M73">INDEX(L:L,MIN(IF(ISNUMBER(L73:L269),ROW(L73:L269),"")))</f>
        <v>19.399999999999999</v>
      </c>
      <c r="N73" s="13">
        <f>IF('Données projet'!$A$36&gt;35,N72+M73-V72,IF(A73&lt;'Données projet'!$A$36,$K$205^A73,IF(A73='Données projet'!$A$36,'Données projet'!$B$36,N72+M73-V72)))</f>
        <v>831</v>
      </c>
      <c r="O73" s="13">
        <f>N73*VLOOKUP('Données projet'!$B$9,Paramètres!$A$1:$I$89,3,0)*VLOOKUP('Données projet'!$B$9,Paramètres!$A$1:$I$89,5,0)</f>
        <v>388.90799999999996</v>
      </c>
      <c r="P73" s="13">
        <f t="shared" si="87"/>
        <v>89.524265236783094</v>
      </c>
      <c r="Q73" s="20">
        <f t="shared" si="54"/>
        <v>833.2695286207304</v>
      </c>
      <c r="R73" s="59">
        <f t="shared" si="55"/>
        <v>1126.6028619540637</v>
      </c>
      <c r="S73" s="59">
        <f ca="1">AVERAGE(OFFSET($R$3,0,0,'Données projet'!$E$9+1,1))-AVERAGE(OFFSET($H$3,0,0,'Données projet'!$E$9+1,1))</f>
        <v>488.67934252295686</v>
      </c>
      <c r="T73" s="59">
        <f t="shared" si="88"/>
        <v>424.50324471331095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53</v>
      </c>
      <c r="W73" s="16">
        <f>IF(ISNA(VLOOKUP(A73,'Données projet'!$A$35:$I$55,5,0)),0%,VLOOKUP(A73,'Données projet'!$A$35:$I$55,5,0)*VLOOKUP('Données projet'!$B$9,Paramètres!$A$1:$I$89,7,0))</f>
        <v>0.55000000000000004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130.11659749397134</v>
      </c>
      <c r="AA73" s="21">
        <f>EXP(-LN(2)/25)*AA72+(1-EXP(-LN(2)/25))/(LN(2)/25)*Calculateur!V73*Calculateur!X73*VLOOKUP('Données projet'!$B$9,Paramètres!$A$1:$I$89,3,0)*0.475*44/12</f>
        <v>16.159790463578609</v>
      </c>
      <c r="AB73" s="21">
        <f>EXP(-LN(2)/2)*AB72+(1-EXP(-LN(2)/2))/(LN(2)/2)*V73*Y73*VLOOKUP('Données projet'!$B$9,Paramètres!$A$1:$I$89,3,0)*0.475*44/12</f>
        <v>7.7379796048632007E-7</v>
      </c>
      <c r="AC73" s="22">
        <f t="shared" si="57"/>
        <v>146.27638873134791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662</v>
      </c>
      <c r="AG73" s="12">
        <f>VLOOKUP(A73,'Données projet'!$A$61:$I$81,9,0)</f>
        <v>13.8</v>
      </c>
      <c r="AH73" s="12">
        <f t="array" ref="AH73">INDEX(AG:AG,MIN(IF(ISNUMBER(AG73:AG269),ROW(AG73:AG269),"")))</f>
        <v>13.8</v>
      </c>
      <c r="AI73" s="13">
        <f>IF('Données projet'!$A$62&gt;35,AI72+AH73-AQ72,IF(A73&lt;'Données projet'!$A$62,$AF$205^A73,IF(A73='Données projet'!$A$62,'Données projet'!$B$62,AI72+AH73-AQ72)))</f>
        <v>662.00000000000011</v>
      </c>
      <c r="AJ73" s="13">
        <f>AI73*VLOOKUP('Données projet'!$B$10,Paramètres!$A$1:$I$89,3,0)*VLOOKUP('Données projet'!$B$10,Paramètres!$A$1:$I$89,5,0)</f>
        <v>395.87600000000009</v>
      </c>
      <c r="AK73" s="13">
        <f t="shared" si="89"/>
        <v>90.940083893210655</v>
      </c>
      <c r="AL73" s="20">
        <f t="shared" si="58"/>
        <v>847.8713461140087</v>
      </c>
      <c r="AM73" s="59">
        <f t="shared" si="59"/>
        <v>1141.204679447342</v>
      </c>
      <c r="AN73" s="59">
        <f ca="1">AVERAGE(OFFSET($AM$3,0,0,'Données projet'!$E$10+1,1))-AVERAGE(OFFSET($H$3,0,0,'Données projet'!$E$10+1,1))</f>
        <v>504.81063008331739</v>
      </c>
      <c r="AO73" s="59">
        <f t="shared" si="90"/>
        <v>441.82647565372287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31</v>
      </c>
      <c r="AR73" s="16">
        <f>IF(ISNA(VLOOKUP(A73,'Données projet'!$A$61:$I$81,5,0)),0%,VLOOKUP(A73,'Données projet'!$A$61:$I$81,5,0)*VLOOKUP('Données projet'!$B$10,Paramètres!$A$1:$I$89,7,0))</f>
        <v>0.45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94.862801051328148</v>
      </c>
      <c r="AV73" s="21">
        <f>EXP(-LN(2)/25)*AV72+(1-EXP(-LN(2)/25))/(LN(2)/25)*Calculateur!AQ73*Calculateur!AS73*VLOOKUP('Données projet'!$B$10,Paramètres!$A$1:$I$89,3,0)*0.475*44/12</f>
        <v>19.422904405811671</v>
      </c>
      <c r="AW73" s="21">
        <f>EXP(-LN(2)/2)*AW72+(1-EXP(-LN(2)/2))/(LN(2)/2)*AQ73*AT73*VLOOKUP('Données projet'!$B$10,Paramètres!$A$1:$I$89,3,0)*0.475*44/12</f>
        <v>4.9939004198208511E-8</v>
      </c>
      <c r="AX73" s="21">
        <f t="shared" si="60"/>
        <v>114.28570550707882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3.8</v>
      </c>
      <c r="BC73" s="12">
        <f t="array" ref="BC73">INDEX(BB:BB,MIN(IF(ISNUMBER(BB73:BB269),ROW(BB73:BB269),"")))</f>
        <v>3.8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229.75679999999991</v>
      </c>
      <c r="BF73" s="13">
        <f t="shared" si="91"/>
        <v>56.23009276772752</v>
      </c>
      <c r="BG73" s="20">
        <f t="shared" si="61"/>
        <v>498.09383823712528</v>
      </c>
      <c r="BH73" s="59">
        <f t="shared" si="62"/>
        <v>791.42717157045854</v>
      </c>
      <c r="BI73" s="59">
        <f ca="1">AVERAGE(OFFSET($BH$3,0,0,'Données projet'!$E$11+1,1))-AVERAGE(OFFSET($H$3,0,0,'Données projet'!$E$11+1,1))</f>
        <v>324.86930206492627</v>
      </c>
      <c r="BJ73" s="59">
        <f t="shared" si="92"/>
        <v>317.03005098025352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47.996670472179389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47.996670472179389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302</v>
      </c>
      <c r="BW73" s="12">
        <f>VLOOKUP(A73,'Données projet'!$A$113:$I$133,9,0)</f>
        <v>8.1999999999999993</v>
      </c>
      <c r="BX73" s="12">
        <f t="array" ref="BX73">INDEX(BW:BW,MIN(IF(ISNUMBER(BW73:BW269),ROW(BW73:BW269),"")))</f>
        <v>8.1999999999999993</v>
      </c>
      <c r="BY73" s="12">
        <f>IF('Données projet'!$A$114&gt;35,BY72+BX73-CG72,IF(A73&lt;'Données projet'!$A$114,$BV$205^A73,IF(A73='Données projet'!$A$114,'Données projet'!$B$114,BY72+BX73-CG72)))</f>
        <v>301.99999999999994</v>
      </c>
      <c r="BZ73" s="13">
        <f>BY73*VLOOKUP('Données projet'!$B$12,Paramètres!$A$1:$I$89,3,0)*VLOOKUP('Données projet'!$B$12,Paramètres!$A$1:$I$89,5,0)</f>
        <v>306.22800000000001</v>
      </c>
      <c r="CA73" s="13">
        <f t="shared" si="93"/>
        <v>72.480526049067294</v>
      </c>
      <c r="CB73" s="20">
        <f t="shared" si="64"/>
        <v>659.58401620212555</v>
      </c>
      <c r="CC73" s="59">
        <f t="shared" si="65"/>
        <v>952.91734953545892</v>
      </c>
      <c r="CD73" s="59">
        <f ca="1">AVERAGE(OFFSET($CC$3,0,0,'Données projet'!$E$12+1,1))-AVERAGE(OFFSET($H$3,0,0,'Données projet'!$E$12+1,1))</f>
        <v>487.18832528146936</v>
      </c>
      <c r="CE73" s="59">
        <f t="shared" si="94"/>
        <v>306.61893266146666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78.325985843313177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78.325985843313177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12.152499999999996</v>
      </c>
      <c r="CT73" s="12">
        <f>IF('Données projet'!$A$140&gt;35,CT72+CS73-DB72,IF(A73&lt;'Données projet'!$A$140,$CQ$205^A73,IF(A73='Données projet'!$A$140,'Données projet'!$B$140,CT72+CS73-DB72)))</f>
        <v>366.19</v>
      </c>
      <c r="CU73" s="17">
        <f>CT73*VLOOKUP('Données projet'!$B$13,Paramètres!$A$1:$I$89,3,0)*VLOOKUP('Données projet'!$B$13,Paramètres!$A$1:$I$89,5,0)</f>
        <v>348.46640400000001</v>
      </c>
      <c r="CV73" s="13">
        <f t="shared" si="95"/>
        <v>81.246647233334215</v>
      </c>
      <c r="CW73" s="20">
        <f t="shared" si="67"/>
        <v>748.41689756472385</v>
      </c>
      <c r="CX73" s="59">
        <f t="shared" si="68"/>
        <v>1041.7502308980572</v>
      </c>
      <c r="CY73" s="59">
        <f ca="1">AVERAGE(OFFSET($CX$3,0,0,'Données projet'!$E$13+1,1))-AVERAGE(OFFSET($H$3,0,0,'Données projet'!$E$13+1,1))</f>
        <v>733.95677909788878</v>
      </c>
      <c r="CZ73" s="59">
        <f t="shared" si="96"/>
        <v>264.63778997972378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94.518695557489735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94.518695557489735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18</v>
      </c>
      <c r="N74" s="13">
        <f>IF('Données projet'!$A$36&gt;35,N73+M74-V73,IF(A74&lt;'Données projet'!$A$36,$K$205^A74,IF(A74='Données projet'!$A$36,'Données projet'!$B$36,N73+M74-V73)))</f>
        <v>796</v>
      </c>
      <c r="O74" s="13">
        <f>N74*VLOOKUP('Données projet'!$B$9,Paramètres!$A$1:$I$89,3,0)*VLOOKUP('Données projet'!$B$9,Paramètres!$A$1:$I$89,5,0)</f>
        <v>372.52800000000002</v>
      </c>
      <c r="P74" s="13">
        <f t="shared" si="87"/>
        <v>86.184285854222622</v>
      </c>
      <c r="Q74" s="20">
        <f t="shared" si="54"/>
        <v>798.92389786277101</v>
      </c>
      <c r="R74" s="59">
        <f t="shared" si="55"/>
        <v>1092.2572311961044</v>
      </c>
      <c r="S74" s="59">
        <f ca="1">AVERAGE(OFFSET($R$3,0,0,'Données projet'!$E$9+1,1))-AVERAGE(OFFSET($H$3,0,0,'Données projet'!$E$9+1,1))</f>
        <v>488.67934252295686</v>
      </c>
      <c r="T74" s="59">
        <f t="shared" si="88"/>
        <v>424.50324471331095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127.56509038040257</v>
      </c>
      <c r="AA74" s="21">
        <f>EXP(-LN(2)/25)*AA73+(1-EXP(-LN(2)/25))/(LN(2)/25)*Calculateur!V74*Calculateur!X74*VLOOKUP('Données projet'!$B$9,Paramètres!$A$1:$I$89,3,0)*0.475*44/12</f>
        <v>15.717900143545606</v>
      </c>
      <c r="AB74" s="21">
        <f>EXP(-LN(2)/2)*AB73+(1-EXP(-LN(2)/2))/(LN(2)/2)*V74*Y74*VLOOKUP('Données projet'!$B$9,Paramètres!$A$1:$I$89,3,0)*0.475*44/12</f>
        <v>5.4715778512819706E-7</v>
      </c>
      <c r="AC74" s="22">
        <f t="shared" si="57"/>
        <v>143.28299107110595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12.4</v>
      </c>
      <c r="AI74" s="13">
        <f>IF('Données projet'!$A$62&gt;35,AI73+AH74-AQ73,IF(A74&lt;'Données projet'!$A$62,$AF$205^A74,IF(A74='Données projet'!$A$62,'Données projet'!$B$62,AI73+AH74-AQ73)))</f>
        <v>643.40000000000009</v>
      </c>
      <c r="AJ74" s="13">
        <f>AI74*VLOOKUP('Données projet'!$B$10,Paramètres!$A$1:$I$89,3,0)*VLOOKUP('Données projet'!$B$10,Paramètres!$A$1:$I$89,5,0)</f>
        <v>384.75320000000011</v>
      </c>
      <c r="AK74" s="13">
        <f t="shared" si="89"/>
        <v>88.678654005282596</v>
      </c>
      <c r="AL74" s="20">
        <f t="shared" si="58"/>
        <v>824.5604790592007</v>
      </c>
      <c r="AM74" s="59">
        <f t="shared" si="59"/>
        <v>1117.8938123925341</v>
      </c>
      <c r="AN74" s="59">
        <f ca="1">AVERAGE(OFFSET($AM$3,0,0,'Données projet'!$E$10+1,1))-AVERAGE(OFFSET($H$3,0,0,'Données projet'!$E$10+1,1))</f>
        <v>504.81063008331739</v>
      </c>
      <c r="AO74" s="59">
        <f t="shared" si="90"/>
        <v>441.82647565372287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93.002599383306986</v>
      </c>
      <c r="AV74" s="21">
        <f>EXP(-LN(2)/25)*AV73+(1-EXP(-LN(2)/25))/(LN(2)/25)*Calculateur!AQ74*Calculateur!AS74*VLOOKUP('Données projet'!$B$10,Paramètres!$A$1:$I$89,3,0)*0.475*44/12</f>
        <v>18.891784063428599</v>
      </c>
      <c r="AW74" s="21">
        <f>EXP(-LN(2)/2)*AW73+(1-EXP(-LN(2)/2))/(LN(2)/2)*AQ74*AT74*VLOOKUP('Données projet'!$B$10,Paramètres!$A$1:$I$89,3,0)*0.475*44/12</f>
        <v>3.5312208514256703E-8</v>
      </c>
      <c r="AX74" s="21">
        <f t="shared" si="60"/>
        <v>111.8943834820478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256.39999999999986</v>
      </c>
      <c r="BE74" s="13">
        <f>BD74*VLOOKUP('Données projet'!$B$11,Paramètres!$A$1:$I$89,3,0)*VLOOKUP('Données projet'!$B$11,Paramètres!$A$1:$I$89,5,0)</f>
        <v>223.99103999999991</v>
      </c>
      <c r="BF74" s="13">
        <f t="shared" si="91"/>
        <v>54.981408824201552</v>
      </c>
      <c r="BG74" s="20">
        <f t="shared" si="61"/>
        <v>485.87701503548419</v>
      </c>
      <c r="BH74" s="59">
        <f t="shared" si="62"/>
        <v>779.21034836881745</v>
      </c>
      <c r="BI74" s="59">
        <f ca="1">AVERAGE(OFFSET($BH$3,0,0,'Données projet'!$E$11+1,1))-AVERAGE(OFFSET($H$3,0,0,'Données projet'!$E$11+1,1))</f>
        <v>324.86930206492627</v>
      </c>
      <c r="BJ74" s="59">
        <f t="shared" si="92"/>
        <v>317.03005098025352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47.055485039298269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47.055485039298269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7.6</v>
      </c>
      <c r="BY74" s="12">
        <f>IF('Données projet'!$A$114&gt;35,BY73+BX74-CG73,IF(A74&lt;'Données projet'!$A$114,$BV$205^A74,IF(A74='Données projet'!$A$114,'Données projet'!$B$114,BY73+BX74-CG73)))</f>
        <v>281.59999999999997</v>
      </c>
      <c r="BZ74" s="13">
        <f>BY74*VLOOKUP('Données projet'!$B$12,Paramètres!$A$1:$I$89,3,0)*VLOOKUP('Données projet'!$B$12,Paramètres!$A$1:$I$89,5,0)</f>
        <v>285.54239999999999</v>
      </c>
      <c r="CA74" s="13">
        <f t="shared" si="93"/>
        <v>68.136937829389524</v>
      </c>
      <c r="CB74" s="20">
        <f t="shared" si="64"/>
        <v>615.99151338618674</v>
      </c>
      <c r="CC74" s="59">
        <f t="shared" si="65"/>
        <v>909.32484671952011</v>
      </c>
      <c r="CD74" s="59">
        <f ca="1">AVERAGE(OFFSET($CC$3,0,0,'Données projet'!$E$12+1,1))-AVERAGE(OFFSET($H$3,0,0,'Données projet'!$E$12+1,1))</f>
        <v>487.18832528146936</v>
      </c>
      <c r="CE74" s="59">
        <f t="shared" si="94"/>
        <v>306.61893266146666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76.790061035059864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76.790061035059864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12.152499999999996</v>
      </c>
      <c r="CT74" s="12">
        <f>IF('Données projet'!$A$140&gt;35,CT73+CS74-DB73,IF(A74&lt;'Données projet'!$A$140,$CQ$205^A74,IF(A74='Données projet'!$A$140,'Données projet'!$B$140,CT73+CS74-DB73)))</f>
        <v>378.34249999999997</v>
      </c>
      <c r="CU74" s="17">
        <f>CT74*VLOOKUP('Données projet'!$B$13,Paramètres!$A$1:$I$89,3,0)*VLOOKUP('Données projet'!$B$13,Paramètres!$A$1:$I$89,5,0)</f>
        <v>360.03072299999997</v>
      </c>
      <c r="CV74" s="13">
        <f t="shared" si="95"/>
        <v>83.624532405437918</v>
      </c>
      <c r="CW74" s="20">
        <f t="shared" si="67"/>
        <v>772.69956983113752</v>
      </c>
      <c r="CX74" s="59">
        <f t="shared" si="68"/>
        <v>1066.0329031644708</v>
      </c>
      <c r="CY74" s="59">
        <f ca="1">AVERAGE(OFFSET($CX$3,0,0,'Données projet'!$E$13+1,1))-AVERAGE(OFFSET($H$3,0,0,'Données projet'!$E$13+1,1))</f>
        <v>733.95677909788878</v>
      </c>
      <c r="CZ74" s="59">
        <f t="shared" si="96"/>
        <v>264.63778997972378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92.66524158831912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92.66524158831912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18</v>
      </c>
      <c r="N75" s="13">
        <f>IF('Données projet'!$A$36&gt;35,N74+M75-V74,IF(A75&lt;'Données projet'!$A$36,$K$205^A75,IF(A75='Données projet'!$A$36,'Données projet'!$B$36,N74+M75-V74)))</f>
        <v>814</v>
      </c>
      <c r="O75" s="13">
        <f>N75*VLOOKUP('Données projet'!$B$9,Paramètres!$A$1:$I$89,3,0)*VLOOKUP('Données projet'!$B$9,Paramètres!$A$1:$I$89,5,0)</f>
        <v>380.95199999999994</v>
      </c>
      <c r="P75" s="13">
        <f t="shared" si="87"/>
        <v>87.904078344580199</v>
      </c>
      <c r="Q75" s="20">
        <f t="shared" si="54"/>
        <v>816.5910031168105</v>
      </c>
      <c r="R75" s="59">
        <f t="shared" si="55"/>
        <v>1109.9243364501438</v>
      </c>
      <c r="S75" s="59">
        <f ca="1">AVERAGE(OFFSET($R$3,0,0,'Données projet'!$E$9+1,1))-AVERAGE(OFFSET($H$3,0,0,'Données projet'!$E$9+1,1))</f>
        <v>488.67934252295686</v>
      </c>
      <c r="T75" s="59">
        <f t="shared" si="88"/>
        <v>424.50324471331095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125.06361676506519</v>
      </c>
      <c r="AA75" s="21">
        <f>EXP(-LN(2)/25)*AA74+(1-EXP(-LN(2)/25))/(LN(2)/25)*Calculateur!V75*Calculateur!X75*VLOOKUP('Données projet'!$B$9,Paramètres!$A$1:$I$89,3,0)*0.475*44/12</f>
        <v>15.288093337551906</v>
      </c>
      <c r="AB75" s="21">
        <f>EXP(-LN(2)/2)*AB74+(1-EXP(-LN(2)/2))/(LN(2)/2)*V75*Y75*VLOOKUP('Données projet'!$B$9,Paramètres!$A$1:$I$89,3,0)*0.475*44/12</f>
        <v>3.8689898024316003E-7</v>
      </c>
      <c r="AC75" s="22">
        <f t="shared" si="57"/>
        <v>140.35171048951608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12.4</v>
      </c>
      <c r="AI75" s="13">
        <f>IF('Données projet'!$A$62&gt;35,AI74+AH75-AQ74,IF(A75&lt;'Données projet'!$A$62,$AF$205^A75,IF(A75='Données projet'!$A$62,'Données projet'!$B$62,AI74+AH75-AQ74)))</f>
        <v>655.80000000000007</v>
      </c>
      <c r="AJ75" s="13">
        <f>AI75*VLOOKUP('Données projet'!$B$10,Paramètres!$A$1:$I$89,3,0)*VLOOKUP('Données projet'!$B$10,Paramètres!$A$1:$I$89,5,0)</f>
        <v>392.16840000000008</v>
      </c>
      <c r="AK75" s="13">
        <f t="shared" si="89"/>
        <v>90.187105966373196</v>
      </c>
      <c r="AL75" s="20">
        <f t="shared" si="58"/>
        <v>840.10250622476667</v>
      </c>
      <c r="AM75" s="59">
        <f t="shared" si="59"/>
        <v>1133.4358395581</v>
      </c>
      <c r="AN75" s="59">
        <f ca="1">AVERAGE(OFFSET($AM$3,0,0,'Données projet'!$E$10+1,1))-AVERAGE(OFFSET($H$3,0,0,'Données projet'!$E$10+1,1))</f>
        <v>504.81063008331739</v>
      </c>
      <c r="AO75" s="59">
        <f t="shared" si="90"/>
        <v>441.82647565372287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91.178875135384729</v>
      </c>
      <c r="AV75" s="21">
        <f>EXP(-LN(2)/25)*AV74+(1-EXP(-LN(2)/25))/(LN(2)/25)*Calculateur!AQ75*Calculateur!AS75*VLOOKUP('Données projet'!$B$10,Paramètres!$A$1:$I$89,3,0)*0.475*44/12</f>
        <v>18.375187234738398</v>
      </c>
      <c r="AW75" s="21">
        <f>EXP(-LN(2)/2)*AW74+(1-EXP(-LN(2)/2))/(LN(2)/2)*AQ75*AT75*VLOOKUP('Données projet'!$B$10,Paramètres!$A$1:$I$89,3,0)*0.475*44/12</f>
        <v>2.4969502099104256E-8</v>
      </c>
      <c r="AX75" s="21">
        <f t="shared" si="60"/>
        <v>109.55406239509263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259.79999999999984</v>
      </c>
      <c r="BE75" s="13">
        <f>BD75*VLOOKUP('Données projet'!$B$11,Paramètres!$A$1:$I$89,3,0)*VLOOKUP('Données projet'!$B$11,Paramètres!$A$1:$I$89,5,0)</f>
        <v>226.96127999999987</v>
      </c>
      <c r="BF75" s="13">
        <f t="shared" si="91"/>
        <v>55.625131501998617</v>
      </c>
      <c r="BG75" s="20">
        <f t="shared" si="61"/>
        <v>492.17133336598067</v>
      </c>
      <c r="BH75" s="59">
        <f t="shared" si="62"/>
        <v>785.50466669931393</v>
      </c>
      <c r="BI75" s="59">
        <f ca="1">AVERAGE(OFFSET($BH$3,0,0,'Données projet'!$E$11+1,1))-AVERAGE(OFFSET($H$3,0,0,'Données projet'!$E$11+1,1))</f>
        <v>324.86930206492627</v>
      </c>
      <c r="BJ75" s="59">
        <f t="shared" si="92"/>
        <v>317.03005098025352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46.132755678689513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46.132755678689513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7.6</v>
      </c>
      <c r="BY75" s="12">
        <f>IF('Données projet'!$A$114&gt;35,BY74+BX75-CG74,IF(A75&lt;'Données projet'!$A$114,$BV$205^A75,IF(A75='Données projet'!$A$114,'Données projet'!$B$114,BY74+BX75-CG74)))</f>
        <v>289.2</v>
      </c>
      <c r="BZ75" s="13">
        <f>BY75*VLOOKUP('Données projet'!$B$12,Paramètres!$A$1:$I$89,3,0)*VLOOKUP('Données projet'!$B$12,Paramètres!$A$1:$I$89,5,0)</f>
        <v>293.24880000000002</v>
      </c>
      <c r="CA75" s="13">
        <f t="shared" si="93"/>
        <v>69.759283249126327</v>
      </c>
      <c r="CB75" s="20">
        <f t="shared" si="64"/>
        <v>632.23907832556176</v>
      </c>
      <c r="CC75" s="59">
        <f t="shared" si="65"/>
        <v>925.57241165889513</v>
      </c>
      <c r="CD75" s="59">
        <f ca="1">AVERAGE(OFFSET($CC$3,0,0,'Données projet'!$E$12+1,1))-AVERAGE(OFFSET($H$3,0,0,'Données projet'!$E$12+1,1))</f>
        <v>487.18832528146936</v>
      </c>
      <c r="CE75" s="59">
        <f t="shared" si="94"/>
        <v>306.61893266146666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75.284254775474764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75.284254775474764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12.152499999999996</v>
      </c>
      <c r="CT75" s="12">
        <f>IF('Données projet'!$A$140&gt;35,CT74+CS75-DB74,IF(A75&lt;'Données projet'!$A$140,$CQ$205^A75,IF(A75='Données projet'!$A$140,'Données projet'!$B$140,CT74+CS75-DB74)))</f>
        <v>390.49499999999995</v>
      </c>
      <c r="CU75" s="17">
        <f>CT75*VLOOKUP('Données projet'!$B$13,Paramètres!$A$1:$I$89,3,0)*VLOOKUP('Données projet'!$B$13,Paramètres!$A$1:$I$89,5,0)</f>
        <v>371.59504199999992</v>
      </c>
      <c r="CV75" s="13">
        <f t="shared" si="95"/>
        <v>85.993542101748204</v>
      </c>
      <c r="CW75" s="20">
        <f t="shared" si="67"/>
        <v>796.96678397721132</v>
      </c>
      <c r="CX75" s="59">
        <f t="shared" si="68"/>
        <v>1090.3001173105447</v>
      </c>
      <c r="CY75" s="59">
        <f ca="1">AVERAGE(OFFSET($CX$3,0,0,'Données projet'!$E$13+1,1))-AVERAGE(OFFSET($H$3,0,0,'Données projet'!$E$13+1,1))</f>
        <v>733.95677909788878</v>
      </c>
      <c r="CZ75" s="59">
        <f t="shared" si="96"/>
        <v>264.63778997972378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90.848132720988644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90.848132720988644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18</v>
      </c>
      <c r="N76" s="13">
        <f>IF('Données projet'!$A$36&gt;35,N75+M76-V75,IF(A76&lt;'Données projet'!$A$36,$K$205^A76,IF(A76='Données projet'!$A$36,'Données projet'!$B$36,N75+M76-V75)))</f>
        <v>832</v>
      </c>
      <c r="O76" s="13">
        <f>N76*VLOOKUP('Données projet'!$B$9,Paramètres!$A$1:$I$89,3,0)*VLOOKUP('Données projet'!$B$9,Paramètres!$A$1:$I$89,5,0)</f>
        <v>389.37599999999998</v>
      </c>
      <c r="P76" s="13">
        <f t="shared" si="87"/>
        <v>89.619449476412427</v>
      </c>
      <c r="Q76" s="20">
        <f t="shared" si="54"/>
        <v>834.25040783808493</v>
      </c>
      <c r="R76" s="59">
        <f t="shared" si="55"/>
        <v>1127.5837411714183</v>
      </c>
      <c r="S76" s="59">
        <f ca="1">AVERAGE(OFFSET($R$3,0,0,'Données projet'!$E$9+1,1))-AVERAGE(OFFSET($H$3,0,0,'Données projet'!$E$9+1,1))</f>
        <v>488.67934252295686</v>
      </c>
      <c r="T76" s="59">
        <f t="shared" si="88"/>
        <v>424.50324471331095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122.61119552157633</v>
      </c>
      <c r="AA76" s="21">
        <f>EXP(-LN(2)/25)*AA75+(1-EXP(-LN(2)/25))/(LN(2)/25)*Calculateur!V76*Calculateur!X76*VLOOKUP('Données projet'!$B$9,Paramètres!$A$1:$I$89,3,0)*0.475*44/12</f>
        <v>14.870039621270662</v>
      </c>
      <c r="AB76" s="21">
        <f>EXP(-LN(2)/2)*AB75+(1-EXP(-LN(2)/2))/(LN(2)/2)*V76*Y76*VLOOKUP('Données projet'!$B$9,Paramètres!$A$1:$I$89,3,0)*0.475*44/12</f>
        <v>2.7357889256409853E-7</v>
      </c>
      <c r="AC76" s="22">
        <f t="shared" si="57"/>
        <v>137.4812354164259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12.4</v>
      </c>
      <c r="AI76" s="13">
        <f>IF('Données projet'!$A$62&gt;35,AI75+AH76-AQ75,IF(A76&lt;'Données projet'!$A$62,$AF$205^A76,IF(A76='Données projet'!$A$62,'Données projet'!$B$62,AI75+AH76-AQ75)))</f>
        <v>668.2</v>
      </c>
      <c r="AJ76" s="13">
        <f>AI76*VLOOKUP('Données projet'!$B$10,Paramètres!$A$1:$I$89,3,0)*VLOOKUP('Données projet'!$B$10,Paramètres!$A$1:$I$89,5,0)</f>
        <v>399.58360000000005</v>
      </c>
      <c r="AK76" s="13">
        <f t="shared" si="89"/>
        <v>91.692241394947928</v>
      </c>
      <c r="AL76" s="20">
        <f t="shared" si="58"/>
        <v>855.63875709620106</v>
      </c>
      <c r="AM76" s="59">
        <f t="shared" si="59"/>
        <v>1148.9720904295343</v>
      </c>
      <c r="AN76" s="59">
        <f ca="1">AVERAGE(OFFSET($AM$3,0,0,'Données projet'!$E$10+1,1))-AVERAGE(OFFSET($H$3,0,0,'Données projet'!$E$10+1,1))</f>
        <v>504.81063008331739</v>
      </c>
      <c r="AO76" s="59">
        <f t="shared" si="90"/>
        <v>441.82647565372287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89.390913007602279</v>
      </c>
      <c r="AV76" s="21">
        <f>EXP(-LN(2)/25)*AV75+(1-EXP(-LN(2)/25))/(LN(2)/25)*Calculateur!AQ76*Calculateur!AS76*VLOOKUP('Données projet'!$B$10,Paramètres!$A$1:$I$89,3,0)*0.475*44/12</f>
        <v>17.872716773495377</v>
      </c>
      <c r="AW76" s="21">
        <f>EXP(-LN(2)/2)*AW75+(1-EXP(-LN(2)/2))/(LN(2)/2)*AQ76*AT76*VLOOKUP('Données projet'!$B$10,Paramètres!$A$1:$I$89,3,0)*0.475*44/12</f>
        <v>1.7656104257128352E-8</v>
      </c>
      <c r="AX76" s="21">
        <f t="shared" si="60"/>
        <v>107.26362979875375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263.19999999999982</v>
      </c>
      <c r="BE76" s="13">
        <f>BD76*VLOOKUP('Données projet'!$B$11,Paramètres!$A$1:$I$89,3,0)*VLOOKUP('Données projet'!$B$11,Paramètres!$A$1:$I$89,5,0)</f>
        <v>229.93151999999986</v>
      </c>
      <c r="BF76" s="13">
        <f t="shared" si="91"/>
        <v>56.26787429746841</v>
      </c>
      <c r="BG76" s="20">
        <f t="shared" si="61"/>
        <v>498.4639450680906</v>
      </c>
      <c r="BH76" s="59">
        <f t="shared" si="62"/>
        <v>791.79727840142391</v>
      </c>
      <c r="BI76" s="59">
        <f ca="1">AVERAGE(OFFSET($BH$3,0,0,'Données projet'!$E$11+1,1))-AVERAGE(OFFSET($H$3,0,0,'Données projet'!$E$11+1,1))</f>
        <v>324.86930206492627</v>
      </c>
      <c r="BJ76" s="59">
        <f t="shared" si="92"/>
        <v>317.03005098025352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45.228120478032956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45.228120478032956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7.6</v>
      </c>
      <c r="BY76" s="12">
        <f>IF('Données projet'!$A$114&gt;35,BY75+BX76-CG75,IF(A76&lt;'Données projet'!$A$114,$BV$205^A76,IF(A76='Données projet'!$A$114,'Données projet'!$B$114,BY75+BX76-CG75)))</f>
        <v>296.8</v>
      </c>
      <c r="BZ76" s="13">
        <f>BY76*VLOOKUP('Données projet'!$B$12,Paramètres!$A$1:$I$89,3,0)*VLOOKUP('Données projet'!$B$12,Paramètres!$A$1:$I$89,5,0)</f>
        <v>300.95520000000005</v>
      </c>
      <c r="CA76" s="13">
        <f t="shared" si="93"/>
        <v>71.376673021759785</v>
      </c>
      <c r="CB76" s="20">
        <f t="shared" si="64"/>
        <v>648.4780121795651</v>
      </c>
      <c r="CC76" s="59">
        <f t="shared" si="65"/>
        <v>941.81134551289847</v>
      </c>
      <c r="CD76" s="59">
        <f ca="1">AVERAGE(OFFSET($CC$3,0,0,'Données projet'!$E$12+1,1))-AVERAGE(OFFSET($H$3,0,0,'Données projet'!$E$12+1,1))</f>
        <v>487.18832528146936</v>
      </c>
      <c r="CE76" s="59">
        <f t="shared" si="94"/>
        <v>306.61893266146666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73.807976458189003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73.807976458189003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12.152499999999996</v>
      </c>
      <c r="CT76" s="12">
        <f>IF('Données projet'!$A$140&gt;35,CT75+CS76-DB75,IF(A76&lt;'Données projet'!$A$140,$CQ$205^A76,IF(A76='Données projet'!$A$140,'Données projet'!$B$140,CT75+CS76-DB75)))</f>
        <v>402.64749999999992</v>
      </c>
      <c r="CU76" s="17">
        <f>CT76*VLOOKUP('Données projet'!$B$13,Paramètres!$A$1:$I$89,3,0)*VLOOKUP('Données projet'!$B$13,Paramètres!$A$1:$I$89,5,0)</f>
        <v>383.15936099999993</v>
      </c>
      <c r="CV76" s="13">
        <f t="shared" si="95"/>
        <v>88.353984227813172</v>
      </c>
      <c r="CW76" s="20">
        <f t="shared" si="67"/>
        <v>821.2190762717745</v>
      </c>
      <c r="CX76" s="59">
        <f t="shared" si="68"/>
        <v>1114.5524096051079</v>
      </c>
      <c r="CY76" s="59">
        <f ca="1">AVERAGE(OFFSET($CX$3,0,0,'Données projet'!$E$13+1,1))-AVERAGE(OFFSET($H$3,0,0,'Données projet'!$E$13+1,1))</f>
        <v>733.95677909788878</v>
      </c>
      <c r="CZ76" s="59">
        <f t="shared" si="96"/>
        <v>264.63778997972378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89.066656250219552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89.066656250219552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18</v>
      </c>
      <c r="N77" s="13">
        <f>IF('Données projet'!$A$36&gt;35,N76+M77-V76,IF(A77&lt;'Données projet'!$A$36,$K$205^A77,IF(A77='Données projet'!$A$36,'Données projet'!$B$36,N76+M77-V76)))</f>
        <v>850</v>
      </c>
      <c r="O77" s="13">
        <f>N77*VLOOKUP('Données projet'!$B$9,Paramètres!$A$1:$I$89,3,0)*VLOOKUP('Données projet'!$B$9,Paramètres!$A$1:$I$89,5,0)</f>
        <v>397.8</v>
      </c>
      <c r="P77" s="13">
        <f t="shared" si="87"/>
        <v>91.330505920740748</v>
      </c>
      <c r="Q77" s="20">
        <f t="shared" si="54"/>
        <v>851.90229781195683</v>
      </c>
      <c r="R77" s="59">
        <f t="shared" si="55"/>
        <v>1145.2356311452902</v>
      </c>
      <c r="S77" s="59">
        <f ca="1">AVERAGE(OFFSET($R$3,0,0,'Données projet'!$E$9+1,1))-AVERAGE(OFFSET($H$3,0,0,'Données projet'!$E$9+1,1))</f>
        <v>488.67934252295686</v>
      </c>
      <c r="T77" s="59">
        <f t="shared" si="88"/>
        <v>424.50324471331095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120.20686476284304</v>
      </c>
      <c r="AA77" s="21">
        <f>EXP(-LN(2)/25)*AA76+(1-EXP(-LN(2)/25))/(LN(2)/25)*Calculateur!V77*Calculateur!X77*VLOOKUP('Données projet'!$B$9,Paramètres!$A$1:$I$89,3,0)*0.475*44/12</f>
        <v>14.463417605845617</v>
      </c>
      <c r="AB77" s="21">
        <f>EXP(-LN(2)/2)*AB76+(1-EXP(-LN(2)/2))/(LN(2)/2)*V77*Y77*VLOOKUP('Données projet'!$B$9,Paramètres!$A$1:$I$89,3,0)*0.475*44/12</f>
        <v>1.9344949012158002E-7</v>
      </c>
      <c r="AC77" s="22">
        <f t="shared" si="57"/>
        <v>134.67028256213814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12.4</v>
      </c>
      <c r="AI77" s="13">
        <f>IF('Données projet'!$A$62&gt;35,AI76+AH77-AQ76,IF(A77&lt;'Données projet'!$A$62,$AF$205^A77,IF(A77='Données projet'!$A$62,'Données projet'!$B$62,AI76+AH77-AQ76)))</f>
        <v>680.6</v>
      </c>
      <c r="AJ77" s="13">
        <f>AI77*VLOOKUP('Données projet'!$B$10,Paramètres!$A$1:$I$89,3,0)*VLOOKUP('Données projet'!$B$10,Paramètres!$A$1:$I$89,5,0)</f>
        <v>406.99880000000002</v>
      </c>
      <c r="AK77" s="13">
        <f t="shared" si="89"/>
        <v>93.194128934694703</v>
      </c>
      <c r="AL77" s="20">
        <f t="shared" si="58"/>
        <v>871.16935122792665</v>
      </c>
      <c r="AM77" s="59">
        <f t="shared" si="59"/>
        <v>1164.5026845612599</v>
      </c>
      <c r="AN77" s="59">
        <f ca="1">AVERAGE(OFFSET($AM$3,0,0,'Données projet'!$E$10+1,1))-AVERAGE(OFFSET($H$3,0,0,'Données projet'!$E$10+1,1))</f>
        <v>504.81063008331739</v>
      </c>
      <c r="AO77" s="59">
        <f t="shared" si="90"/>
        <v>441.82647565372287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87.638011726596432</v>
      </c>
      <c r="AV77" s="21">
        <f>EXP(-LN(2)/25)*AV76+(1-EXP(-LN(2)/25))/(LN(2)/25)*Calculateur!AQ77*Calculateur!AS77*VLOOKUP('Données projet'!$B$10,Paramètres!$A$1:$I$89,3,0)*0.475*44/12</f>
        <v>17.383986393438818</v>
      </c>
      <c r="AW77" s="21">
        <f>EXP(-LN(2)/2)*AW76+(1-EXP(-LN(2)/2))/(LN(2)/2)*AQ77*AT77*VLOOKUP('Données projet'!$B$10,Paramètres!$A$1:$I$89,3,0)*0.475*44/12</f>
        <v>1.2484751049552128E-8</v>
      </c>
      <c r="AX77" s="21">
        <f t="shared" si="60"/>
        <v>105.02199813252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266.5999999999998</v>
      </c>
      <c r="BE77" s="13">
        <f>BD77*VLOOKUP('Données projet'!$B$11,Paramètres!$A$1:$I$89,3,0)*VLOOKUP('Données projet'!$B$11,Paramètres!$A$1:$I$89,5,0)</f>
        <v>232.90175999999985</v>
      </c>
      <c r="BF77" s="13">
        <f t="shared" si="91"/>
        <v>56.909651332233778</v>
      </c>
      <c r="BG77" s="20">
        <f t="shared" si="61"/>
        <v>504.75487473697353</v>
      </c>
      <c r="BH77" s="59">
        <f t="shared" si="62"/>
        <v>798.08820807030679</v>
      </c>
      <c r="BI77" s="59">
        <f ca="1">AVERAGE(OFFSET($BH$3,0,0,'Données projet'!$E$11+1,1))-AVERAGE(OFFSET($H$3,0,0,'Données projet'!$E$11+1,1))</f>
        <v>324.86930206492627</v>
      </c>
      <c r="BJ77" s="59">
        <f t="shared" si="92"/>
        <v>317.03005098025352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44.341224621888287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44.341224621888287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7.6</v>
      </c>
      <c r="BY77" s="12">
        <f>IF('Données projet'!$A$114&gt;35,BY76+BX77-CG76,IF(A77&lt;'Données projet'!$A$114,$BV$205^A77,IF(A77='Données projet'!$A$114,'Données projet'!$B$114,BY76+BX77-CG76)))</f>
        <v>304.40000000000003</v>
      </c>
      <c r="BZ77" s="13">
        <f>BY77*VLOOKUP('Données projet'!$B$12,Paramètres!$A$1:$I$89,3,0)*VLOOKUP('Données projet'!$B$12,Paramètres!$A$1:$I$89,5,0)</f>
        <v>308.66160000000008</v>
      </c>
      <c r="CA77" s="13">
        <f t="shared" si="93"/>
        <v>72.98924863505313</v>
      </c>
      <c r="CB77" s="20">
        <f t="shared" si="64"/>
        <v>664.70856137271755</v>
      </c>
      <c r="CC77" s="59">
        <f t="shared" si="65"/>
        <v>958.04189470605093</v>
      </c>
      <c r="CD77" s="59">
        <f ca="1">AVERAGE(OFFSET($CC$3,0,0,'Données projet'!$E$12+1,1))-AVERAGE(OFFSET($H$3,0,0,'Données projet'!$E$12+1,1))</f>
        <v>487.18832528146936</v>
      </c>
      <c r="CE77" s="59">
        <f t="shared" si="94"/>
        <v>306.61893266146666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72.360647058264362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72.360647058264362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414.8</v>
      </c>
      <c r="CR77" s="12">
        <f>VLOOKUP(A77,'Données projet'!$A$139:$I$159,9,0)</f>
        <v>12.152499999999996</v>
      </c>
      <c r="CS77" s="12">
        <f t="array" ref="CS77">INDEX(CR:CR,MIN(IF(ISNUMBER(CR77:CR273),ROW(CR77:CR273),"")))</f>
        <v>12.152499999999996</v>
      </c>
      <c r="CT77" s="12">
        <f>IF('Données projet'!$A$140&gt;35,CT76+CS77-DB76,IF(A77&lt;'Données projet'!$A$140,$CQ$205^A77,IF(A77='Données projet'!$A$140,'Données projet'!$B$140,CT76+CS77-DB76)))</f>
        <v>414.7999999999999</v>
      </c>
      <c r="CU77" s="17">
        <f>CT77*VLOOKUP('Données projet'!$B$13,Paramètres!$A$1:$I$89,3,0)*VLOOKUP('Données projet'!$B$13,Paramètres!$A$1:$I$89,5,0)</f>
        <v>394.72367999999989</v>
      </c>
      <c r="CV77" s="13">
        <f t="shared" si="95"/>
        <v>90.706147046845047</v>
      </c>
      <c r="CW77" s="20">
        <f t="shared" si="67"/>
        <v>845.45694877325502</v>
      </c>
      <c r="CX77" s="59">
        <f t="shared" si="68"/>
        <v>1138.7902821065884</v>
      </c>
      <c r="CY77" s="59">
        <f ca="1">AVERAGE(OFFSET($CX$3,0,0,'Données projet'!$E$13+1,1))-AVERAGE(OFFSET($H$3,0,0,'Données projet'!$E$13+1,1))</f>
        <v>733.95677909788878</v>
      </c>
      <c r="CZ77" s="59">
        <f t="shared" si="96"/>
        <v>264.63778997972378</v>
      </c>
      <c r="DA77" s="15">
        <f>IF(ISNA(VLOOKUP(A77,'Données projet'!$A$139:$I$159,3,0)),0,VLOOKUP(A77,'Données projet'!$A$139:$I$159,3,0))</f>
        <v>6</v>
      </c>
      <c r="DB77" s="15">
        <f>IF(ISNA(VLOOKUP(A77,'Données projet'!$A$139:$I$159,4,0)),0,VLOOKUP(A77,'Données projet'!$A$139:$I$159,4,0))</f>
        <v>70.209999999999994</v>
      </c>
      <c r="DC77" s="16">
        <f>IF(ISNA(VLOOKUP(A77,'Données projet'!$A$139:$I$159,5,0)),0%,VLOOKUP(A77,'Données projet'!$A$139:$I$159,5,0)*VLOOKUP('Données projet'!$B$13,Paramètres!$A$1:$I$89,7,0))</f>
        <v>0.43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119.07927089754057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119.07927089754057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868</v>
      </c>
      <c r="L78" s="12">
        <f>VLOOKUP(A78,'Données projet'!$A$35:$I$55,9,0)</f>
        <v>18</v>
      </c>
      <c r="M78" s="12">
        <f t="array" ref="M78">INDEX(L:L,MIN(IF(ISNUMBER(L78:L274),ROW(L78:L274),"")))</f>
        <v>18</v>
      </c>
      <c r="N78" s="13">
        <f>IF('Données projet'!$A$36&gt;35,N77+M78-V77,IF(A78&lt;'Données projet'!$A$36,$K$205^A78,IF(A78='Données projet'!$A$36,'Données projet'!$B$36,N77+M78-V77)))</f>
        <v>868</v>
      </c>
      <c r="O78" s="13">
        <f>N78*VLOOKUP('Données projet'!$B$9,Paramètres!$A$1:$I$89,3,0)*VLOOKUP('Données projet'!$B$9,Paramètres!$A$1:$I$89,5,0)</f>
        <v>406.22399999999999</v>
      </c>
      <c r="P78" s="13">
        <f t="shared" si="87"/>
        <v>93.03734957263255</v>
      </c>
      <c r="Q78" s="20">
        <f t="shared" si="54"/>
        <v>869.5468505056682</v>
      </c>
      <c r="R78" s="59">
        <f t="shared" si="55"/>
        <v>1162.8801838390016</v>
      </c>
      <c r="S78" s="59">
        <f ca="1">AVERAGE(OFFSET($R$3,0,0,'Données projet'!$E$9+1,1))-AVERAGE(OFFSET($H$3,0,0,'Données projet'!$E$9+1,1))</f>
        <v>488.67934252295686</v>
      </c>
      <c r="T78" s="59">
        <f t="shared" si="88"/>
        <v>424.50324471331095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50</v>
      </c>
      <c r="W78" s="16">
        <f>IF(ISNA(VLOOKUP(A78,'Données projet'!$A$35:$I$55,5,0)),0%,VLOOKUP(A78,'Données projet'!$A$35:$I$55,5,0)*VLOOKUP('Données projet'!$B$9,Paramètres!$A$1:$I$89,7,0))</f>
        <v>0.55000000000000004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134.92256600529845</v>
      </c>
      <c r="AA78" s="21">
        <f>EXP(-LN(2)/25)*AA77+(1-EXP(-LN(2)/25))/(LN(2)/25)*Calculateur!V78*Calculateur!X78*VLOOKUP('Données projet'!$B$9,Paramètres!$A$1:$I$89,3,0)*0.475*44/12</f>
        <v>14.067914690815693</v>
      </c>
      <c r="AB78" s="21">
        <f>EXP(-LN(2)/2)*AB77+(1-EXP(-LN(2)/2))/(LN(2)/2)*V78*Y78*VLOOKUP('Données projet'!$B$9,Paramètres!$A$1:$I$89,3,0)*0.475*44/12</f>
        <v>1.3678944628204926E-7</v>
      </c>
      <c r="AC78" s="22">
        <f t="shared" si="57"/>
        <v>148.99048083290359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693</v>
      </c>
      <c r="AG78" s="12">
        <f>VLOOKUP(A78,'Données projet'!$A$61:$I$81,9,0)</f>
        <v>12.4</v>
      </c>
      <c r="AH78" s="12">
        <f t="array" ref="AH78">INDEX(AG:AG,MIN(IF(ISNUMBER(AG78:AG274),ROW(AG78:AG274),"")))</f>
        <v>12.4</v>
      </c>
      <c r="AI78" s="13">
        <f>IF('Données projet'!$A$62&gt;35,AI77+AH78-AQ77,IF(A78&lt;'Données projet'!$A$62,$AF$205^A78,IF(A78='Données projet'!$A$62,'Données projet'!$B$62,AI77+AH78-AQ77)))</f>
        <v>693</v>
      </c>
      <c r="AJ78" s="13">
        <f>AI78*VLOOKUP('Données projet'!$B$10,Paramètres!$A$1:$I$89,3,0)*VLOOKUP('Données projet'!$B$10,Paramètres!$A$1:$I$89,5,0)</f>
        <v>414.41400000000004</v>
      </c>
      <c r="AK78" s="13">
        <f t="shared" si="89"/>
        <v>94.692834584825818</v>
      </c>
      <c r="AL78" s="20">
        <f t="shared" si="58"/>
        <v>886.6944035685716</v>
      </c>
      <c r="AM78" s="59">
        <f t="shared" si="59"/>
        <v>1180.027736901905</v>
      </c>
      <c r="AN78" s="59">
        <f ca="1">AVERAGE(OFFSET($AM$3,0,0,'Données projet'!$E$10+1,1))-AVERAGE(OFFSET($H$3,0,0,'Données projet'!$E$10+1,1))</f>
        <v>504.81063008331739</v>
      </c>
      <c r="AO78" s="59">
        <f t="shared" si="90"/>
        <v>441.82647565372287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30</v>
      </c>
      <c r="AR78" s="16">
        <f>IF(ISNA(VLOOKUP(A78,'Données projet'!$A$61:$I$81,5,0)),0%,VLOOKUP(A78,'Données projet'!$A$61:$I$81,5,0)*VLOOKUP('Données projet'!$B$10,Paramètres!$A$1:$I$89,7,0))</f>
        <v>0.45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96.628838619310301</v>
      </c>
      <c r="AV78" s="21">
        <f>EXP(-LN(2)/25)*AV77+(1-EXP(-LN(2)/25))/(LN(2)/25)*Calculateur!AQ78*Calculateur!AS78*VLOOKUP('Données projet'!$B$10,Paramètres!$A$1:$I$89,3,0)*0.475*44/12</f>
        <v>16.908620371326119</v>
      </c>
      <c r="AW78" s="21">
        <f>EXP(-LN(2)/2)*AW77+(1-EXP(-LN(2)/2))/(LN(2)/2)*AQ78*AT78*VLOOKUP('Données projet'!$B$10,Paramètres!$A$1:$I$89,3,0)*0.475*44/12</f>
        <v>8.8280521285641759E-9</v>
      </c>
      <c r="AX78" s="21">
        <f t="shared" si="60"/>
        <v>113.53745899946448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270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269.99999999999977</v>
      </c>
      <c r="BE78" s="13">
        <f>BD78*VLOOKUP('Données projet'!$B$11,Paramètres!$A$1:$I$89,3,0)*VLOOKUP('Données projet'!$B$11,Paramètres!$A$1:$I$89,5,0)</f>
        <v>235.87199999999982</v>
      </c>
      <c r="BF78" s="13">
        <f t="shared" si="91"/>
        <v>57.55047634701522</v>
      </c>
      <c r="BG78" s="20">
        <f t="shared" si="61"/>
        <v>511.04414630438458</v>
      </c>
      <c r="BH78" s="59">
        <f t="shared" si="62"/>
        <v>804.3774796377179</v>
      </c>
      <c r="BI78" s="59">
        <f ca="1">AVERAGE(OFFSET($BH$3,0,0,'Données projet'!$E$11+1,1))-AVERAGE(OFFSET($H$3,0,0,'Données projet'!$E$11+1,1))</f>
        <v>324.86930206492627</v>
      </c>
      <c r="BJ78" s="59">
        <f t="shared" si="92"/>
        <v>317.03005098025352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9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48.078294917910689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48.078294917910689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312</v>
      </c>
      <c r="BW78" s="12">
        <f>VLOOKUP(A78,'Données projet'!$A$113:$I$133,9,0)</f>
        <v>7.6</v>
      </c>
      <c r="BX78" s="12">
        <f t="array" ref="BX78">INDEX(BW:BW,MIN(IF(ISNUMBER(BW78:BW274),ROW(BW78:BW274),"")))</f>
        <v>7.6</v>
      </c>
      <c r="BY78" s="12">
        <f>IF('Données projet'!$A$114&gt;35,BY77+BX78-CG77,IF(A78&lt;'Données projet'!$A$114,$BV$205^A78,IF(A78='Données projet'!$A$114,'Données projet'!$B$114,BY77+BX78-CG77)))</f>
        <v>312.00000000000006</v>
      </c>
      <c r="BZ78" s="13">
        <f>BY78*VLOOKUP('Données projet'!$B$12,Paramètres!$A$1:$I$89,3,0)*VLOOKUP('Données projet'!$B$12,Paramètres!$A$1:$I$89,5,0)</f>
        <v>316.36800000000005</v>
      </c>
      <c r="CA78" s="13">
        <f t="shared" si="93"/>
        <v>74.597144109003438</v>
      </c>
      <c r="CB78" s="20">
        <f t="shared" si="64"/>
        <v>680.93095932318113</v>
      </c>
      <c r="CC78" s="59">
        <f t="shared" si="65"/>
        <v>974.2642926565145</v>
      </c>
      <c r="CD78" s="59">
        <f ca="1">AVERAGE(OFFSET($CC$3,0,0,'Données projet'!$E$12+1,1))-AVERAGE(OFFSET($H$3,0,0,'Données projet'!$E$12+1,1))</f>
        <v>487.18832528146936</v>
      </c>
      <c r="CE78" s="59">
        <f t="shared" si="94"/>
        <v>306.61893266146666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28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84.437900361839269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84.437900361839269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11.447499999999998</v>
      </c>
      <c r="CT78" s="12">
        <f>IF('Données projet'!$A$140&gt;35,CT77+CS78-DB77,IF(A78&lt;'Données projet'!$A$140,$CQ$205^A78,IF(A78='Données projet'!$A$140,'Données projet'!$B$140,CT77+CS78-DB77)))</f>
        <v>356.03749999999991</v>
      </c>
      <c r="CU78" s="17">
        <f>CT78*VLOOKUP('Données projet'!$B$13,Paramètres!$A$1:$I$89,3,0)*VLOOKUP('Données projet'!$B$13,Paramètres!$A$1:$I$89,5,0)</f>
        <v>338.80528499999991</v>
      </c>
      <c r="CV78" s="13">
        <f t="shared" si="95"/>
        <v>79.253060192858541</v>
      </c>
      <c r="CW78" s="20">
        <f t="shared" si="67"/>
        <v>728.11828454422846</v>
      </c>
      <c r="CX78" s="59">
        <f t="shared" si="68"/>
        <v>1021.4516178775618</v>
      </c>
      <c r="CY78" s="59">
        <f ca="1">AVERAGE(OFFSET($CX$3,0,0,'Données projet'!$E$13+1,1))-AVERAGE(OFFSET($H$3,0,0,'Données projet'!$E$13+1,1))</f>
        <v>733.95677909788878</v>
      </c>
      <c r="CZ78" s="59">
        <f t="shared" si="96"/>
        <v>264.63778997972378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116.74419902642332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116.74419902642332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16.600000000000001</v>
      </c>
      <c r="N79" s="13">
        <f>IF('Données projet'!$A$36&gt;35,N78+M79-V78,IF(A79&lt;'Données projet'!$A$36,$K$205^A79,IF(A79='Données projet'!$A$36,'Données projet'!$B$36,N78+M79-V78)))</f>
        <v>834.6</v>
      </c>
      <c r="O79" s="13">
        <f>N79*VLOOKUP('Données projet'!$B$9,Paramètres!$A$1:$I$89,3,0)*VLOOKUP('Données projet'!$B$9,Paramètres!$A$1:$I$89,5,0)</f>
        <v>390.59280000000001</v>
      </c>
      <c r="P79" s="13">
        <f t="shared" si="87"/>
        <v>89.866866226434709</v>
      </c>
      <c r="Q79" s="20">
        <f t="shared" si="54"/>
        <v>836.80058534437376</v>
      </c>
      <c r="R79" s="59">
        <f t="shared" si="55"/>
        <v>1130.133918677707</v>
      </c>
      <c r="S79" s="59">
        <f ca="1">AVERAGE(OFFSET($R$3,0,0,'Données projet'!$E$9+1,1))-AVERAGE(OFFSET($H$3,0,0,'Données projet'!$E$9+1,1))</f>
        <v>488.67934252295686</v>
      </c>
      <c r="T79" s="59">
        <f t="shared" si="88"/>
        <v>424.50324471331095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132.27681678057388</v>
      </c>
      <c r="AA79" s="21">
        <f>EXP(-LN(2)/25)*AA78+(1-EXP(-LN(2)/25))/(LN(2)/25)*Calculateur!V79*Calculateur!X79*VLOOKUP('Données projet'!$B$9,Paramètres!$A$1:$I$89,3,0)*0.475*44/12</f>
        <v>13.683226823795856</v>
      </c>
      <c r="AB79" s="21">
        <f>EXP(-LN(2)/2)*AB78+(1-EXP(-LN(2)/2))/(LN(2)/2)*V79*Y79*VLOOKUP('Données projet'!$B$9,Paramètres!$A$1:$I$89,3,0)*0.475*44/12</f>
        <v>9.6724745060790008E-8</v>
      </c>
      <c r="AC79" s="22">
        <f t="shared" si="57"/>
        <v>145.96004370109446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</v>
      </c>
      <c r="AI79" s="13">
        <f>IF('Données projet'!$A$62&gt;35,AI78+AH79-AQ78,IF(A79&lt;'Données projet'!$A$62,$AF$205^A79,IF(A79='Données projet'!$A$62,'Données projet'!$B$62,AI78+AH79-AQ78)))</f>
        <v>674</v>
      </c>
      <c r="AJ79" s="13">
        <f>AI79*VLOOKUP('Données projet'!$B$10,Paramètres!$A$1:$I$89,3,0)*VLOOKUP('Données projet'!$B$10,Paramètres!$A$1:$I$89,5,0)</f>
        <v>403.05200000000002</v>
      </c>
      <c r="AK79" s="13">
        <f t="shared" si="89"/>
        <v>92.39513739653853</v>
      </c>
      <c r="AL79" s="20">
        <f t="shared" si="58"/>
        <v>862.9037642989714</v>
      </c>
      <c r="AM79" s="59">
        <f t="shared" si="59"/>
        <v>1156.2370976323048</v>
      </c>
      <c r="AN79" s="59">
        <f ca="1">AVERAGE(OFFSET($AM$3,0,0,'Données projet'!$E$10+1,1))-AVERAGE(OFFSET($H$3,0,0,'Données projet'!$E$10+1,1))</f>
        <v>504.81063008331739</v>
      </c>
      <c r="AO79" s="59">
        <f t="shared" si="90"/>
        <v>441.82647565372287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94.734006031757559</v>
      </c>
      <c r="AV79" s="21">
        <f>EXP(-LN(2)/25)*AV78+(1-EXP(-LN(2)/25))/(LN(2)/25)*Calculateur!AQ79*Calculateur!AS79*VLOOKUP('Données projet'!$B$10,Paramètres!$A$1:$I$89,3,0)*0.475*44/12</f>
        <v>16.446253258086507</v>
      </c>
      <c r="AW79" s="21">
        <f>EXP(-LN(2)/2)*AW78+(1-EXP(-LN(2)/2))/(LN(2)/2)*AQ79*AT79*VLOOKUP('Données projet'!$B$10,Paramètres!$A$1:$I$89,3,0)*0.475*44/12</f>
        <v>6.2423755247760639E-9</v>
      </c>
      <c r="AX79" s="21">
        <f t="shared" si="60"/>
        <v>111.18025929608643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263.79999999999978</v>
      </c>
      <c r="BE79" s="13">
        <f>BD79*VLOOKUP('Données projet'!$B$11,Paramètres!$A$1:$I$89,3,0)*VLOOKUP('Données projet'!$B$11,Paramètres!$A$1:$I$89,5,0)</f>
        <v>230.45567999999983</v>
      </c>
      <c r="BF79" s="13">
        <f t="shared" si="91"/>
        <v>56.381198848277869</v>
      </c>
      <c r="BG79" s="20">
        <f t="shared" si="61"/>
        <v>499.57423066075035</v>
      </c>
      <c r="BH79" s="59">
        <f t="shared" si="62"/>
        <v>792.9075639940836</v>
      </c>
      <c r="BI79" s="59">
        <f ca="1">AVERAGE(OFFSET($BH$3,0,0,'Données projet'!$E$11+1,1))-AVERAGE(OFFSET($H$3,0,0,'Données projet'!$E$11+1,1))</f>
        <v>324.86930206492627</v>
      </c>
      <c r="BJ79" s="59">
        <f t="shared" si="92"/>
        <v>317.03005098025352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47.135508879434774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47.135508879434774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7.2</v>
      </c>
      <c r="BY79" s="12">
        <f>IF('Données projet'!$A$114&gt;35,BY78+BX79-CG78,IF(A79&lt;'Données projet'!$A$114,$BV$205^A79,IF(A79='Données projet'!$A$114,'Données projet'!$B$114,BY78+BX79-CG78)))</f>
        <v>291.20000000000005</v>
      </c>
      <c r="BZ79" s="13">
        <f>BY79*VLOOKUP('Données projet'!$B$12,Paramètres!$A$1:$I$89,3,0)*VLOOKUP('Données projet'!$B$12,Paramètres!$A$1:$I$89,5,0)</f>
        <v>295.27680000000004</v>
      </c>
      <c r="CA79" s="13">
        <f t="shared" si="93"/>
        <v>70.185386686980493</v>
      </c>
      <c r="CB79" s="20">
        <f t="shared" si="64"/>
        <v>636.51330847982445</v>
      </c>
      <c r="CC79" s="59">
        <f t="shared" si="65"/>
        <v>929.8466418131577</v>
      </c>
      <c r="CD79" s="59">
        <f ca="1">AVERAGE(OFFSET($CC$3,0,0,'Données projet'!$E$12+1,1))-AVERAGE(OFFSET($H$3,0,0,'Données projet'!$E$12+1,1))</f>
        <v>487.18832528146936</v>
      </c>
      <c r="CE79" s="59">
        <f t="shared" si="94"/>
        <v>306.61893266146666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82.782124637777414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82.782124637777414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11.447499999999998</v>
      </c>
      <c r="CT79" s="12">
        <f>IF('Données projet'!$A$140&gt;35,CT78+CS79-DB78,IF(A79&lt;'Données projet'!$A$140,$CQ$205^A79,IF(A79='Données projet'!$A$140,'Données projet'!$B$140,CT78+CS79-DB78)))</f>
        <v>367.4849999999999</v>
      </c>
      <c r="CU79" s="17">
        <f>CT79*VLOOKUP('Données projet'!$B$13,Paramètres!$A$1:$I$89,3,0)*VLOOKUP('Données projet'!$B$13,Paramètres!$A$1:$I$89,5,0)</f>
        <v>349.69872599999991</v>
      </c>
      <c r="CV79" s="13">
        <f t="shared" si="95"/>
        <v>81.500472683749038</v>
      </c>
      <c r="CW79" s="20">
        <f t="shared" si="67"/>
        <v>751.00527104086268</v>
      </c>
      <c r="CX79" s="59">
        <f t="shared" si="68"/>
        <v>1044.3386043741959</v>
      </c>
      <c r="CY79" s="59">
        <f ca="1">AVERAGE(OFFSET($CX$3,0,0,'Données projet'!$E$13+1,1))-AVERAGE(OFFSET($H$3,0,0,'Données projet'!$E$13+1,1))</f>
        <v>733.95677909788878</v>
      </c>
      <c r="CZ79" s="59">
        <f t="shared" si="96"/>
        <v>264.63778997972378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114.45491649044546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114.45491649044546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16.600000000000001</v>
      </c>
      <c r="N80" s="13">
        <f>IF('Données projet'!$A$36&gt;35,N79+M80-V79,IF(A80&lt;'Données projet'!$A$36,$K$205^A80,IF(A80='Données projet'!$A$36,'Données projet'!$B$36,N79+M80-V79)))</f>
        <v>851.2</v>
      </c>
      <c r="O80" s="13">
        <f>N80*VLOOKUP('Données projet'!$B$9,Paramètres!$A$1:$I$89,3,0)*VLOOKUP('Données projet'!$B$9,Paramètres!$A$1:$I$89,5,0)</f>
        <v>398.36160000000001</v>
      </c>
      <c r="P80" s="13">
        <f t="shared" si="87"/>
        <v>91.444425461235824</v>
      </c>
      <c r="Q80" s="20">
        <f t="shared" si="54"/>
        <v>853.07882767831904</v>
      </c>
      <c r="R80" s="59">
        <f t="shared" si="55"/>
        <v>1146.4121610116524</v>
      </c>
      <c r="S80" s="59">
        <f ca="1">AVERAGE(OFFSET($R$3,0,0,'Données projet'!$E$9+1,1))-AVERAGE(OFFSET($H$3,0,0,'Données projet'!$E$9+1,1))</f>
        <v>488.67934252295686</v>
      </c>
      <c r="T80" s="59">
        <f t="shared" si="88"/>
        <v>424.50324471331095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129.6829490843985</v>
      </c>
      <c r="AA80" s="21">
        <f>EXP(-LN(2)/25)*AA79+(1-EXP(-LN(2)/25))/(LN(2)/25)*Calculateur!V80*Calculateur!X80*VLOOKUP('Données projet'!$B$9,Paramètres!$A$1:$I$89,3,0)*0.475*44/12</f>
        <v>13.309058266729533</v>
      </c>
      <c r="AB80" s="21">
        <f>EXP(-LN(2)/2)*AB79+(1-EXP(-LN(2)/2))/(LN(2)/2)*V80*Y80*VLOOKUP('Données projet'!$B$9,Paramètres!$A$1:$I$89,3,0)*0.475*44/12</f>
        <v>6.8394723141024632E-8</v>
      </c>
      <c r="AC80" s="22">
        <f t="shared" si="57"/>
        <v>142.99200741952274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</v>
      </c>
      <c r="AI80" s="13">
        <f>IF('Données projet'!$A$62&gt;35,AI79+AH80-AQ79,IF(A80&lt;'Données projet'!$A$62,$AF$205^A80,IF(A80='Données projet'!$A$62,'Données projet'!$B$62,AI79+AH80-AQ79)))</f>
        <v>685</v>
      </c>
      <c r="AJ80" s="13">
        <f>AI80*VLOOKUP('Données projet'!$B$10,Paramètres!$A$1:$I$89,3,0)*VLOOKUP('Données projet'!$B$10,Paramètres!$A$1:$I$89,5,0)</f>
        <v>409.63000000000005</v>
      </c>
      <c r="AK80" s="13">
        <f t="shared" si="89"/>
        <v>93.726288591583938</v>
      </c>
      <c r="AL80" s="20">
        <f t="shared" si="58"/>
        <v>876.67886929700865</v>
      </c>
      <c r="AM80" s="59">
        <f t="shared" si="59"/>
        <v>1170.012202630342</v>
      </c>
      <c r="AN80" s="59">
        <f ca="1">AVERAGE(OFFSET($AM$3,0,0,'Données projet'!$E$10+1,1))-AVERAGE(OFFSET($H$3,0,0,'Données projet'!$E$10+1,1))</f>
        <v>504.81063008331739</v>
      </c>
      <c r="AO80" s="59">
        <f t="shared" si="90"/>
        <v>441.82647565372287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92.876329955512972</v>
      </c>
      <c r="AV80" s="21">
        <f>EXP(-LN(2)/25)*AV79+(1-EXP(-LN(2)/25))/(LN(2)/25)*Calculateur!AQ80*Calculateur!AS80*VLOOKUP('Données projet'!$B$10,Paramètres!$A$1:$I$89,3,0)*0.475*44/12</f>
        <v>15.996529597873261</v>
      </c>
      <c r="AW80" s="21">
        <f>EXP(-LN(2)/2)*AW79+(1-EXP(-LN(2)/2))/(LN(2)/2)*AQ80*AT80*VLOOKUP('Données projet'!$B$10,Paramètres!$A$1:$I$89,3,0)*0.475*44/12</f>
        <v>4.4140260642820879E-9</v>
      </c>
      <c r="AX80" s="21">
        <f t="shared" si="60"/>
        <v>108.87285955780025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266.5999999999998</v>
      </c>
      <c r="BE80" s="13">
        <f>BD80*VLOOKUP('Données projet'!$B$11,Paramètres!$A$1:$I$89,3,0)*VLOOKUP('Données projet'!$B$11,Paramètres!$A$1:$I$89,5,0)</f>
        <v>232.90175999999985</v>
      </c>
      <c r="BF80" s="13">
        <f t="shared" si="91"/>
        <v>56.909651332233778</v>
      </c>
      <c r="BG80" s="20">
        <f t="shared" si="61"/>
        <v>504.75487473697353</v>
      </c>
      <c r="BH80" s="59">
        <f t="shared" si="62"/>
        <v>798.08820807030679</v>
      </c>
      <c r="BI80" s="59">
        <f ca="1">AVERAGE(OFFSET($BH$3,0,0,'Données projet'!$E$11+1,1))-AVERAGE(OFFSET($H$3,0,0,'Données projet'!$E$11+1,1))</f>
        <v>324.86930206492627</v>
      </c>
      <c r="BJ80" s="59">
        <f t="shared" si="92"/>
        <v>317.03005098025352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46.211210300130666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46.211210300130666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7.2</v>
      </c>
      <c r="BY80" s="12">
        <f>IF('Données projet'!$A$114&gt;35,BY79+BX80-CG79,IF(A80&lt;'Données projet'!$A$114,$BV$205^A80,IF(A80='Données projet'!$A$114,'Données projet'!$B$114,BY79+BX80-CG79)))</f>
        <v>298.40000000000003</v>
      </c>
      <c r="BZ80" s="13">
        <f>BY80*VLOOKUP('Données projet'!$B$12,Paramètres!$A$1:$I$89,3,0)*VLOOKUP('Données projet'!$B$12,Paramètres!$A$1:$I$89,5,0)</f>
        <v>302.57760000000007</v>
      </c>
      <c r="CA80" s="13">
        <f t="shared" si="93"/>
        <v>71.716558091076294</v>
      </c>
      <c r="CB80" s="20">
        <f t="shared" si="64"/>
        <v>651.89565867529132</v>
      </c>
      <c r="CC80" s="59">
        <f t="shared" si="65"/>
        <v>945.22899200862457</v>
      </c>
      <c r="CD80" s="59">
        <f ca="1">AVERAGE(OFFSET($CC$3,0,0,'Données projet'!$E$12+1,1))-AVERAGE(OFFSET($H$3,0,0,'Données projet'!$E$12+1,1))</f>
        <v>487.18832528146936</v>
      </c>
      <c r="CE80" s="59">
        <f t="shared" si="94"/>
        <v>306.61893266146666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81.158817665740941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81.158817665740941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11.447499999999998</v>
      </c>
      <c r="CT80" s="12">
        <f>IF('Données projet'!$A$140&gt;35,CT79+CS80-DB79,IF(A80&lt;'Données projet'!$A$140,$CQ$205^A80,IF(A80='Données projet'!$A$140,'Données projet'!$B$140,CT79+CS80-DB79)))</f>
        <v>378.93249999999989</v>
      </c>
      <c r="CU80" s="17">
        <f>CT80*VLOOKUP('Données projet'!$B$13,Paramètres!$A$1:$I$89,3,0)*VLOOKUP('Données projet'!$B$13,Paramètres!$A$1:$I$89,5,0)</f>
        <v>360.5921669999999</v>
      </c>
      <c r="CV80" s="13">
        <f t="shared" si="95"/>
        <v>83.739749494035365</v>
      </c>
      <c r="CW80" s="20">
        <f t="shared" si="67"/>
        <v>773.87808789377812</v>
      </c>
      <c r="CX80" s="59">
        <f t="shared" si="68"/>
        <v>1067.2114212271115</v>
      </c>
      <c r="CY80" s="59">
        <f ca="1">AVERAGE(OFFSET($CX$3,0,0,'Données projet'!$E$13+1,1))-AVERAGE(OFFSET($H$3,0,0,'Données projet'!$E$13+1,1))</f>
        <v>733.95677909788878</v>
      </c>
      <c r="CZ80" s="59">
        <f t="shared" si="96"/>
        <v>264.63778997972378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112.21052538867366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112.21052538867366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16.600000000000001</v>
      </c>
      <c r="N81" s="13">
        <f>IF('Données projet'!$A$36&gt;35,N80+M81-V80,IF(A81&lt;'Données projet'!$A$36,$K$205^A81,IF(A81='Données projet'!$A$36,'Données projet'!$B$36,N80+M81-V80)))</f>
        <v>867.80000000000007</v>
      </c>
      <c r="O81" s="13">
        <f>N81*VLOOKUP('Données projet'!$B$9,Paramètres!$A$1:$I$89,3,0)*VLOOKUP('Données projet'!$B$9,Paramètres!$A$1:$I$89,5,0)</f>
        <v>406.13040000000001</v>
      </c>
      <c r="P81" s="13">
        <f t="shared" si="87"/>
        <v>93.018407428716657</v>
      </c>
      <c r="Q81" s="20">
        <f t="shared" si="54"/>
        <v>869.35083960501481</v>
      </c>
      <c r="R81" s="59">
        <f t="shared" si="55"/>
        <v>1162.6841729383482</v>
      </c>
      <c r="S81" s="59">
        <f ca="1">AVERAGE(OFFSET($R$3,0,0,'Données projet'!$E$9+1,1))-AVERAGE(OFFSET($H$3,0,0,'Données projet'!$E$9+1,1))</f>
        <v>488.67934252295686</v>
      </c>
      <c r="T81" s="59">
        <f t="shared" si="88"/>
        <v>424.50324471331095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127.13994555164203</v>
      </c>
      <c r="AA81" s="21">
        <f>EXP(-LN(2)/25)*AA80+(1-EXP(-LN(2)/25))/(LN(2)/25)*Calculateur!V81*Calculateur!X81*VLOOKUP('Données projet'!$B$9,Paramètres!$A$1:$I$89,3,0)*0.475*44/12</f>
        <v>12.945121368532858</v>
      </c>
      <c r="AB81" s="21">
        <f>EXP(-LN(2)/2)*AB80+(1-EXP(-LN(2)/2))/(LN(2)/2)*V81*Y81*VLOOKUP('Données projet'!$B$9,Paramètres!$A$1:$I$89,3,0)*0.475*44/12</f>
        <v>4.8362372530395004E-8</v>
      </c>
      <c r="AC81" s="22">
        <f t="shared" si="57"/>
        <v>140.08506696853726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</v>
      </c>
      <c r="AI81" s="13">
        <f>IF('Données projet'!$A$62&gt;35,AI80+AH81-AQ80,IF(A81&lt;'Données projet'!$A$62,$AF$205^A81,IF(A81='Données projet'!$A$62,'Données projet'!$B$62,AI80+AH81-AQ80)))</f>
        <v>696</v>
      </c>
      <c r="AJ81" s="13">
        <f>AI81*VLOOKUP('Données projet'!$B$10,Paramètres!$A$1:$I$89,3,0)*VLOOKUP('Données projet'!$B$10,Paramètres!$A$1:$I$89,5,0)</f>
        <v>416.20800000000003</v>
      </c>
      <c r="AK81" s="13">
        <f t="shared" si="89"/>
        <v>95.054953813743452</v>
      </c>
      <c r="AL81" s="20">
        <f t="shared" si="58"/>
        <v>890.4496445589366</v>
      </c>
      <c r="AM81" s="59">
        <f t="shared" si="59"/>
        <v>1183.7829778922699</v>
      </c>
      <c r="AN81" s="59">
        <f ca="1">AVERAGE(OFFSET($AM$3,0,0,'Données projet'!$E$10+1,1))-AVERAGE(OFFSET($H$3,0,0,'Données projet'!$E$10+1,1))</f>
        <v>504.81063008331739</v>
      </c>
      <c r="AO81" s="59">
        <f t="shared" si="90"/>
        <v>441.82647565372287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91.055081774053008</v>
      </c>
      <c r="AV81" s="21">
        <f>EXP(-LN(2)/25)*AV80+(1-EXP(-LN(2)/25))/(LN(2)/25)*Calculateur!AQ81*Calculateur!AS81*VLOOKUP('Données projet'!$B$10,Paramètres!$A$1:$I$89,3,0)*0.475*44/12</f>
        <v>15.559103654798486</v>
      </c>
      <c r="AW81" s="21">
        <f>EXP(-LN(2)/2)*AW80+(1-EXP(-LN(2)/2))/(LN(2)/2)*AQ81*AT81*VLOOKUP('Données projet'!$B$10,Paramètres!$A$1:$I$89,3,0)*0.475*44/12</f>
        <v>3.121187762388032E-9</v>
      </c>
      <c r="AX81" s="21">
        <f t="shared" si="60"/>
        <v>106.61418543197269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269.39999999999981</v>
      </c>
      <c r="BE81" s="13">
        <f>BD81*VLOOKUP('Données projet'!$B$11,Paramètres!$A$1:$I$89,3,0)*VLOOKUP('Données projet'!$B$11,Paramètres!$A$1:$I$89,5,0)</f>
        <v>235.34783999999988</v>
      </c>
      <c r="BF81" s="13">
        <f t="shared" si="91"/>
        <v>57.437458162232033</v>
      </c>
      <c r="BG81" s="20">
        <f t="shared" si="61"/>
        <v>509.93439429922063</v>
      </c>
      <c r="BH81" s="59">
        <f t="shared" si="62"/>
        <v>803.26772763255394</v>
      </c>
      <c r="BI81" s="59">
        <f ca="1">AVERAGE(OFFSET($BH$3,0,0,'Données projet'!$E$11+1,1))-AVERAGE(OFFSET($H$3,0,0,'Données projet'!$E$11+1,1))</f>
        <v>324.86930206492627</v>
      </c>
      <c r="BJ81" s="59">
        <f t="shared" si="92"/>
        <v>317.03005098025352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45.305036652200243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45.305036652200243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7.2</v>
      </c>
      <c r="BY81" s="12">
        <f>IF('Données projet'!$A$114&gt;35,BY80+BX81-CG80,IF(A81&lt;'Données projet'!$A$114,$BV$205^A81,IF(A81='Données projet'!$A$114,'Données projet'!$B$114,BY80+BX81-CG80)))</f>
        <v>305.60000000000002</v>
      </c>
      <c r="BZ81" s="13">
        <f>BY81*VLOOKUP('Données projet'!$B$12,Paramètres!$A$1:$I$89,3,0)*VLOOKUP('Données projet'!$B$12,Paramètres!$A$1:$I$89,5,0)</f>
        <v>309.87840000000006</v>
      </c>
      <c r="CA81" s="13">
        <f t="shared" si="93"/>
        <v>73.243434672131556</v>
      </c>
      <c r="CB81" s="20">
        <f t="shared" si="64"/>
        <v>667.27052872062916</v>
      </c>
      <c r="CC81" s="59">
        <f t="shared" si="65"/>
        <v>960.60386205396253</v>
      </c>
      <c r="CD81" s="59">
        <f ca="1">AVERAGE(OFFSET($CC$3,0,0,'Données projet'!$E$12+1,1))-AVERAGE(OFFSET($H$3,0,0,'Données projet'!$E$12+1,1))</f>
        <v>487.18832528146936</v>
      </c>
      <c r="CE81" s="59">
        <f t="shared" si="94"/>
        <v>306.61893266146666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79.567342753306619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79.567342753306619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11.447499999999998</v>
      </c>
      <c r="CT81" s="12">
        <f>IF('Données projet'!$A$140&gt;35,CT80+CS81-DB80,IF(A81&lt;'Données projet'!$A$140,$CQ$205^A81,IF(A81='Données projet'!$A$140,'Données projet'!$B$140,CT80+CS81-DB80)))</f>
        <v>390.37999999999988</v>
      </c>
      <c r="CU81" s="17">
        <f>CT81*VLOOKUP('Données projet'!$B$13,Paramètres!$A$1:$I$89,3,0)*VLOOKUP('Données projet'!$B$13,Paramètres!$A$1:$I$89,5,0)</f>
        <v>371.4856079999999</v>
      </c>
      <c r="CV81" s="13">
        <f t="shared" si="95"/>
        <v>85.971164612731641</v>
      </c>
      <c r="CW81" s="20">
        <f t="shared" si="67"/>
        <v>796.73721230050739</v>
      </c>
      <c r="CX81" s="59">
        <f t="shared" si="68"/>
        <v>1090.0705456338408</v>
      </c>
      <c r="CY81" s="59">
        <f ca="1">AVERAGE(OFFSET($CX$3,0,0,'Données projet'!$E$13+1,1))-AVERAGE(OFFSET($H$3,0,0,'Données projet'!$E$13+1,1))</f>
        <v>733.95677909788878</v>
      </c>
      <c r="CZ81" s="59">
        <f t="shared" si="96"/>
        <v>264.63778997972378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110.01014542746421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110.01014542746421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16.600000000000001</v>
      </c>
      <c r="N82" s="13">
        <f>IF('Données projet'!$A$36&gt;35,N81+M82-V81,IF(A82&lt;'Données projet'!$A$36,$K$205^A82,IF(A82='Données projet'!$A$36,'Données projet'!$B$36,N81+M82-V81)))</f>
        <v>884.40000000000009</v>
      </c>
      <c r="O82" s="13">
        <f>N82*VLOOKUP('Données projet'!$B$9,Paramètres!$A$1:$I$89,3,0)*VLOOKUP('Données projet'!$B$9,Paramètres!$A$1:$I$89,5,0)</f>
        <v>413.89920000000001</v>
      </c>
      <c r="P82" s="13">
        <f t="shared" si="87"/>
        <v>94.588888447353682</v>
      </c>
      <c r="Q82" s="20">
        <f t="shared" si="54"/>
        <v>885.61675404580762</v>
      </c>
      <c r="R82" s="59">
        <f t="shared" si="55"/>
        <v>1178.950087379141</v>
      </c>
      <c r="S82" s="59">
        <f ca="1">AVERAGE(OFFSET($R$3,0,0,'Données projet'!$E$9+1,1))-AVERAGE(OFFSET($H$3,0,0,'Données projet'!$E$9+1,1))</f>
        <v>488.67934252295686</v>
      </c>
      <c r="T82" s="59">
        <f t="shared" si="88"/>
        <v>424.50324471331095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124.64680876708391</v>
      </c>
      <c r="AA82" s="21">
        <f>EXP(-LN(2)/25)*AA81+(1-EXP(-LN(2)/25))/(LN(2)/25)*Calculateur!V82*Calculateur!X82*VLOOKUP('Données projet'!$B$9,Paramètres!$A$1:$I$89,3,0)*0.475*44/12</f>
        <v>12.591136343955981</v>
      </c>
      <c r="AB82" s="21">
        <f>EXP(-LN(2)/2)*AB81+(1-EXP(-LN(2)/2))/(LN(2)/2)*V82*Y82*VLOOKUP('Données projet'!$B$9,Paramètres!$A$1:$I$89,3,0)*0.475*44/12</f>
        <v>3.4197361570512316E-8</v>
      </c>
      <c r="AC82" s="22">
        <f t="shared" si="57"/>
        <v>137.23794514523726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</v>
      </c>
      <c r="AI82" s="13">
        <f>IF('Données projet'!$A$62&gt;35,AI81+AH82-AQ81,IF(A82&lt;'Données projet'!$A$62,$AF$205^A82,IF(A82='Données projet'!$A$62,'Données projet'!$B$62,AI81+AH82-AQ81)))</f>
        <v>707</v>
      </c>
      <c r="AJ82" s="13">
        <f>AI82*VLOOKUP('Données projet'!$B$10,Paramètres!$A$1:$I$89,3,0)*VLOOKUP('Données projet'!$B$10,Paramètres!$A$1:$I$89,5,0)</f>
        <v>422.78600000000006</v>
      </c>
      <c r="AK82" s="13">
        <f t="shared" si="89"/>
        <v>96.381176889504729</v>
      </c>
      <c r="AL82" s="20">
        <f t="shared" si="58"/>
        <v>904.21616641588753</v>
      </c>
      <c r="AM82" s="59">
        <f t="shared" si="59"/>
        <v>1197.5494997492208</v>
      </c>
      <c r="AN82" s="59">
        <f ca="1">AVERAGE(OFFSET($AM$3,0,0,'Données projet'!$E$10+1,1))-AVERAGE(OFFSET($H$3,0,0,'Données projet'!$E$10+1,1))</f>
        <v>504.81063008331739</v>
      </c>
      <c r="AO82" s="59">
        <f t="shared" si="90"/>
        <v>441.82647565372287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89.269547158579783</v>
      </c>
      <c r="AV82" s="21">
        <f>EXP(-LN(2)/25)*AV81+(1-EXP(-LN(2)/25))/(LN(2)/25)*Calculateur!AQ82*Calculateur!AS82*VLOOKUP('Données projet'!$B$10,Paramètres!$A$1:$I$89,3,0)*0.475*44/12</f>
        <v>15.133639147140322</v>
      </c>
      <c r="AW82" s="21">
        <f>EXP(-LN(2)/2)*AW81+(1-EXP(-LN(2)/2))/(LN(2)/2)*AQ82*AT82*VLOOKUP('Données projet'!$B$10,Paramètres!$A$1:$I$89,3,0)*0.475*44/12</f>
        <v>2.207013032141044E-9</v>
      </c>
      <c r="AX82" s="21">
        <f t="shared" si="60"/>
        <v>104.40318630792713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272.19999999999982</v>
      </c>
      <c r="BE82" s="13">
        <f>BD82*VLOOKUP('Données projet'!$B$11,Paramètres!$A$1:$I$89,3,0)*VLOOKUP('Données projet'!$B$11,Paramètres!$A$1:$I$89,5,0)</f>
        <v>237.79391999999984</v>
      </c>
      <c r="BF82" s="13">
        <f t="shared" si="91"/>
        <v>57.96462682570845</v>
      </c>
      <c r="BG82" s="20">
        <f t="shared" si="61"/>
        <v>515.11280238810866</v>
      </c>
      <c r="BH82" s="59">
        <f t="shared" si="62"/>
        <v>808.44613572144203</v>
      </c>
      <c r="BI82" s="59">
        <f ca="1">AVERAGE(OFFSET($BH$3,0,0,'Données projet'!$E$11+1,1))-AVERAGE(OFFSET($H$3,0,0,'Données projet'!$E$11+1,1))</f>
        <v>324.86930206492627</v>
      </c>
      <c r="BJ82" s="59">
        <f t="shared" si="92"/>
        <v>317.03005098025352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44.416632516794387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44.416632516794387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7.2</v>
      </c>
      <c r="BY82" s="12">
        <f>IF('Données projet'!$A$114&gt;35,BY81+BX82-CG81,IF(A82&lt;'Données projet'!$A$114,$BV$205^A82,IF(A82='Données projet'!$A$114,'Données projet'!$B$114,BY81+BX82-CG81)))</f>
        <v>312.8</v>
      </c>
      <c r="BZ82" s="13">
        <f>BY82*VLOOKUP('Données projet'!$B$12,Paramètres!$A$1:$I$89,3,0)*VLOOKUP('Données projet'!$B$12,Paramètres!$A$1:$I$89,5,0)</f>
        <v>317.17920000000004</v>
      </c>
      <c r="CA82" s="13">
        <f t="shared" si="93"/>
        <v>74.766129261581426</v>
      </c>
      <c r="CB82" s="20">
        <f t="shared" si="64"/>
        <v>682.63811513058772</v>
      </c>
      <c r="CC82" s="59">
        <f t="shared" si="65"/>
        <v>975.97144846392098</v>
      </c>
      <c r="CD82" s="59">
        <f ca="1">AVERAGE(OFFSET($CC$3,0,0,'Données projet'!$E$12+1,1))-AVERAGE(OFFSET($H$3,0,0,'Données projet'!$E$12+1,1))</f>
        <v>487.18832528146936</v>
      </c>
      <c r="CE82" s="59">
        <f t="shared" si="94"/>
        <v>306.61893266146666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78.007075693201287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78.007075693201287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11.447499999999998</v>
      </c>
      <c r="CT82" s="12">
        <f>IF('Données projet'!$A$140&gt;35,CT81+CS82-DB81,IF(A82&lt;'Données projet'!$A$140,$CQ$205^A82,IF(A82='Données projet'!$A$140,'Données projet'!$B$140,CT81+CS82-DB81)))</f>
        <v>401.82749999999987</v>
      </c>
      <c r="CU82" s="17">
        <f>CT82*VLOOKUP('Données projet'!$B$13,Paramètres!$A$1:$I$89,3,0)*VLOOKUP('Données projet'!$B$13,Paramètres!$A$1:$I$89,5,0)</f>
        <v>382.3790489999999</v>
      </c>
      <c r="CV82" s="13">
        <f t="shared" si="95"/>
        <v>88.194975046355495</v>
      </c>
      <c r="CW82" s="20">
        <f t="shared" si="67"/>
        <v>819.58309188073554</v>
      </c>
      <c r="CX82" s="59">
        <f t="shared" si="68"/>
        <v>1112.9164252140688</v>
      </c>
      <c r="CY82" s="59">
        <f ca="1">AVERAGE(OFFSET($CX$3,0,0,'Données projet'!$E$13+1,1))-AVERAGE(OFFSET($H$3,0,0,'Données projet'!$E$13+1,1))</f>
        <v>733.95677909788878</v>
      </c>
      <c r="CZ82" s="59">
        <f t="shared" si="96"/>
        <v>264.63778997972378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107.85291357519482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107.85291357519482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901</v>
      </c>
      <c r="L83" s="12">
        <f>VLOOKUP(A83,'Données projet'!$A$35:$I$55,9,0)</f>
        <v>16.600000000000001</v>
      </c>
      <c r="M83" s="12">
        <f t="array" ref="M83">INDEX(L:L,MIN(IF(ISNUMBER(L83:L279),ROW(L83:L279),"")))</f>
        <v>16.600000000000001</v>
      </c>
      <c r="N83" s="13">
        <f>IF('Données projet'!$A$36&gt;35,N82+M83-V82,IF(A83&lt;'Données projet'!$A$36,$K$205^A83,IF(A83='Données projet'!$A$36,'Données projet'!$B$36,N82+M83-V82)))</f>
        <v>901.00000000000011</v>
      </c>
      <c r="O83" s="13">
        <f>N83*VLOOKUP('Données projet'!$B$9,Paramètres!$A$1:$I$89,3,0)*VLOOKUP('Données projet'!$B$9,Paramètres!$A$1:$I$89,5,0)</f>
        <v>421.66800000000001</v>
      </c>
      <c r="P83" s="13">
        <f t="shared" si="87"/>
        <v>96.15594180669585</v>
      </c>
      <c r="Q83" s="20">
        <f t="shared" si="54"/>
        <v>901.87669864666202</v>
      </c>
      <c r="R83" s="59">
        <f t="shared" si="55"/>
        <v>1195.2100319799954</v>
      </c>
      <c r="S83" s="59">
        <f ca="1">AVERAGE(OFFSET($R$3,0,0,'Données projet'!$E$9+1,1))-AVERAGE(OFFSET($H$3,0,0,'Données projet'!$E$9+1,1))</f>
        <v>488.67934252295686</v>
      </c>
      <c r="T83" s="59">
        <f t="shared" si="88"/>
        <v>424.50324471331095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48</v>
      </c>
      <c r="W83" s="16">
        <f>IF(ISNA(VLOOKUP(A83,'Données projet'!$A$35:$I$55,5,0)),0%,VLOOKUP(A83,'Données projet'!$A$35:$I$55,5,0)*VLOOKUP('Données projet'!$B$9,Paramètres!$A$1:$I$89,7,0))</f>
        <v>0.55000000000000004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138.59253003405431</v>
      </c>
      <c r="AA83" s="21">
        <f>EXP(-LN(2)/25)*AA82+(1-EXP(-LN(2)/25))/(LN(2)/25)*Calculateur!V83*Calculateur!X83*VLOOKUP('Données projet'!$B$9,Paramètres!$A$1:$I$89,3,0)*0.475*44/12</f>
        <v>12.246831058491422</v>
      </c>
      <c r="AB83" s="21">
        <f>EXP(-LN(2)/2)*AB82+(1-EXP(-LN(2)/2))/(LN(2)/2)*V83*Y83*VLOOKUP('Données projet'!$B$9,Paramètres!$A$1:$I$89,3,0)*0.475*44/12</f>
        <v>2.4181186265197502E-8</v>
      </c>
      <c r="AC83" s="22">
        <f t="shared" si="57"/>
        <v>150.83936111672691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718</v>
      </c>
      <c r="AG83" s="12">
        <f>VLOOKUP(A83,'Données projet'!$A$61:$I$81,9,0)</f>
        <v>11</v>
      </c>
      <c r="AH83" s="12">
        <f t="array" ref="AH83">INDEX(AG:AG,MIN(IF(ISNUMBER(AG83:AG279),ROW(AG83:AG279),"")))</f>
        <v>11</v>
      </c>
      <c r="AI83" s="13">
        <f>IF('Données projet'!$A$62&gt;35,AI82+AH83-AQ82,IF(A83&lt;'Données projet'!$A$62,$AF$205^A83,IF(A83='Données projet'!$A$62,'Données projet'!$B$62,AI82+AH83-AQ82)))</f>
        <v>718</v>
      </c>
      <c r="AJ83" s="13">
        <f>AI83*VLOOKUP('Données projet'!$B$10,Paramètres!$A$1:$I$89,3,0)*VLOOKUP('Données projet'!$B$10,Paramètres!$A$1:$I$89,5,0)</f>
        <v>429.36400000000003</v>
      </c>
      <c r="AK83" s="13">
        <f t="shared" si="89"/>
        <v>97.705000203350068</v>
      </c>
      <c r="AL83" s="20">
        <f t="shared" si="58"/>
        <v>917.9785086875014</v>
      </c>
      <c r="AM83" s="59">
        <f t="shared" si="59"/>
        <v>1211.3118420208348</v>
      </c>
      <c r="AN83" s="59">
        <f ca="1">AVERAGE(OFFSET($AM$3,0,0,'Données projet'!$E$10+1,1))-AVERAGE(OFFSET($H$3,0,0,'Données projet'!$E$10+1,1))</f>
        <v>504.81063008331739</v>
      </c>
      <c r="AO83" s="59">
        <f t="shared" si="90"/>
        <v>441.82647565372287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29</v>
      </c>
      <c r="AR83" s="16">
        <f>IF(ISNA(VLOOKUP(A83,'Données projet'!$A$61:$I$81,5,0)),0%,VLOOKUP(A83,'Données projet'!$A$61:$I$81,5,0)*VLOOKUP('Données projet'!$B$10,Paramètres!$A$1:$I$89,7,0))</f>
        <v>0.45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97.871402141652027</v>
      </c>
      <c r="AV83" s="21">
        <f>EXP(-LN(2)/25)*AV82+(1-EXP(-LN(2)/25))/(LN(2)/25)*Calculateur!AQ83*Calculateur!AS83*VLOOKUP('Données projet'!$B$10,Paramètres!$A$1:$I$89,3,0)*0.475*44/12</f>
        <v>14.719808988818276</v>
      </c>
      <c r="AW83" s="21">
        <f>EXP(-LN(2)/2)*AW82+(1-EXP(-LN(2)/2))/(LN(2)/2)*AQ83*AT83*VLOOKUP('Données projet'!$B$10,Paramètres!$A$1:$I$89,3,0)*0.475*44/12</f>
        <v>1.560593881194016E-9</v>
      </c>
      <c r="AX83" s="21">
        <f t="shared" si="60"/>
        <v>112.59121113203089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274.99999999999983</v>
      </c>
      <c r="BE83" s="13">
        <f>BD83*VLOOKUP('Données projet'!$B$11,Paramètres!$A$1:$I$89,3,0)*VLOOKUP('Données projet'!$B$11,Paramètres!$A$1:$I$89,5,0)</f>
        <v>240.23999999999987</v>
      </c>
      <c r="BF83" s="13">
        <f t="shared" si="91"/>
        <v>58.491164647183084</v>
      </c>
      <c r="BG83" s="20">
        <f t="shared" si="61"/>
        <v>520.29011176051029</v>
      </c>
      <c r="BH83" s="59">
        <f t="shared" si="62"/>
        <v>813.62344509384366</v>
      </c>
      <c r="BI83" s="59">
        <f ca="1">AVERAGE(OFFSET($BH$3,0,0,'Données projet'!$E$11+1,1))-AVERAGE(OFFSET($H$3,0,0,'Données projet'!$E$11+1,1))</f>
        <v>324.86930206492627</v>
      </c>
      <c r="BJ83" s="59">
        <f t="shared" si="92"/>
        <v>317.03005098025352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8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47.64038248050516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47.64038248050516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320</v>
      </c>
      <c r="BW83" s="12">
        <f>VLOOKUP(A83,'Données projet'!$A$113:$I$133,9,0)</f>
        <v>7.2</v>
      </c>
      <c r="BX83" s="12">
        <f t="array" ref="BX83">INDEX(BW:BW,MIN(IF(ISNUMBER(BW83:BW279),ROW(BW83:BW279),"")))</f>
        <v>7.2</v>
      </c>
      <c r="BY83" s="12">
        <f>IF('Données projet'!$A$114&gt;35,BY82+BX83-CG82,IF(A83&lt;'Données projet'!$A$114,$BV$205^A83,IF(A83='Données projet'!$A$114,'Données projet'!$B$114,BY82+BX83-CG82)))</f>
        <v>320</v>
      </c>
      <c r="BZ83" s="13">
        <f>BY83*VLOOKUP('Données projet'!$B$12,Paramètres!$A$1:$I$89,3,0)*VLOOKUP('Données projet'!$B$12,Paramètres!$A$1:$I$89,5,0)</f>
        <v>324.48</v>
      </c>
      <c r="CA83" s="13">
        <f t="shared" si="93"/>
        <v>76.284749200165578</v>
      </c>
      <c r="CB83" s="20">
        <f t="shared" si="64"/>
        <v>697.99860485695501</v>
      </c>
      <c r="CC83" s="59">
        <f t="shared" si="65"/>
        <v>991.33193819028838</v>
      </c>
      <c r="CD83" s="59">
        <f ca="1">AVERAGE(OFFSET($CC$3,0,0,'Données projet'!$E$12+1,1))-AVERAGE(OFFSET($H$3,0,0,'Données projet'!$E$12+1,1))</f>
        <v>487.18832528146936</v>
      </c>
      <c r="CE83" s="59">
        <f t="shared" si="94"/>
        <v>306.61893266146666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89.973605975226477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89.973605975226477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11.447499999999998</v>
      </c>
      <c r="CT83" s="12">
        <f>IF('Données projet'!$A$140&gt;35,CT82+CS83-DB82,IF(A83&lt;'Données projet'!$A$140,$CQ$205^A83,IF(A83='Données projet'!$A$140,'Données projet'!$B$140,CT82+CS83-DB82)))</f>
        <v>413.27499999999986</v>
      </c>
      <c r="CU83" s="17">
        <f>CT83*VLOOKUP('Données projet'!$B$13,Paramètres!$A$1:$I$89,3,0)*VLOOKUP('Données projet'!$B$13,Paramètres!$A$1:$I$89,5,0)</f>
        <v>393.27248999999989</v>
      </c>
      <c r="CV83" s="13">
        <f t="shared" si="95"/>
        <v>90.411422324994859</v>
      </c>
      <c r="CW83" s="20">
        <f t="shared" si="67"/>
        <v>842.41614729936589</v>
      </c>
      <c r="CX83" s="59">
        <f t="shared" si="68"/>
        <v>1135.7494806326993</v>
      </c>
      <c r="CY83" s="59">
        <f ca="1">AVERAGE(OFFSET($CX$3,0,0,'Données projet'!$E$13+1,1))-AVERAGE(OFFSET($H$3,0,0,'Données projet'!$E$13+1,1))</f>
        <v>733.95677909788878</v>
      </c>
      <c r="CZ83" s="59">
        <f t="shared" si="96"/>
        <v>264.63778997972378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105.73798372376692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105.73798372376692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853.00000000000011</v>
      </c>
      <c r="O84" s="13">
        <f>N84*VLOOKUP('Données projet'!$B$9,Paramètres!$A$1:$I$89,3,0)*VLOOKUP('Données projet'!$B$9,Paramètres!$A$1:$I$89,5,0)</f>
        <v>399.20400000000006</v>
      </c>
      <c r="P84" s="13">
        <f t="shared" si="87"/>
        <v>91.615269732888521</v>
      </c>
      <c r="Q84" s="20">
        <f t="shared" si="54"/>
        <v>854.8435614514475</v>
      </c>
      <c r="R84" s="59">
        <f t="shared" si="55"/>
        <v>1148.1768947847809</v>
      </c>
      <c r="S84" s="59">
        <f ca="1">AVERAGE(OFFSET($R$3,0,0,'Données projet'!$E$9+1,1))-AVERAGE(OFFSET($H$3,0,0,'Données projet'!$E$9+1,1))</f>
        <v>488.67934252295686</v>
      </c>
      <c r="T84" s="59">
        <f t="shared" si="88"/>
        <v>424.50324471331095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135.87481505318289</v>
      </c>
      <c r="AA84" s="21">
        <f>EXP(-LN(2)/25)*AA83+(1-EXP(-LN(2)/25))/(LN(2)/25)*Calculateur!V84*Calculateur!X84*VLOOKUP('Données projet'!$B$9,Paramètres!$A$1:$I$89,3,0)*0.475*44/12</f>
        <v>11.911940819164119</v>
      </c>
      <c r="AB84" s="21">
        <f>EXP(-LN(2)/2)*AB83+(1-EXP(-LN(2)/2))/(LN(2)/2)*V84*Y84*VLOOKUP('Données projet'!$B$9,Paramètres!$A$1:$I$89,3,0)*0.475*44/12</f>
        <v>1.7098680785256158E-8</v>
      </c>
      <c r="AC84" s="22">
        <f t="shared" si="57"/>
        <v>147.78675588944569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689</v>
      </c>
      <c r="AJ84" s="13">
        <f>AI84*VLOOKUP('Données projet'!$B$10,Paramètres!$A$1:$I$89,3,0)*VLOOKUP('Données projet'!$B$10,Paramètres!$A$1:$I$89,5,0)</f>
        <v>412.02199999999999</v>
      </c>
      <c r="AK84" s="13">
        <f t="shared" si="89"/>
        <v>94.209724877926391</v>
      </c>
      <c r="AL84" s="20">
        <f t="shared" si="58"/>
        <v>881.686920829055</v>
      </c>
      <c r="AM84" s="59">
        <f t="shared" si="59"/>
        <v>1175.0202541623883</v>
      </c>
      <c r="AN84" s="59">
        <f ca="1">AVERAGE(OFFSET($AM$3,0,0,'Données projet'!$E$10+1,1))-AVERAGE(OFFSET($H$3,0,0,'Données projet'!$E$10+1,1))</f>
        <v>504.81063008331739</v>
      </c>
      <c r="AO84" s="59">
        <f t="shared" si="90"/>
        <v>441.82647565372287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95.95220364131508</v>
      </c>
      <c r="AV84" s="21">
        <f>EXP(-LN(2)/25)*AV83+(1-EXP(-LN(2)/25))/(LN(2)/25)*Calculateur!AQ84*Calculateur!AS84*VLOOKUP('Données projet'!$B$10,Paramètres!$A$1:$I$89,3,0)*0.475*44/12</f>
        <v>14.317295037937928</v>
      </c>
      <c r="AW84" s="21">
        <f>EXP(-LN(2)/2)*AW83+(1-EXP(-LN(2)/2))/(LN(2)/2)*AQ84*AT84*VLOOKUP('Données projet'!$B$10,Paramètres!$A$1:$I$89,3,0)*0.475*44/12</f>
        <v>1.103506516070522E-9</v>
      </c>
      <c r="AX84" s="21">
        <f t="shared" si="60"/>
        <v>110.26949868035651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266.99999999999983</v>
      </c>
      <c r="BE84" s="13">
        <f>BD84*VLOOKUP('Données projet'!$B$11,Paramètres!$A$1:$I$89,3,0)*VLOOKUP('Données projet'!$B$11,Paramètres!$A$1:$I$89,5,0)</f>
        <v>233.2511999999999</v>
      </c>
      <c r="BF84" s="13">
        <f t="shared" si="91"/>
        <v>56.985091661350864</v>
      </c>
      <c r="BG84" s="20">
        <f t="shared" si="61"/>
        <v>505.49487464351915</v>
      </c>
      <c r="BH84" s="59">
        <f t="shared" si="62"/>
        <v>798.82820797685247</v>
      </c>
      <c r="BI84" s="59">
        <f ca="1">AVERAGE(OFFSET($BH$3,0,0,'Données projet'!$E$11+1,1))-AVERAGE(OFFSET($H$3,0,0,'Données projet'!$E$11+1,1))</f>
        <v>324.86930206492627</v>
      </c>
      <c r="BJ84" s="59">
        <f t="shared" si="92"/>
        <v>317.03005098025352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46.706183637826548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46.706183637826548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6.8</v>
      </c>
      <c r="BY84" s="12">
        <f>IF('Données projet'!$A$114&gt;35,BY83+BX84-CG83,IF(A84&lt;'Données projet'!$A$114,$BV$205^A84,IF(A84='Données projet'!$A$114,'Données projet'!$B$114,BY83+BX84-CG83)))</f>
        <v>298.8</v>
      </c>
      <c r="BZ84" s="13">
        <f>BY84*VLOOKUP('Données projet'!$B$12,Paramètres!$A$1:$I$89,3,0)*VLOOKUP('Données projet'!$B$12,Paramètres!$A$1:$I$89,5,0)</f>
        <v>302.98320000000007</v>
      </c>
      <c r="CA84" s="13">
        <f t="shared" si="93"/>
        <v>71.801496173397709</v>
      </c>
      <c r="CB84" s="20">
        <f t="shared" si="64"/>
        <v>652.75001250200114</v>
      </c>
      <c r="CC84" s="59">
        <f t="shared" si="65"/>
        <v>946.08334583533451</v>
      </c>
      <c r="CD84" s="59">
        <f ca="1">AVERAGE(OFFSET($CC$3,0,0,'Données projet'!$E$12+1,1))-AVERAGE(OFFSET($H$3,0,0,'Données projet'!$E$12+1,1))</f>
        <v>487.18832528146936</v>
      </c>
      <c r="CE84" s="59">
        <f t="shared" si="94"/>
        <v>306.61893266146666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88.209278440533126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88.209278440533126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11.447499999999998</v>
      </c>
      <c r="CT84" s="12">
        <f>IF('Données projet'!$A$140&gt;35,CT83+CS84-DB83,IF(A84&lt;'Données projet'!$A$140,$CQ$205^A84,IF(A84='Données projet'!$A$140,'Données projet'!$B$140,CT83+CS84-DB83)))</f>
        <v>424.72249999999985</v>
      </c>
      <c r="CU84" s="17">
        <f>CT84*VLOOKUP('Données projet'!$B$13,Paramètres!$A$1:$I$89,3,0)*VLOOKUP('Données projet'!$B$13,Paramètres!$A$1:$I$89,5,0)</f>
        <v>404.16593099999989</v>
      </c>
      <c r="CV84" s="13">
        <f t="shared" si="95"/>
        <v>92.620733836813855</v>
      </c>
      <c r="CW84" s="20">
        <f t="shared" si="67"/>
        <v>865.23677459078397</v>
      </c>
      <c r="CX84" s="59">
        <f t="shared" si="68"/>
        <v>1158.5701079241173</v>
      </c>
      <c r="CY84" s="59">
        <f ca="1">AVERAGE(OFFSET($CX$3,0,0,'Données projet'!$E$13+1,1))-AVERAGE(OFFSET($H$3,0,0,'Données projet'!$E$13+1,1))</f>
        <v>733.95677909788878</v>
      </c>
      <c r="CZ84" s="59">
        <f t="shared" si="96"/>
        <v>264.63778997972378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103.66452635674568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103.66452635674568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853.00000000000011</v>
      </c>
      <c r="O85" s="13">
        <f>N85*VLOOKUP('Données projet'!$B$9,Paramètres!$A$1:$I$89,3,0)*VLOOKUP('Données projet'!$B$9,Paramètres!$A$1:$I$89,5,0)</f>
        <v>399.20400000000006</v>
      </c>
      <c r="P85" s="13">
        <f t="shared" si="87"/>
        <v>91.615269732888521</v>
      </c>
      <c r="Q85" s="20">
        <f t="shared" si="54"/>
        <v>854.8435614514475</v>
      </c>
      <c r="R85" s="59">
        <f t="shared" si="55"/>
        <v>1148.1768947847809</v>
      </c>
      <c r="S85" s="59">
        <f ca="1">AVERAGE(OFFSET($R$3,0,0,'Données projet'!$E$9+1,1))-AVERAGE(OFFSET($H$3,0,0,'Données projet'!$E$9+1,1))</f>
        <v>488.67934252295686</v>
      </c>
      <c r="T85" s="59">
        <f t="shared" si="88"/>
        <v>424.50324471331095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133.21039280544389</v>
      </c>
      <c r="AA85" s="21">
        <f>EXP(-LN(2)/25)*AA84+(1-EXP(-LN(2)/25))/(LN(2)/25)*Calculateur!V85*Calculateur!X85*VLOOKUP('Données projet'!$B$9,Paramètres!$A$1:$I$89,3,0)*0.475*44/12</f>
        <v>11.586208171042333</v>
      </c>
      <c r="AB85" s="21">
        <f>EXP(-LN(2)/2)*AB84+(1-EXP(-LN(2)/2))/(LN(2)/2)*V85*Y85*VLOOKUP('Données projet'!$B$9,Paramètres!$A$1:$I$89,3,0)*0.475*44/12</f>
        <v>1.2090593132598751E-8</v>
      </c>
      <c r="AC85" s="22">
        <f t="shared" si="57"/>
        <v>144.79660098857681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689</v>
      </c>
      <c r="AJ85" s="13">
        <f>AI85*VLOOKUP('Données projet'!$B$10,Paramètres!$A$1:$I$89,3,0)*VLOOKUP('Données projet'!$B$10,Paramètres!$A$1:$I$89,5,0)</f>
        <v>412.02199999999999</v>
      </c>
      <c r="AK85" s="13">
        <f t="shared" si="89"/>
        <v>94.209724877926391</v>
      </c>
      <c r="AL85" s="20">
        <f t="shared" si="58"/>
        <v>881.686920829055</v>
      </c>
      <c r="AM85" s="59">
        <f t="shared" si="59"/>
        <v>1175.0202541623883</v>
      </c>
      <c r="AN85" s="59">
        <f ca="1">AVERAGE(OFFSET($AM$3,0,0,'Données projet'!$E$10+1,1))-AVERAGE(OFFSET($H$3,0,0,'Données projet'!$E$10+1,1))</f>
        <v>504.81063008331739</v>
      </c>
      <c r="AO85" s="59">
        <f t="shared" si="90"/>
        <v>441.82647565372287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94.070639452974248</v>
      </c>
      <c r="AV85" s="21">
        <f>EXP(-LN(2)/25)*AV84+(1-EXP(-LN(2)/25))/(LN(2)/25)*Calculateur!AQ85*Calculateur!AS85*VLOOKUP('Données projet'!$B$10,Paramètres!$A$1:$I$89,3,0)*0.475*44/12</f>
        <v>13.925787852211691</v>
      </c>
      <c r="AW85" s="21">
        <f>EXP(-LN(2)/2)*AW84+(1-EXP(-LN(2)/2))/(LN(2)/2)*AQ85*AT85*VLOOKUP('Données projet'!$B$10,Paramètres!$A$1:$I$89,3,0)*0.475*44/12</f>
        <v>7.8029694059700799E-10</v>
      </c>
      <c r="AX85" s="21">
        <f t="shared" si="60"/>
        <v>107.99642730596624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266.99999999999983</v>
      </c>
      <c r="BE85" s="13">
        <f>BD85*VLOOKUP('Données projet'!$B$11,Paramètres!$A$1:$I$89,3,0)*VLOOKUP('Données projet'!$B$11,Paramètres!$A$1:$I$89,5,0)</f>
        <v>233.2511999999999</v>
      </c>
      <c r="BF85" s="13">
        <f t="shared" si="91"/>
        <v>56.985091661350864</v>
      </c>
      <c r="BG85" s="20">
        <f t="shared" si="61"/>
        <v>505.49487464351915</v>
      </c>
      <c r="BH85" s="59">
        <f t="shared" si="62"/>
        <v>798.82820797685247</v>
      </c>
      <c r="BI85" s="59">
        <f ca="1">AVERAGE(OFFSET($BH$3,0,0,'Données projet'!$E$11+1,1))-AVERAGE(OFFSET($H$3,0,0,'Données projet'!$E$11+1,1))</f>
        <v>324.86930206492627</v>
      </c>
      <c r="BJ85" s="59">
        <f t="shared" si="92"/>
        <v>317.03005098025352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45.790303864647839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45.790303864647839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6.8</v>
      </c>
      <c r="BY85" s="12">
        <f>IF('Données projet'!$A$114&gt;35,BY84+BX85-CG84,IF(A85&lt;'Données projet'!$A$114,$BV$205^A85,IF(A85='Données projet'!$A$114,'Données projet'!$B$114,BY84+BX85-CG84)))</f>
        <v>305.60000000000002</v>
      </c>
      <c r="BZ85" s="13">
        <f>BY85*VLOOKUP('Données projet'!$B$12,Paramètres!$A$1:$I$89,3,0)*VLOOKUP('Données projet'!$B$12,Paramètres!$A$1:$I$89,5,0)</f>
        <v>309.87840000000006</v>
      </c>
      <c r="CA85" s="13">
        <f t="shared" si="93"/>
        <v>73.243434672131556</v>
      </c>
      <c r="CB85" s="20">
        <f t="shared" si="64"/>
        <v>667.27052872062916</v>
      </c>
      <c r="CC85" s="59">
        <f t="shared" si="65"/>
        <v>960.60386205396253</v>
      </c>
      <c r="CD85" s="59">
        <f ca="1">AVERAGE(OFFSET($CC$3,0,0,'Données projet'!$E$12+1,1))-AVERAGE(OFFSET($H$3,0,0,'Données projet'!$E$12+1,1))</f>
        <v>487.18832528146936</v>
      </c>
      <c r="CE85" s="59">
        <f t="shared" si="94"/>
        <v>306.61893266146666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86.479548292661576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86.479548292661576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>
        <f>VLOOKUP(A85,'Données projet'!$A$139:$I$159,2,0)</f>
        <v>436.17</v>
      </c>
      <c r="CR85" s="12">
        <f>VLOOKUP(A85,'Données projet'!$A$139:$I$159,9,0)</f>
        <v>11.447499999999998</v>
      </c>
      <c r="CS85" s="12">
        <f t="array" ref="CS85">INDEX(CR:CR,MIN(IF(ISNUMBER(CR85:CR281),ROW(CR85:CR281),"")))</f>
        <v>11.447499999999998</v>
      </c>
      <c r="CT85" s="12">
        <f>IF('Données projet'!$A$140&gt;35,CT84+CS85-DB84,IF(A85&lt;'Données projet'!$A$140,$CQ$205^A85,IF(A85='Données projet'!$A$140,'Données projet'!$B$140,CT84+CS85-DB84)))</f>
        <v>436.16999999999985</v>
      </c>
      <c r="CU85" s="17">
        <f>CT85*VLOOKUP('Données projet'!$B$13,Paramètres!$A$1:$I$89,3,0)*VLOOKUP('Données projet'!$B$13,Paramètres!$A$1:$I$89,5,0)</f>
        <v>415.05937199999988</v>
      </c>
      <c r="CV85" s="13">
        <f t="shared" si="95"/>
        <v>94.823124014637926</v>
      </c>
      <c r="CW85" s="20">
        <f t="shared" si="67"/>
        <v>888.04534722549408</v>
      </c>
      <c r="CX85" s="59">
        <f t="shared" si="68"/>
        <v>1181.3786805588275</v>
      </c>
      <c r="CY85" s="59">
        <f ca="1">AVERAGE(OFFSET($CX$3,0,0,'Données projet'!$E$13+1,1))-AVERAGE(OFFSET($H$3,0,0,'Données projet'!$E$13+1,1))</f>
        <v>733.95677909788878</v>
      </c>
      <c r="CZ85" s="59">
        <f t="shared" si="96"/>
        <v>264.63778997972378</v>
      </c>
      <c r="DA85" s="15">
        <f>IF(ISNA(VLOOKUP(A85,'Données projet'!$A$139:$I$159,3,0)),0,VLOOKUP(A85,'Données projet'!$A$139:$I$159,3,0))</f>
        <v>7</v>
      </c>
      <c r="DB85" s="15">
        <f>IF(ISNA(VLOOKUP(A85,'Données projet'!$A$139:$I$159,4,0)),0,VLOOKUP(A85,'Données projet'!$A$139:$I$159,4,0))</f>
        <v>53.92</v>
      </c>
      <c r="DC85" s="16">
        <f>IF(ISNA(VLOOKUP(A85,'Données projet'!$A$139:$I$159,5,0)),0%,VLOOKUP(A85,'Données projet'!$A$139:$I$159,5,0)*VLOOKUP('Données projet'!$B$13,Paramètres!$A$1:$I$89,7,0))</f>
        <v>0.43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126.02218214457254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126.02218214457254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853.00000000000011</v>
      </c>
      <c r="O86" s="13">
        <f>N86*VLOOKUP('Données projet'!$B$9,Paramètres!$A$1:$I$89,3,0)*VLOOKUP('Données projet'!$B$9,Paramètres!$A$1:$I$89,5,0)</f>
        <v>399.20400000000006</v>
      </c>
      <c r="P86" s="13">
        <f t="shared" si="87"/>
        <v>91.615269732888521</v>
      </c>
      <c r="Q86" s="20">
        <f t="shared" si="54"/>
        <v>854.8435614514475</v>
      </c>
      <c r="R86" s="59">
        <f t="shared" si="55"/>
        <v>1148.1768947847809</v>
      </c>
      <c r="S86" s="59">
        <f ca="1">AVERAGE(OFFSET($R$3,0,0,'Données projet'!$E$9+1,1))-AVERAGE(OFFSET($H$3,0,0,'Données projet'!$E$9+1,1))</f>
        <v>488.67934252295686</v>
      </c>
      <c r="T86" s="59">
        <f t="shared" si="88"/>
        <v>424.50324471331095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130.59821825284595</v>
      </c>
      <c r="AA86" s="21">
        <f>EXP(-LN(2)/25)*AA85+(1-EXP(-LN(2)/25))/(LN(2)/25)*Calculateur!V86*Calculateur!X86*VLOOKUP('Données projet'!$B$9,Paramètres!$A$1:$I$89,3,0)*0.475*44/12</f>
        <v>11.269382699312974</v>
      </c>
      <c r="AB86" s="21">
        <f>EXP(-LN(2)/2)*AB85+(1-EXP(-LN(2)/2))/(LN(2)/2)*V86*Y86*VLOOKUP('Données projet'!$B$9,Paramètres!$A$1:$I$89,3,0)*0.475*44/12</f>
        <v>8.549340392628079E-9</v>
      </c>
      <c r="AC86" s="22">
        <f t="shared" si="57"/>
        <v>141.86760096070827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689</v>
      </c>
      <c r="AJ86" s="13">
        <f>AI86*VLOOKUP('Données projet'!$B$10,Paramètres!$A$1:$I$89,3,0)*VLOOKUP('Données projet'!$B$10,Paramètres!$A$1:$I$89,5,0)</f>
        <v>412.02199999999999</v>
      </c>
      <c r="AK86" s="13">
        <f t="shared" si="89"/>
        <v>94.209724877926391</v>
      </c>
      <c r="AL86" s="20">
        <f t="shared" si="58"/>
        <v>881.686920829055</v>
      </c>
      <c r="AM86" s="59">
        <f t="shared" si="59"/>
        <v>1175.0202541623883</v>
      </c>
      <c r="AN86" s="59">
        <f ca="1">AVERAGE(OFFSET($AM$3,0,0,'Données projet'!$E$10+1,1))-AVERAGE(OFFSET($H$3,0,0,'Données projet'!$E$10+1,1))</f>
        <v>504.81063008331739</v>
      </c>
      <c r="AO86" s="59">
        <f t="shared" si="90"/>
        <v>441.82647565372287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92.225971590725933</v>
      </c>
      <c r="AV86" s="21">
        <f>EXP(-LN(2)/25)*AV85+(1-EXP(-LN(2)/25))/(LN(2)/25)*Calculateur!AQ86*Calculateur!AS86*VLOOKUP('Données projet'!$B$10,Paramètres!$A$1:$I$89,3,0)*0.475*44/12</f>
        <v>13.544986451067608</v>
      </c>
      <c r="AW86" s="21">
        <f>EXP(-LN(2)/2)*AW85+(1-EXP(-LN(2)/2))/(LN(2)/2)*AQ86*AT86*VLOOKUP('Données projet'!$B$10,Paramètres!$A$1:$I$89,3,0)*0.475*44/12</f>
        <v>5.5175325803526099E-10</v>
      </c>
      <c r="AX86" s="21">
        <f t="shared" si="60"/>
        <v>105.77095804234528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266.99999999999983</v>
      </c>
      <c r="BE86" s="13">
        <f>BD86*VLOOKUP('Données projet'!$B$11,Paramètres!$A$1:$I$89,3,0)*VLOOKUP('Données projet'!$B$11,Paramètres!$A$1:$I$89,5,0)</f>
        <v>233.2511999999999</v>
      </c>
      <c r="BF86" s="13">
        <f t="shared" si="91"/>
        <v>56.985091661350864</v>
      </c>
      <c r="BG86" s="20">
        <f t="shared" si="61"/>
        <v>505.49487464351915</v>
      </c>
      <c r="BH86" s="59">
        <f t="shared" si="62"/>
        <v>798.82820797685247</v>
      </c>
      <c r="BI86" s="59">
        <f ca="1">AVERAGE(OFFSET($BH$3,0,0,'Données projet'!$E$11+1,1))-AVERAGE(OFFSET($H$3,0,0,'Données projet'!$E$11+1,1))</f>
        <v>324.86930206492627</v>
      </c>
      <c r="BJ86" s="59">
        <f t="shared" si="92"/>
        <v>317.03005098025352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44.892383935189663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44.892383935189663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6.8</v>
      </c>
      <c r="BY86" s="12">
        <f>IF('Données projet'!$A$114&gt;35,BY85+BX86-CG85,IF(A86&lt;'Données projet'!$A$114,$BV$205^A86,IF(A86='Données projet'!$A$114,'Données projet'!$B$114,BY85+BX86-CG85)))</f>
        <v>312.40000000000003</v>
      </c>
      <c r="BZ86" s="13">
        <f>BY86*VLOOKUP('Données projet'!$B$12,Paramètres!$A$1:$I$89,3,0)*VLOOKUP('Données projet'!$B$12,Paramètres!$A$1:$I$89,5,0)</f>
        <v>316.77360000000004</v>
      </c>
      <c r="CA86" s="13">
        <f t="shared" si="93"/>
        <v>74.681642981668006</v>
      </c>
      <c r="CB86" s="20">
        <f t="shared" si="64"/>
        <v>681.78454819307183</v>
      </c>
      <c r="CC86" s="59">
        <f t="shared" si="65"/>
        <v>975.1178815264052</v>
      </c>
      <c r="CD86" s="59">
        <f ca="1">AVERAGE(OFFSET($CC$3,0,0,'Données projet'!$E$12+1,1))-AVERAGE(OFFSET($H$3,0,0,'Données projet'!$E$12+1,1))</f>
        <v>487.18832528146936</v>
      </c>
      <c r="CE86" s="59">
        <f t="shared" si="94"/>
        <v>306.61893266146666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84.783737097958578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84.783737097958578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11.14</v>
      </c>
      <c r="CT86" s="12">
        <f>IF('Données projet'!$A$140&gt;35,CT85+CS86-DB85,IF(A86&lt;'Données projet'!$A$140,$CQ$205^A86,IF(A86='Données projet'!$A$140,'Données projet'!$B$140,CT85+CS86-DB85)))</f>
        <v>393.38999999999982</v>
      </c>
      <c r="CU86" s="17">
        <f>CT86*VLOOKUP('Données projet'!$B$13,Paramètres!$A$1:$I$89,3,0)*VLOOKUP('Données projet'!$B$13,Paramètres!$A$1:$I$89,5,0)</f>
        <v>374.34992399999982</v>
      </c>
      <c r="CV86" s="13">
        <f t="shared" si="95"/>
        <v>86.556619017658349</v>
      </c>
      <c r="CW86" s="20">
        <f t="shared" si="67"/>
        <v>802.74556242242124</v>
      </c>
      <c r="CX86" s="59">
        <f t="shared" si="68"/>
        <v>1096.0788957557545</v>
      </c>
      <c r="CY86" s="59">
        <f ca="1">AVERAGE(OFFSET($CX$3,0,0,'Données projet'!$E$13+1,1))-AVERAGE(OFFSET($H$3,0,0,'Données projet'!$E$13+1,1))</f>
        <v>733.95677909788878</v>
      </c>
      <c r="CZ86" s="59">
        <f t="shared" si="96"/>
        <v>264.63778997972378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123.5509640186587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123.5509640186587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853.00000000000011</v>
      </c>
      <c r="O87" s="13">
        <f>N87*VLOOKUP('Données projet'!$B$9,Paramètres!$A$1:$I$89,3,0)*VLOOKUP('Données projet'!$B$9,Paramètres!$A$1:$I$89,5,0)</f>
        <v>399.20400000000006</v>
      </c>
      <c r="P87" s="13">
        <f t="shared" si="87"/>
        <v>91.615269732888521</v>
      </c>
      <c r="Q87" s="20">
        <f t="shared" si="54"/>
        <v>854.8435614514475</v>
      </c>
      <c r="R87" s="59">
        <f t="shared" si="55"/>
        <v>1148.1768947847809</v>
      </c>
      <c r="S87" s="59">
        <f ca="1">AVERAGE(OFFSET($R$3,0,0,'Données projet'!$E$9+1,1))-AVERAGE(OFFSET($H$3,0,0,'Données projet'!$E$9+1,1))</f>
        <v>488.67934252295686</v>
      </c>
      <c r="T87" s="59">
        <f t="shared" si="88"/>
        <v>424.50324471331095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128.0372668499553</v>
      </c>
      <c r="AA87" s="21">
        <f>EXP(-LN(2)/25)*AA86+(1-EXP(-LN(2)/25))/(LN(2)/25)*Calculateur!V87*Calculateur!X87*VLOOKUP('Données projet'!$B$9,Paramètres!$A$1:$I$89,3,0)*0.475*44/12</f>
        <v>10.961220836769181</v>
      </c>
      <c r="AB87" s="21">
        <f>EXP(-LN(2)/2)*AB86+(1-EXP(-LN(2)/2))/(LN(2)/2)*V87*Y87*VLOOKUP('Données projet'!$B$9,Paramètres!$A$1:$I$89,3,0)*0.475*44/12</f>
        <v>6.0452965662993755E-9</v>
      </c>
      <c r="AC87" s="22">
        <f t="shared" si="57"/>
        <v>138.99848769276977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689</v>
      </c>
      <c r="AJ87" s="13">
        <f>AI87*VLOOKUP('Données projet'!$B$10,Paramètres!$A$1:$I$89,3,0)*VLOOKUP('Données projet'!$B$10,Paramètres!$A$1:$I$89,5,0)</f>
        <v>412.02199999999999</v>
      </c>
      <c r="AK87" s="13">
        <f t="shared" si="89"/>
        <v>94.209724877926391</v>
      </c>
      <c r="AL87" s="20">
        <f t="shared" si="58"/>
        <v>881.686920829055</v>
      </c>
      <c r="AM87" s="59">
        <f t="shared" si="59"/>
        <v>1175.0202541623883</v>
      </c>
      <c r="AN87" s="59">
        <f ca="1">AVERAGE(OFFSET($AM$3,0,0,'Données projet'!$E$10+1,1))-AVERAGE(OFFSET($H$3,0,0,'Données projet'!$E$10+1,1))</f>
        <v>504.81063008331739</v>
      </c>
      <c r="AO87" s="59">
        <f t="shared" si="90"/>
        <v>441.82647565372287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90.41747654012002</v>
      </c>
      <c r="AV87" s="21">
        <f>EXP(-LN(2)/25)*AV86+(1-EXP(-LN(2)/25))/(LN(2)/25)*Calculateur!AQ87*Calculateur!AS87*VLOOKUP('Données projet'!$B$10,Paramètres!$A$1:$I$89,3,0)*0.475*44/12</f>
        <v>13.174598084263284</v>
      </c>
      <c r="AW87" s="21">
        <f>EXP(-LN(2)/2)*AW86+(1-EXP(-LN(2)/2))/(LN(2)/2)*AQ87*AT87*VLOOKUP('Données projet'!$B$10,Paramètres!$A$1:$I$89,3,0)*0.475*44/12</f>
        <v>3.90148470298504E-10</v>
      </c>
      <c r="AX87" s="21">
        <f t="shared" si="60"/>
        <v>103.59207462477345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266.99999999999983</v>
      </c>
      <c r="BE87" s="13">
        <f>BD87*VLOOKUP('Données projet'!$B$11,Paramètres!$A$1:$I$89,3,0)*VLOOKUP('Données projet'!$B$11,Paramètres!$A$1:$I$89,5,0)</f>
        <v>233.2511999999999</v>
      </c>
      <c r="BF87" s="13">
        <f t="shared" si="91"/>
        <v>56.985091661350864</v>
      </c>
      <c r="BG87" s="20">
        <f t="shared" si="61"/>
        <v>505.49487464351915</v>
      </c>
      <c r="BH87" s="59">
        <f t="shared" si="62"/>
        <v>798.82820797685247</v>
      </c>
      <c r="BI87" s="59">
        <f ca="1">AVERAGE(OFFSET($BH$3,0,0,'Données projet'!$E$11+1,1))-AVERAGE(OFFSET($H$3,0,0,'Données projet'!$E$11+1,1))</f>
        <v>324.86930206492627</v>
      </c>
      <c r="BJ87" s="59">
        <f t="shared" si="92"/>
        <v>317.03005098025352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44.012071667871083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44.012071667871083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6.8</v>
      </c>
      <c r="BY87" s="12">
        <f>IF('Données projet'!$A$114&gt;35,BY86+BX87-CG86,IF(A87&lt;'Données projet'!$A$114,$BV$205^A87,IF(A87='Données projet'!$A$114,'Données projet'!$B$114,BY86+BX87-CG86)))</f>
        <v>319.20000000000005</v>
      </c>
      <c r="BZ87" s="13">
        <f>BY87*VLOOKUP('Données projet'!$B$12,Paramètres!$A$1:$I$89,3,0)*VLOOKUP('Données projet'!$B$12,Paramètres!$A$1:$I$89,5,0)</f>
        <v>323.66880000000009</v>
      </c>
      <c r="CA87" s="13">
        <f t="shared" si="93"/>
        <v>76.11621164769852</v>
      </c>
      <c r="CB87" s="20">
        <f t="shared" si="64"/>
        <v>696.29222861974176</v>
      </c>
      <c r="CC87" s="59">
        <f t="shared" si="65"/>
        <v>989.62556195307502</v>
      </c>
      <c r="CD87" s="59">
        <f ca="1">AVERAGE(OFFSET($CC$3,0,0,'Données projet'!$E$12+1,1))-AVERAGE(OFFSET($H$3,0,0,'Données projet'!$E$12+1,1))</f>
        <v>487.18832528146936</v>
      </c>
      <c r="CE87" s="59">
        <f t="shared" si="94"/>
        <v>306.61893266146666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83.121179726441014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83.121179726441014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11.14</v>
      </c>
      <c r="CT87" s="12">
        <f>IF('Données projet'!$A$140&gt;35,CT86+CS87-DB86,IF(A87&lt;'Données projet'!$A$140,$CQ$205^A87,IF(A87='Données projet'!$A$140,'Données projet'!$B$140,CT86+CS87-DB86)))</f>
        <v>404.5299999999998</v>
      </c>
      <c r="CU87" s="17">
        <f>CT87*VLOOKUP('Données projet'!$B$13,Paramètres!$A$1:$I$89,3,0)*VLOOKUP('Données projet'!$B$13,Paramètres!$A$1:$I$89,5,0)</f>
        <v>384.95074799999981</v>
      </c>
      <c r="CV87" s="13">
        <f t="shared" si="95"/>
        <v>88.718884208007893</v>
      </c>
      <c r="CW87" s="20">
        <f t="shared" si="67"/>
        <v>824.97460942894668</v>
      </c>
      <c r="CX87" s="59">
        <f t="shared" si="68"/>
        <v>1118.3079427622799</v>
      </c>
      <c r="CY87" s="59">
        <f ca="1">AVERAGE(OFFSET($CX$3,0,0,'Données projet'!$E$13+1,1))-AVERAGE(OFFSET($H$3,0,0,'Données projet'!$E$13+1,1))</f>
        <v>733.95677909788878</v>
      </c>
      <c r="CZ87" s="59">
        <f t="shared" si="96"/>
        <v>264.63778997972378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121.12820497289981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121.12820497289981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853.00000000000011</v>
      </c>
      <c r="O88" s="13">
        <f>N88*VLOOKUP('Données projet'!$B$9,Paramètres!$A$1:$I$89,3,0)*VLOOKUP('Données projet'!$B$9,Paramètres!$A$1:$I$89,5,0)</f>
        <v>399.20400000000006</v>
      </c>
      <c r="P88" s="13">
        <f t="shared" si="87"/>
        <v>91.615269732888521</v>
      </c>
      <c r="Q88" s="20">
        <f t="shared" si="54"/>
        <v>854.8435614514475</v>
      </c>
      <c r="R88" s="59">
        <f t="shared" si="55"/>
        <v>1148.1768947847809</v>
      </c>
      <c r="S88" s="59">
        <f ca="1">AVERAGE(OFFSET($R$3,0,0,'Données projet'!$E$9+1,1))-AVERAGE(OFFSET($H$3,0,0,'Données projet'!$E$9+1,1))</f>
        <v>488.67934252295686</v>
      </c>
      <c r="T88" s="59">
        <f t="shared" si="88"/>
        <v>424.50324471331095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125.52653414204921</v>
      </c>
      <c r="AA88" s="21">
        <f>EXP(-LN(2)/25)*AA87+(1-EXP(-LN(2)/25))/(LN(2)/25)*Calculateur!V88*Calculateur!X88*VLOOKUP('Données projet'!$B$9,Paramètres!$A$1:$I$89,3,0)*0.475*44/12</f>
        <v>10.661485676562176</v>
      </c>
      <c r="AB88" s="21">
        <f>EXP(-LN(2)/2)*AB87+(1-EXP(-LN(2)/2))/(LN(2)/2)*V88*Y88*VLOOKUP('Données projet'!$B$9,Paramètres!$A$1:$I$89,3,0)*0.475*44/12</f>
        <v>4.2746701963140395E-9</v>
      </c>
      <c r="AC88" s="22">
        <f t="shared" si="57"/>
        <v>136.18801982288608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689</v>
      </c>
      <c r="AJ88" s="13">
        <f>AI88*VLOOKUP('Données projet'!$B$10,Paramètres!$A$1:$I$89,3,0)*VLOOKUP('Données projet'!$B$10,Paramètres!$A$1:$I$89,5,0)</f>
        <v>412.02199999999999</v>
      </c>
      <c r="AK88" s="13">
        <f t="shared" si="89"/>
        <v>94.209724877926391</v>
      </c>
      <c r="AL88" s="20">
        <f t="shared" si="58"/>
        <v>881.686920829055</v>
      </c>
      <c r="AM88" s="59">
        <f t="shared" si="59"/>
        <v>1175.0202541623883</v>
      </c>
      <c r="AN88" s="59">
        <f ca="1">AVERAGE(OFFSET($AM$3,0,0,'Données projet'!$E$10+1,1))-AVERAGE(OFFSET($H$3,0,0,'Données projet'!$E$10+1,1))</f>
        <v>504.81063008331739</v>
      </c>
      <c r="AO88" s="59">
        <f t="shared" si="90"/>
        <v>441.82647565372287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88.644444974383418</v>
      </c>
      <c r="AV88" s="21">
        <f>EXP(-LN(2)/25)*AV87+(1-EXP(-LN(2)/25))/(LN(2)/25)*Calculateur!AQ88*Calculateur!AS88*VLOOKUP('Données projet'!$B$10,Paramètres!$A$1:$I$89,3,0)*0.475*44/12</f>
        <v>12.814338006827102</v>
      </c>
      <c r="AW88" s="21">
        <f>EXP(-LN(2)/2)*AW87+(1-EXP(-LN(2)/2))/(LN(2)/2)*AQ88*AT88*VLOOKUP('Données projet'!$B$10,Paramètres!$A$1:$I$89,3,0)*0.475*44/12</f>
        <v>2.758766290176305E-10</v>
      </c>
      <c r="AX88" s="21">
        <f t="shared" si="60"/>
        <v>101.45878298148639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266.99999999999983</v>
      </c>
      <c r="BE88" s="13">
        <f>BD88*VLOOKUP('Données projet'!$B$11,Paramètres!$A$1:$I$89,3,0)*VLOOKUP('Données projet'!$B$11,Paramètres!$A$1:$I$89,5,0)</f>
        <v>233.2511999999999</v>
      </c>
      <c r="BF88" s="13">
        <f t="shared" si="91"/>
        <v>56.985091661350864</v>
      </c>
      <c r="BG88" s="20">
        <f t="shared" si="61"/>
        <v>505.49487464351915</v>
      </c>
      <c r="BH88" s="59">
        <f t="shared" si="62"/>
        <v>798.82820797685247</v>
      </c>
      <c r="BI88" s="59">
        <f ca="1">AVERAGE(OFFSET($BH$3,0,0,'Données projet'!$E$11+1,1))-AVERAGE(OFFSET($H$3,0,0,'Données projet'!$E$11+1,1))</f>
        <v>324.86930206492627</v>
      </c>
      <c r="BJ88" s="59">
        <f t="shared" si="92"/>
        <v>317.03005098025352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43.149021787177155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43.149021787177155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326</v>
      </c>
      <c r="BW88" s="12">
        <f>VLOOKUP(A88,'Données projet'!$A$113:$I$133,9,0)</f>
        <v>6.8</v>
      </c>
      <c r="BX88" s="12">
        <f t="array" ref="BX88">INDEX(BW:BW,MIN(IF(ISNUMBER(BW88:BW284),ROW(BW88:BW284),"")))</f>
        <v>6.8</v>
      </c>
      <c r="BY88" s="12">
        <f>IF('Données projet'!$A$114&gt;35,BY87+BX88-CG87,IF(A88&lt;'Données projet'!$A$114,$BV$205^A88,IF(A88='Données projet'!$A$114,'Données projet'!$B$114,BY87+BX88-CG87)))</f>
        <v>326.00000000000006</v>
      </c>
      <c r="BZ88" s="13">
        <f>BY88*VLOOKUP('Données projet'!$B$12,Paramètres!$A$1:$I$89,3,0)*VLOOKUP('Données projet'!$B$12,Paramètres!$A$1:$I$89,5,0)</f>
        <v>330.56400000000008</v>
      </c>
      <c r="CA88" s="13">
        <f t="shared" si="93"/>
        <v>77.547227137682853</v>
      </c>
      <c r="CB88" s="20">
        <f t="shared" si="64"/>
        <v>710.79372059813113</v>
      </c>
      <c r="CC88" s="59">
        <f t="shared" si="65"/>
        <v>1004.1270539314644</v>
      </c>
      <c r="CD88" s="59">
        <f ca="1">AVERAGE(OFFSET($CC$3,0,0,'Données projet'!$E$12+1,1))-AVERAGE(OFFSET($H$3,0,0,'Données projet'!$E$12+1,1))</f>
        <v>487.18832528146936</v>
      </c>
      <c r="CE88" s="59">
        <f t="shared" si="94"/>
        <v>306.61893266146666</v>
      </c>
      <c r="CF88" s="15">
        <f>IF(ISNA(VLOOKUP(A88,'Données projet'!$A$113:$I$133,3,0)),0,VLOOKUP(A88,'Données projet'!$A$113:$I$133,3,0))</f>
        <v>14</v>
      </c>
      <c r="CG88" s="15">
        <f>IF(ISNA(VLOOKUP(A88,'Données projet'!$A$113:$I$133,4,0)),0,VLOOKUP(A88,'Données projet'!$A$113:$I$133,4,0))</f>
        <v>28</v>
      </c>
      <c r="CH88" s="16">
        <f>IF(ISNA(VLOOKUP(A88,'Données projet'!$A$113:$I$133,5,0)),0%,VLOOKUP(A88,'Données projet'!$A$113:$I$133,5,0)*VLOOKUP('Données projet'!$B$12,Paramètres!$A$1:$I$89,7,0))</f>
        <v>0.43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94.987425547669829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94.987425547669829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11.14</v>
      </c>
      <c r="CT88" s="12">
        <f>IF('Données projet'!$A$140&gt;35,CT87+CS88-DB87,IF(A88&lt;'Données projet'!$A$140,$CQ$205^A88,IF(A88='Données projet'!$A$140,'Données projet'!$B$140,CT87+CS88-DB87)))</f>
        <v>415.66999999999979</v>
      </c>
      <c r="CU88" s="17">
        <f>CT88*VLOOKUP('Données projet'!$B$13,Paramètres!$A$1:$I$89,3,0)*VLOOKUP('Données projet'!$B$13,Paramètres!$A$1:$I$89,5,0)</f>
        <v>395.55157199999979</v>
      </c>
      <c r="CV88" s="13">
        <f t="shared" si="95"/>
        <v>90.874228562732355</v>
      </c>
      <c r="CW88" s="20">
        <f t="shared" si="67"/>
        <v>847.1916026467585</v>
      </c>
      <c r="CX88" s="59">
        <f t="shared" si="68"/>
        <v>1140.5249359800919</v>
      </c>
      <c r="CY88" s="59">
        <f ca="1">AVERAGE(OFFSET($CX$3,0,0,'Données projet'!$E$13+1,1))-AVERAGE(OFFSET($H$3,0,0,'Données projet'!$E$13+1,1))</f>
        <v>733.95677909788878</v>
      </c>
      <c r="CZ88" s="59">
        <f t="shared" si="96"/>
        <v>264.63778997972378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118.75295475429114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118.75295475429114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853.00000000000011</v>
      </c>
      <c r="O89" s="13">
        <f>N89*VLOOKUP('Données projet'!$B$9,Paramètres!$A$1:$I$89,3,0)*VLOOKUP('Données projet'!$B$9,Paramètres!$A$1:$I$89,5,0)</f>
        <v>399.20400000000006</v>
      </c>
      <c r="P89" s="13">
        <f t="shared" si="87"/>
        <v>91.615269732888521</v>
      </c>
      <c r="Q89" s="20">
        <f t="shared" si="54"/>
        <v>854.8435614514475</v>
      </c>
      <c r="R89" s="59">
        <f t="shared" si="55"/>
        <v>1148.1768947847809</v>
      </c>
      <c r="S89" s="59">
        <f ca="1">AVERAGE(OFFSET($R$3,0,0,'Données projet'!$E$9+1,1))-AVERAGE(OFFSET($H$3,0,0,'Données projet'!$E$9+1,1))</f>
        <v>488.67934252295686</v>
      </c>
      <c r="T89" s="59">
        <f t="shared" si="88"/>
        <v>424.50324471331095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123.06503537114942</v>
      </c>
      <c r="AA89" s="21">
        <f>EXP(-LN(2)/25)*AA88+(1-EXP(-LN(2)/25))/(LN(2)/25)*Calculateur!V89*Calculateur!X89*VLOOKUP('Données projet'!$B$9,Paramètres!$A$1:$I$89,3,0)*0.475*44/12</f>
        <v>10.369946790073419</v>
      </c>
      <c r="AB89" s="21">
        <f>EXP(-LN(2)/2)*AB88+(1-EXP(-LN(2)/2))/(LN(2)/2)*V89*Y89*VLOOKUP('Données projet'!$B$9,Paramètres!$A$1:$I$89,3,0)*0.475*44/12</f>
        <v>3.0226482831496878E-9</v>
      </c>
      <c r="AC89" s="22">
        <f t="shared" si="57"/>
        <v>133.4349821642455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689</v>
      </c>
      <c r="AJ89" s="13">
        <f>AI89*VLOOKUP('Données projet'!$B$10,Paramètres!$A$1:$I$89,3,0)*VLOOKUP('Données projet'!$B$10,Paramètres!$A$1:$I$89,5,0)</f>
        <v>412.02199999999999</v>
      </c>
      <c r="AK89" s="13">
        <f t="shared" si="89"/>
        <v>94.209724877926391</v>
      </c>
      <c r="AL89" s="20">
        <f t="shared" si="58"/>
        <v>881.686920829055</v>
      </c>
      <c r="AM89" s="59">
        <f t="shared" si="59"/>
        <v>1175.0202541623883</v>
      </c>
      <c r="AN89" s="59">
        <f ca="1">AVERAGE(OFFSET($AM$3,0,0,'Données projet'!$E$10+1,1))-AVERAGE(OFFSET($H$3,0,0,'Données projet'!$E$10+1,1))</f>
        <v>504.81063008331739</v>
      </c>
      <c r="AO89" s="59">
        <f t="shared" si="90"/>
        <v>441.82647565372287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86.906181476208445</v>
      </c>
      <c r="AV89" s="21">
        <f>EXP(-LN(2)/25)*AV88+(1-EXP(-LN(2)/25))/(LN(2)/25)*Calculateur!AQ89*Calculateur!AS89*VLOOKUP('Données projet'!$B$10,Paramètres!$A$1:$I$89,3,0)*0.475*44/12</f>
        <v>12.463929260153666</v>
      </c>
      <c r="AW89" s="21">
        <f>EXP(-LN(2)/2)*AW88+(1-EXP(-LN(2)/2))/(LN(2)/2)*AQ89*AT89*VLOOKUP('Données projet'!$B$10,Paramètres!$A$1:$I$89,3,0)*0.475*44/12</f>
        <v>1.95074235149252E-10</v>
      </c>
      <c r="AX89" s="21">
        <f t="shared" si="60"/>
        <v>99.37011073655718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266.99999999999983</v>
      </c>
      <c r="BE89" s="13">
        <f>BD89*VLOOKUP('Données projet'!$B$11,Paramètres!$A$1:$I$89,3,0)*VLOOKUP('Données projet'!$B$11,Paramètres!$A$1:$I$89,5,0)</f>
        <v>233.2511999999999</v>
      </c>
      <c r="BF89" s="13">
        <f t="shared" si="91"/>
        <v>56.985091661350864</v>
      </c>
      <c r="BG89" s="20">
        <f t="shared" si="61"/>
        <v>505.49487464351915</v>
      </c>
      <c r="BH89" s="59">
        <f t="shared" si="62"/>
        <v>798.82820797685247</v>
      </c>
      <c r="BI89" s="59">
        <f ca="1">AVERAGE(OFFSET($BH$3,0,0,'Données projet'!$E$11+1,1))-AVERAGE(OFFSET($H$3,0,0,'Données projet'!$E$11+1,1))</f>
        <v>324.86930206492627</v>
      </c>
      <c r="BJ89" s="59">
        <f t="shared" si="92"/>
        <v>317.03005098025352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42.302895788235183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42.302895788235183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6.4</v>
      </c>
      <c r="BY89" s="12">
        <f>IF('Données projet'!$A$114&gt;35,BY88+BX89-CG88,IF(A89&lt;'Données projet'!$A$114,$BV$205^A89,IF(A89='Données projet'!$A$114,'Données projet'!$B$114,BY88+BX89-CG88)))</f>
        <v>304.40000000000003</v>
      </c>
      <c r="BZ89" s="13">
        <f>BY89*VLOOKUP('Données projet'!$B$12,Paramètres!$A$1:$I$89,3,0)*VLOOKUP('Données projet'!$B$12,Paramètres!$A$1:$I$89,5,0)</f>
        <v>308.66160000000008</v>
      </c>
      <c r="CA89" s="13">
        <f t="shared" si="93"/>
        <v>72.98924863505313</v>
      </c>
      <c r="CB89" s="20">
        <f t="shared" si="64"/>
        <v>664.70856137271755</v>
      </c>
      <c r="CC89" s="59">
        <f t="shared" si="65"/>
        <v>958.04189470605093</v>
      </c>
      <c r="CD89" s="59">
        <f ca="1">AVERAGE(OFFSET($CC$3,0,0,'Données projet'!$E$12+1,1))-AVERAGE(OFFSET($H$3,0,0,'Données projet'!$E$12+1,1))</f>
        <v>487.18832528146936</v>
      </c>
      <c r="CE89" s="59">
        <f t="shared" si="94"/>
        <v>306.61893266146666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93.124780069288846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93.124780069288846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11.14</v>
      </c>
      <c r="CT89" s="12">
        <f>IF('Données projet'!$A$140&gt;35,CT88+CS89-DB88,IF(A89&lt;'Données projet'!$A$140,$CQ$205^A89,IF(A89='Données projet'!$A$140,'Données projet'!$B$140,CT88+CS89-DB88)))</f>
        <v>426.80999999999977</v>
      </c>
      <c r="CU89" s="17">
        <f>CT89*VLOOKUP('Données projet'!$B$13,Paramètres!$A$1:$I$89,3,0)*VLOOKUP('Données projet'!$B$13,Paramètres!$A$1:$I$89,5,0)</f>
        <v>406.15239599999978</v>
      </c>
      <c r="CV89" s="13">
        <f t="shared" si="95"/>
        <v>93.022858878209021</v>
      </c>
      <c r="CW89" s="20">
        <f t="shared" si="67"/>
        <v>869.3969022462137</v>
      </c>
      <c r="CX89" s="59">
        <f t="shared" si="68"/>
        <v>1162.7302355795471</v>
      </c>
      <c r="CY89" s="59">
        <f ca="1">AVERAGE(OFFSET($CX$3,0,0,'Données projet'!$E$13+1,1))-AVERAGE(OFFSET($H$3,0,0,'Données projet'!$E$13+1,1))</f>
        <v>733.95677909788878</v>
      </c>
      <c r="CZ89" s="59">
        <f t="shared" si="96"/>
        <v>264.63778997972378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116.42428174370981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116.42428174370981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853.00000000000011</v>
      </c>
      <c r="O90" s="13">
        <f>N90*VLOOKUP('Données projet'!$B$9,Paramètres!$A$1:$I$89,3,0)*VLOOKUP('Données projet'!$B$9,Paramètres!$A$1:$I$89,5,0)</f>
        <v>399.20400000000006</v>
      </c>
      <c r="P90" s="13">
        <f t="shared" si="87"/>
        <v>91.615269732888521</v>
      </c>
      <c r="Q90" s="20">
        <f t="shared" si="54"/>
        <v>854.8435614514475</v>
      </c>
      <c r="R90" s="59">
        <f t="shared" si="55"/>
        <v>1148.1768947847809</v>
      </c>
      <c r="S90" s="59">
        <f ca="1">AVERAGE(OFFSET($R$3,0,0,'Données projet'!$E$9+1,1))-AVERAGE(OFFSET($H$3,0,0,'Données projet'!$E$9+1,1))</f>
        <v>488.67934252295686</v>
      </c>
      <c r="T90" s="59">
        <f t="shared" si="88"/>
        <v>424.50324471331095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120.65180508978098</v>
      </c>
      <c r="AA90" s="21">
        <f>EXP(-LN(2)/25)*AA89+(1-EXP(-LN(2)/25))/(LN(2)/25)*Calculateur!V90*Calculateur!X90*VLOOKUP('Données projet'!$B$9,Paramètres!$A$1:$I$89,3,0)*0.475*44/12</f>
        <v>10.08638004976706</v>
      </c>
      <c r="AB90" s="21">
        <f>EXP(-LN(2)/2)*AB89+(1-EXP(-LN(2)/2))/(LN(2)/2)*V90*Y90*VLOOKUP('Données projet'!$B$9,Paramètres!$A$1:$I$89,3,0)*0.475*44/12</f>
        <v>2.1373350981570198E-9</v>
      </c>
      <c r="AC90" s="22">
        <f t="shared" si="57"/>
        <v>130.73818514168539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689</v>
      </c>
      <c r="AJ90" s="13">
        <f>AI90*VLOOKUP('Données projet'!$B$10,Paramètres!$A$1:$I$89,3,0)*VLOOKUP('Données projet'!$B$10,Paramètres!$A$1:$I$89,5,0)</f>
        <v>412.02199999999999</v>
      </c>
      <c r="AK90" s="13">
        <f t="shared" si="89"/>
        <v>94.209724877926391</v>
      </c>
      <c r="AL90" s="20">
        <f t="shared" si="58"/>
        <v>881.686920829055</v>
      </c>
      <c r="AM90" s="59">
        <f t="shared" si="59"/>
        <v>1175.0202541623883</v>
      </c>
      <c r="AN90" s="59">
        <f ca="1">AVERAGE(OFFSET($AM$3,0,0,'Données projet'!$E$10+1,1))-AVERAGE(OFFSET($H$3,0,0,'Données projet'!$E$10+1,1))</f>
        <v>504.81063008331739</v>
      </c>
      <c r="AO90" s="59">
        <f t="shared" si="90"/>
        <v>441.82647565372287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85.202004264996646</v>
      </c>
      <c r="AV90" s="21">
        <f>EXP(-LN(2)/25)*AV89+(1-EXP(-LN(2)/25))/(LN(2)/25)*Calculateur!AQ90*Calculateur!AS90*VLOOKUP('Données projet'!$B$10,Paramètres!$A$1:$I$89,3,0)*0.475*44/12</f>
        <v>12.12310245908521</v>
      </c>
      <c r="AW90" s="21">
        <f>EXP(-LN(2)/2)*AW89+(1-EXP(-LN(2)/2))/(LN(2)/2)*AQ90*AT90*VLOOKUP('Données projet'!$B$10,Paramètres!$A$1:$I$89,3,0)*0.475*44/12</f>
        <v>1.3793831450881525E-10</v>
      </c>
      <c r="AX90" s="21">
        <f t="shared" si="60"/>
        <v>97.325106724219793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266.99999999999983</v>
      </c>
      <c r="BE90" s="13">
        <f>BD90*VLOOKUP('Données projet'!$B$11,Paramètres!$A$1:$I$89,3,0)*VLOOKUP('Données projet'!$B$11,Paramètres!$A$1:$I$89,5,0)</f>
        <v>233.2511999999999</v>
      </c>
      <c r="BF90" s="13">
        <f t="shared" si="91"/>
        <v>56.985091661350864</v>
      </c>
      <c r="BG90" s="20">
        <f t="shared" si="61"/>
        <v>505.49487464351915</v>
      </c>
      <c r="BH90" s="59">
        <f t="shared" si="62"/>
        <v>798.82820797685247</v>
      </c>
      <c r="BI90" s="59">
        <f ca="1">AVERAGE(OFFSET($BH$3,0,0,'Données projet'!$E$11+1,1))-AVERAGE(OFFSET($H$3,0,0,'Données projet'!$E$11+1,1))</f>
        <v>324.86930206492627</v>
      </c>
      <c r="BJ90" s="59">
        <f t="shared" si="92"/>
        <v>317.03005098025352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41.473361804046561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41.473361804046561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6.4</v>
      </c>
      <c r="BY90" s="12">
        <f>IF('Données projet'!$A$114&gt;35,BY89+BX90-CG89,IF(A90&lt;'Données projet'!$A$114,$BV$205^A90,IF(A90='Données projet'!$A$114,'Données projet'!$B$114,BY89+BX90-CG89)))</f>
        <v>310.8</v>
      </c>
      <c r="BZ90" s="13">
        <f>BY90*VLOOKUP('Données projet'!$B$12,Paramètres!$A$1:$I$89,3,0)*VLOOKUP('Données projet'!$B$12,Paramètres!$A$1:$I$89,5,0)</f>
        <v>315.15120000000002</v>
      </c>
      <c r="CA90" s="13">
        <f t="shared" si="93"/>
        <v>74.343571754005879</v>
      </c>
      <c r="CB90" s="20">
        <f t="shared" si="64"/>
        <v>678.37006080489357</v>
      </c>
      <c r="CC90" s="59">
        <f t="shared" si="65"/>
        <v>971.70339413822694</v>
      </c>
      <c r="CD90" s="59">
        <f ca="1">AVERAGE(OFFSET($CC$3,0,0,'Données projet'!$E$12+1,1))-AVERAGE(OFFSET($H$3,0,0,'Données projet'!$E$12+1,1))</f>
        <v>487.18832528146936</v>
      </c>
      <c r="CE90" s="59">
        <f t="shared" si="94"/>
        <v>306.61893266146666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91.298659932637349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91.298659932637349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11.14</v>
      </c>
      <c r="CT90" s="12">
        <f>IF('Données projet'!$A$140&gt;35,CT89+CS90-DB89,IF(A90&lt;'Données projet'!$A$140,$CQ$205^A90,IF(A90='Données projet'!$A$140,'Données projet'!$B$140,CT89+CS90-DB89)))</f>
        <v>437.94999999999976</v>
      </c>
      <c r="CU90" s="17">
        <f>CT90*VLOOKUP('Données projet'!$B$13,Paramètres!$A$1:$I$89,3,0)*VLOOKUP('Données projet'!$B$13,Paramètres!$A$1:$I$89,5,0)</f>
        <v>416.75321999999983</v>
      </c>
      <c r="CV90" s="13">
        <f t="shared" si="95"/>
        <v>95.164970540948417</v>
      </c>
      <c r="CW90" s="20">
        <f t="shared" si="67"/>
        <v>891.59084852548483</v>
      </c>
      <c r="CX90" s="59">
        <f t="shared" si="68"/>
        <v>1184.9241818588182</v>
      </c>
      <c r="CY90" s="59">
        <f ca="1">AVERAGE(OFFSET($CX$3,0,0,'Données projet'!$E$13+1,1))-AVERAGE(OFFSET($H$3,0,0,'Données projet'!$E$13+1,1))</f>
        <v>733.95677909788878</v>
      </c>
      <c r="CZ90" s="59">
        <f t="shared" si="96"/>
        <v>264.63778997972378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114.1412725905157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114.1412725905157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853.00000000000011</v>
      </c>
      <c r="O91" s="13">
        <f>N91*VLOOKUP('Données projet'!$B$9,Paramètres!$A$1:$I$89,3,0)*VLOOKUP('Données projet'!$B$9,Paramètres!$A$1:$I$89,5,0)</f>
        <v>399.20400000000006</v>
      </c>
      <c r="P91" s="13">
        <f t="shared" si="87"/>
        <v>91.615269732888521</v>
      </c>
      <c r="Q91" s="20">
        <f t="shared" si="54"/>
        <v>854.8435614514475</v>
      </c>
      <c r="R91" s="59">
        <f t="shared" si="55"/>
        <v>1148.1768947847809</v>
      </c>
      <c r="S91" s="59">
        <f ca="1">AVERAGE(OFFSET($R$3,0,0,'Données projet'!$E$9+1,1))-AVERAGE(OFFSET($H$3,0,0,'Données projet'!$E$9+1,1))</f>
        <v>488.67934252295686</v>
      </c>
      <c r="T91" s="59">
        <f t="shared" si="88"/>
        <v>424.50324471331095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118.28589678230503</v>
      </c>
      <c r="AA91" s="21">
        <f>EXP(-LN(2)/25)*AA90+(1-EXP(-LN(2)/25))/(LN(2)/25)*Calculateur!V91*Calculateur!X91*VLOOKUP('Données projet'!$B$9,Paramètres!$A$1:$I$89,3,0)*0.475*44/12</f>
        <v>9.8105674568865062</v>
      </c>
      <c r="AB91" s="21">
        <f>EXP(-LN(2)/2)*AB90+(1-EXP(-LN(2)/2))/(LN(2)/2)*V91*Y91*VLOOKUP('Données projet'!$B$9,Paramètres!$A$1:$I$89,3,0)*0.475*44/12</f>
        <v>1.5113241415748439E-9</v>
      </c>
      <c r="AC91" s="22">
        <f t="shared" si="57"/>
        <v>128.09646424070286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689</v>
      </c>
      <c r="AJ91" s="13">
        <f>AI91*VLOOKUP('Données projet'!$B$10,Paramètres!$A$1:$I$89,3,0)*VLOOKUP('Données projet'!$B$10,Paramètres!$A$1:$I$89,5,0)</f>
        <v>412.02199999999999</v>
      </c>
      <c r="AK91" s="13">
        <f t="shared" si="89"/>
        <v>94.209724877926391</v>
      </c>
      <c r="AL91" s="20">
        <f t="shared" si="58"/>
        <v>881.686920829055</v>
      </c>
      <c r="AM91" s="59">
        <f t="shared" si="59"/>
        <v>1175.0202541623883</v>
      </c>
      <c r="AN91" s="59">
        <f ca="1">AVERAGE(OFFSET($AM$3,0,0,'Données projet'!$E$10+1,1))-AVERAGE(OFFSET($H$3,0,0,'Données projet'!$E$10+1,1))</f>
        <v>504.81063008331739</v>
      </c>
      <c r="AO91" s="59">
        <f t="shared" si="90"/>
        <v>441.82647565372287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83.531244929451233</v>
      </c>
      <c r="AV91" s="21">
        <f>EXP(-LN(2)/25)*AV90+(1-EXP(-LN(2)/25))/(LN(2)/25)*Calculateur!AQ91*Calculateur!AS91*VLOOKUP('Données projet'!$B$10,Paramètres!$A$1:$I$89,3,0)*0.475*44/12</f>
        <v>11.791595584815274</v>
      </c>
      <c r="AW91" s="21">
        <f>EXP(-LN(2)/2)*AW90+(1-EXP(-LN(2)/2))/(LN(2)/2)*AQ91*AT91*VLOOKUP('Données projet'!$B$10,Paramètres!$A$1:$I$89,3,0)*0.475*44/12</f>
        <v>9.7537117574625999E-11</v>
      </c>
      <c r="AX91" s="21">
        <f t="shared" si="60"/>
        <v>95.322840514364046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266.99999999999983</v>
      </c>
      <c r="BE91" s="13">
        <f>BD91*VLOOKUP('Données projet'!$B$11,Paramètres!$A$1:$I$89,3,0)*VLOOKUP('Données projet'!$B$11,Paramètres!$A$1:$I$89,5,0)</f>
        <v>233.2511999999999</v>
      </c>
      <c r="BF91" s="13">
        <f t="shared" si="91"/>
        <v>56.985091661350864</v>
      </c>
      <c r="BG91" s="20">
        <f t="shared" si="61"/>
        <v>505.49487464351915</v>
      </c>
      <c r="BH91" s="59">
        <f t="shared" si="62"/>
        <v>798.82820797685247</v>
      </c>
      <c r="BI91" s="59">
        <f ca="1">AVERAGE(OFFSET($BH$3,0,0,'Données projet'!$E$11+1,1))-AVERAGE(OFFSET($H$3,0,0,'Données projet'!$E$11+1,1))</f>
        <v>324.86930206492627</v>
      </c>
      <c r="BJ91" s="59">
        <f t="shared" si="92"/>
        <v>317.03005098025352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40.660094475322111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40.660094475322111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6.4</v>
      </c>
      <c r="BY91" s="12">
        <f>IF('Données projet'!$A$114&gt;35,BY90+BX91-CG90,IF(A91&lt;'Données projet'!$A$114,$BV$205^A91,IF(A91='Données projet'!$A$114,'Données projet'!$B$114,BY90+BX91-CG90)))</f>
        <v>317.2</v>
      </c>
      <c r="BZ91" s="13">
        <f>BY91*VLOOKUP('Données projet'!$B$12,Paramètres!$A$1:$I$89,3,0)*VLOOKUP('Données projet'!$B$12,Paramètres!$A$1:$I$89,5,0)</f>
        <v>321.64080000000001</v>
      </c>
      <c r="CA91" s="13">
        <f t="shared" si="93"/>
        <v>75.694652325793228</v>
      </c>
      <c r="CB91" s="20">
        <f t="shared" si="64"/>
        <v>692.0259128007566</v>
      </c>
      <c r="CC91" s="59">
        <f t="shared" si="65"/>
        <v>985.35924613408997</v>
      </c>
      <c r="CD91" s="59">
        <f ca="1">AVERAGE(OFFSET($CC$3,0,0,'Données projet'!$E$12+1,1))-AVERAGE(OFFSET($H$3,0,0,'Données projet'!$E$12+1,1))</f>
        <v>487.18832528146936</v>
      </c>
      <c r="CE91" s="59">
        <f t="shared" si="94"/>
        <v>306.61893266146666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89.508348898042286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89.508348898042286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11.14</v>
      </c>
      <c r="CT91" s="12">
        <f>IF('Données projet'!$A$140&gt;35,CT90+CS91-DB90,IF(A91&lt;'Données projet'!$A$140,$CQ$205^A91,IF(A91='Données projet'!$A$140,'Données projet'!$B$140,CT90+CS91-DB90)))</f>
        <v>449.08999999999975</v>
      </c>
      <c r="CU91" s="17">
        <f>CT91*VLOOKUP('Données projet'!$B$13,Paramètres!$A$1:$I$89,3,0)*VLOOKUP('Données projet'!$B$13,Paramètres!$A$1:$I$89,5,0)</f>
        <v>427.35404399999976</v>
      </c>
      <c r="CV91" s="13">
        <f t="shared" si="95"/>
        <v>97.300748431119928</v>
      </c>
      <c r="CW91" s="20">
        <f t="shared" si="67"/>
        <v>913.7737634842</v>
      </c>
      <c r="CX91" s="59">
        <f t="shared" si="68"/>
        <v>1207.1070968175334</v>
      </c>
      <c r="CY91" s="59">
        <f ca="1">AVERAGE(OFFSET($CX$3,0,0,'Données projet'!$E$13+1,1))-AVERAGE(OFFSET($H$3,0,0,'Données projet'!$E$13+1,1))</f>
        <v>733.95677909788878</v>
      </c>
      <c r="CZ91" s="59">
        <f t="shared" si="96"/>
        <v>264.63778997972378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111.90303185431763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111.90303185431763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853.00000000000011</v>
      </c>
      <c r="O92" s="13">
        <f>N92*VLOOKUP('Données projet'!$B$9,Paramètres!$A$1:$I$89,3,0)*VLOOKUP('Données projet'!$B$9,Paramètres!$A$1:$I$89,5,0)</f>
        <v>399.20400000000006</v>
      </c>
      <c r="P92" s="13">
        <f t="shared" si="87"/>
        <v>91.615269732888521</v>
      </c>
      <c r="Q92" s="20">
        <f t="shared" si="54"/>
        <v>854.8435614514475</v>
      </c>
      <c r="R92" s="59">
        <f t="shared" si="55"/>
        <v>1148.1768947847809</v>
      </c>
      <c r="S92" s="59">
        <f ca="1">AVERAGE(OFFSET($R$3,0,0,'Données projet'!$E$9+1,1))-AVERAGE(OFFSET($H$3,0,0,'Données projet'!$E$9+1,1))</f>
        <v>488.67934252295686</v>
      </c>
      <c r="T92" s="59">
        <f t="shared" si="88"/>
        <v>424.50324471331095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115.96638249367712</v>
      </c>
      <c r="AA92" s="21">
        <f>EXP(-LN(2)/25)*AA91+(1-EXP(-LN(2)/25))/(LN(2)/25)*Calculateur!V92*Calculateur!X92*VLOOKUP('Données projet'!$B$9,Paramètres!$A$1:$I$89,3,0)*0.475*44/12</f>
        <v>9.5422969738626247</v>
      </c>
      <c r="AB92" s="21">
        <f>EXP(-LN(2)/2)*AB91+(1-EXP(-LN(2)/2))/(LN(2)/2)*V92*Y92*VLOOKUP('Données projet'!$B$9,Paramètres!$A$1:$I$89,3,0)*0.475*44/12</f>
        <v>1.0686675490785099E-9</v>
      </c>
      <c r="AC92" s="22">
        <f t="shared" si="57"/>
        <v>125.50867946860841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689</v>
      </c>
      <c r="AJ92" s="13">
        <f>AI92*VLOOKUP('Données projet'!$B$10,Paramètres!$A$1:$I$89,3,0)*VLOOKUP('Données projet'!$B$10,Paramètres!$A$1:$I$89,5,0)</f>
        <v>412.02199999999999</v>
      </c>
      <c r="AK92" s="13">
        <f t="shared" si="89"/>
        <v>94.209724877926391</v>
      </c>
      <c r="AL92" s="20">
        <f t="shared" si="58"/>
        <v>881.686920829055</v>
      </c>
      <c r="AM92" s="59">
        <f t="shared" si="59"/>
        <v>1175.0202541623883</v>
      </c>
      <c r="AN92" s="59">
        <f ca="1">AVERAGE(OFFSET($AM$3,0,0,'Données projet'!$E$10+1,1))-AVERAGE(OFFSET($H$3,0,0,'Données projet'!$E$10+1,1))</f>
        <v>504.81063008331739</v>
      </c>
      <c r="AO92" s="59">
        <f t="shared" si="90"/>
        <v>441.82647565372287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81.893248165413297</v>
      </c>
      <c r="AV92" s="21">
        <f>EXP(-LN(2)/25)*AV91+(1-EXP(-LN(2)/25))/(LN(2)/25)*Calculateur!AQ92*Calculateur!AS92*VLOOKUP('Données projet'!$B$10,Paramètres!$A$1:$I$89,3,0)*0.475*44/12</f>
        <v>11.46915378345544</v>
      </c>
      <c r="AW92" s="21">
        <f>EXP(-LN(2)/2)*AW91+(1-EXP(-LN(2)/2))/(LN(2)/2)*AQ92*AT92*VLOOKUP('Données projet'!$B$10,Paramètres!$A$1:$I$89,3,0)*0.475*44/12</f>
        <v>6.8969157254407624E-11</v>
      </c>
      <c r="AX92" s="21">
        <f t="shared" si="60"/>
        <v>93.362401948937702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266.99999999999983</v>
      </c>
      <c r="BE92" s="13">
        <f>BD92*VLOOKUP('Données projet'!$B$11,Paramètres!$A$1:$I$89,3,0)*VLOOKUP('Données projet'!$B$11,Paramètres!$A$1:$I$89,5,0)</f>
        <v>233.2511999999999</v>
      </c>
      <c r="BF92" s="13">
        <f t="shared" si="91"/>
        <v>56.985091661350864</v>
      </c>
      <c r="BG92" s="20">
        <f t="shared" si="61"/>
        <v>505.49487464351915</v>
      </c>
      <c r="BH92" s="59">
        <f t="shared" si="62"/>
        <v>798.82820797685247</v>
      </c>
      <c r="BI92" s="59">
        <f ca="1">AVERAGE(OFFSET($BH$3,0,0,'Données projet'!$E$11+1,1))-AVERAGE(OFFSET($H$3,0,0,'Données projet'!$E$11+1,1))</f>
        <v>324.86930206492627</v>
      </c>
      <c r="BJ92" s="59">
        <f t="shared" si="92"/>
        <v>317.03005098025352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39.862774822869859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39.862774822869859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6.4</v>
      </c>
      <c r="BY92" s="12">
        <f>IF('Données projet'!$A$114&gt;35,BY91+BX92-CG91,IF(A92&lt;'Données projet'!$A$114,$BV$205^A92,IF(A92='Données projet'!$A$114,'Données projet'!$B$114,BY91+BX92-CG91)))</f>
        <v>323.59999999999997</v>
      </c>
      <c r="BZ92" s="13">
        <f>BY92*VLOOKUP('Données projet'!$B$12,Paramètres!$A$1:$I$89,3,0)*VLOOKUP('Données projet'!$B$12,Paramètres!$A$1:$I$89,5,0)</f>
        <v>328.13039999999995</v>
      </c>
      <c r="CA92" s="13">
        <f t="shared" si="93"/>
        <v>77.042563313388285</v>
      </c>
      <c r="CB92" s="20">
        <f t="shared" si="64"/>
        <v>705.67624443748446</v>
      </c>
      <c r="CC92" s="59">
        <f t="shared" si="65"/>
        <v>999.00957777081771</v>
      </c>
      <c r="CD92" s="59">
        <f ca="1">AVERAGE(OFFSET($CC$3,0,0,'Données projet'!$E$12+1,1))-AVERAGE(OFFSET($H$3,0,0,'Données projet'!$E$12+1,1))</f>
        <v>487.18832528146936</v>
      </c>
      <c r="CE92" s="59">
        <f t="shared" si="94"/>
        <v>306.61893266146666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87.753144770853723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87.753144770853723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11.14</v>
      </c>
      <c r="CT92" s="12">
        <f>IF('Données projet'!$A$140&gt;35,CT91+CS92-DB91,IF(A92&lt;'Données projet'!$A$140,$CQ$205^A92,IF(A92='Données projet'!$A$140,'Données projet'!$B$140,CT91+CS92-DB91)))</f>
        <v>460.22999999999973</v>
      </c>
      <c r="CU92" s="17">
        <f>CT92*VLOOKUP('Données projet'!$B$13,Paramètres!$A$1:$I$89,3,0)*VLOOKUP('Données projet'!$B$13,Paramètres!$A$1:$I$89,5,0)</f>
        <v>437.95486799999975</v>
      </c>
      <c r="CV92" s="13">
        <f t="shared" si="95"/>
        <v>99.430367733904248</v>
      </c>
      <c r="CW92" s="20">
        <f t="shared" si="67"/>
        <v>935.94595223654926</v>
      </c>
      <c r="CX92" s="59">
        <f t="shared" si="68"/>
        <v>1229.2792855698826</v>
      </c>
      <c r="CY92" s="59">
        <f ca="1">AVERAGE(OFFSET($CX$3,0,0,'Données projet'!$E$13+1,1))-AVERAGE(OFFSET($H$3,0,0,'Données projet'!$E$13+1,1))</f>
        <v>733.95677909788878</v>
      </c>
      <c r="CZ92" s="59">
        <f t="shared" si="96"/>
        <v>264.63778997972378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109.70868165376436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109.70868165376436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853.00000000000011</v>
      </c>
      <c r="O93" s="13">
        <f>N93*VLOOKUP('Données projet'!$B$9,Paramètres!$A$1:$I$89,3,0)*VLOOKUP('Données projet'!$B$9,Paramètres!$A$1:$I$89,5,0)</f>
        <v>399.20400000000006</v>
      </c>
      <c r="P93" s="13">
        <f t="shared" si="87"/>
        <v>91.615269732888521</v>
      </c>
      <c r="Q93" s="20">
        <f t="shared" si="54"/>
        <v>854.8435614514475</v>
      </c>
      <c r="R93" s="59">
        <f t="shared" si="55"/>
        <v>1148.1768947847809</v>
      </c>
      <c r="S93" s="59">
        <f ca="1">AVERAGE(OFFSET($R$3,0,0,'Données projet'!$E$9+1,1))-AVERAGE(OFFSET($H$3,0,0,'Données projet'!$E$9+1,1))</f>
        <v>488.67934252295686</v>
      </c>
      <c r="T93" s="59">
        <f t="shared" si="88"/>
        <v>424.50324471331095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113.69235246548517</v>
      </c>
      <c r="AA93" s="21">
        <f>EXP(-LN(2)/25)*AA92+(1-EXP(-LN(2)/25))/(LN(2)/25)*Calculateur!V93*Calculateur!X93*VLOOKUP('Données projet'!$B$9,Paramètres!$A$1:$I$89,3,0)*0.475*44/12</f>
        <v>9.2813623613047618</v>
      </c>
      <c r="AB93" s="21">
        <f>EXP(-LN(2)/2)*AB92+(1-EXP(-LN(2)/2))/(LN(2)/2)*V93*Y93*VLOOKUP('Données projet'!$B$9,Paramètres!$A$1:$I$89,3,0)*0.475*44/12</f>
        <v>7.5566207078742194E-10</v>
      </c>
      <c r="AC93" s="22">
        <f t="shared" si="57"/>
        <v>122.97371482754559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689</v>
      </c>
      <c r="AJ93" s="13">
        <f>AI93*VLOOKUP('Données projet'!$B$10,Paramètres!$A$1:$I$89,3,0)*VLOOKUP('Données projet'!$B$10,Paramètres!$A$1:$I$89,5,0)</f>
        <v>412.02199999999999</v>
      </c>
      <c r="AK93" s="13">
        <f t="shared" si="89"/>
        <v>94.209724877926391</v>
      </c>
      <c r="AL93" s="20">
        <f t="shared" si="58"/>
        <v>881.686920829055</v>
      </c>
      <c r="AM93" s="59">
        <f t="shared" si="59"/>
        <v>1175.0202541623883</v>
      </c>
      <c r="AN93" s="59">
        <f ca="1">AVERAGE(OFFSET($AM$3,0,0,'Données projet'!$E$10+1,1))-AVERAGE(OFFSET($H$3,0,0,'Données projet'!$E$10+1,1))</f>
        <v>504.81063008331739</v>
      </c>
      <c r="AO93" s="59">
        <f t="shared" si="90"/>
        <v>441.82647565372287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80.287371518838782</v>
      </c>
      <c r="AV93" s="21">
        <f>EXP(-LN(2)/25)*AV92+(1-EXP(-LN(2)/25))/(LN(2)/25)*Calculateur!AQ93*Calculateur!AS93*VLOOKUP('Données projet'!$B$10,Paramètres!$A$1:$I$89,3,0)*0.475*44/12</f>
        <v>11.155529170110267</v>
      </c>
      <c r="AW93" s="21">
        <f>EXP(-LN(2)/2)*AW92+(1-EXP(-LN(2)/2))/(LN(2)/2)*AQ93*AT93*VLOOKUP('Données projet'!$B$10,Paramètres!$A$1:$I$89,3,0)*0.475*44/12</f>
        <v>4.8768558787312999E-11</v>
      </c>
      <c r="AX93" s="21">
        <f t="shared" si="60"/>
        <v>91.442900688997824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266.99999999999983</v>
      </c>
      <c r="BE93" s="13">
        <f>BD93*VLOOKUP('Données projet'!$B$11,Paramètres!$A$1:$I$89,3,0)*VLOOKUP('Données projet'!$B$11,Paramètres!$A$1:$I$89,5,0)</f>
        <v>233.2511999999999</v>
      </c>
      <c r="BF93" s="13">
        <f t="shared" si="91"/>
        <v>56.985091661350864</v>
      </c>
      <c r="BG93" s="20">
        <f t="shared" si="61"/>
        <v>505.49487464351915</v>
      </c>
      <c r="BH93" s="59">
        <f t="shared" si="62"/>
        <v>798.82820797685247</v>
      </c>
      <c r="BI93" s="59">
        <f ca="1">AVERAGE(OFFSET($BH$3,0,0,'Données projet'!$E$11+1,1))-AVERAGE(OFFSET($H$3,0,0,'Données projet'!$E$11+1,1))</f>
        <v>324.86930206492627</v>
      </c>
      <c r="BJ93" s="59">
        <f t="shared" si="92"/>
        <v>317.03005098025352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39.081090122485229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39.081090122485229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330</v>
      </c>
      <c r="BW93" s="12">
        <f>VLOOKUP(A93,'Données projet'!$A$113:$I$133,9,0)</f>
        <v>6.4</v>
      </c>
      <c r="BX93" s="12">
        <f t="array" ref="BX93">INDEX(BW:BW,MIN(IF(ISNUMBER(BW93:BW289),ROW(BW93:BW289),"")))</f>
        <v>6.4</v>
      </c>
      <c r="BY93" s="12">
        <f>IF('Données projet'!$A$114&gt;35,BY92+BX93-CG92,IF(A93&lt;'Données projet'!$A$114,$BV$205^A93,IF(A93='Données projet'!$A$114,'Données projet'!$B$114,BY92+BX93-CG92)))</f>
        <v>329.99999999999994</v>
      </c>
      <c r="BZ93" s="13">
        <f>BY93*VLOOKUP('Données projet'!$B$12,Paramètres!$A$1:$I$89,3,0)*VLOOKUP('Données projet'!$B$12,Paramètres!$A$1:$I$89,5,0)</f>
        <v>334.61999999999995</v>
      </c>
      <c r="CA93" s="13">
        <f t="shared" si="93"/>
        <v>78.387374628661505</v>
      </c>
      <c r="CB93" s="20">
        <f t="shared" si="64"/>
        <v>719.32117747825203</v>
      </c>
      <c r="CC93" s="59">
        <f t="shared" si="65"/>
        <v>1012.6545108115854</v>
      </c>
      <c r="CD93" s="59">
        <f ca="1">AVERAGE(OFFSET($CC$3,0,0,'Données projet'!$E$12+1,1))-AVERAGE(OFFSET($H$3,0,0,'Données projet'!$E$12+1,1))</f>
        <v>487.18832528146936</v>
      </c>
      <c r="CE93" s="59">
        <f t="shared" si="94"/>
        <v>306.61893266146666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28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99.528560582781324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99.528560582781324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471.37</v>
      </c>
      <c r="CR93" s="12">
        <f>VLOOKUP(A93,'Données projet'!$A$139:$I$159,9,0)</f>
        <v>11.14</v>
      </c>
      <c r="CS93" s="12">
        <f t="array" ref="CS93">INDEX(CR:CR,MIN(IF(ISNUMBER(CR93:CR289),ROW(CR93:CR289),"")))</f>
        <v>11.14</v>
      </c>
      <c r="CT93" s="12">
        <f>IF('Données projet'!$A$140&gt;35,CT92+CS93-DB92,IF(A93&lt;'Données projet'!$A$140,$CQ$205^A93,IF(A93='Données projet'!$A$140,'Données projet'!$B$140,CT92+CS93-DB92)))</f>
        <v>471.36999999999972</v>
      </c>
      <c r="CU93" s="17">
        <f>CT93*VLOOKUP('Données projet'!$B$13,Paramètres!$A$1:$I$89,3,0)*VLOOKUP('Données projet'!$B$13,Paramètres!$A$1:$I$89,5,0)</f>
        <v>448.55569199999979</v>
      </c>
      <c r="CV93" s="13">
        <f t="shared" si="95"/>
        <v>101.55399467007658</v>
      </c>
      <c r="CW93" s="20">
        <f t="shared" si="67"/>
        <v>958.10770428371632</v>
      </c>
      <c r="CX93" s="59">
        <f t="shared" si="68"/>
        <v>1251.4410376170497</v>
      </c>
      <c r="CY93" s="59">
        <f ca="1">AVERAGE(OFFSET($CX$3,0,0,'Données projet'!$E$13+1,1))-AVERAGE(OFFSET($H$3,0,0,'Données projet'!$E$13+1,1))</f>
        <v>733.95677909788878</v>
      </c>
      <c r="CZ93" s="59">
        <f t="shared" si="96"/>
        <v>264.63778997972378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63.25</v>
      </c>
      <c r="DC93" s="16">
        <f>IF(ISNA(VLOOKUP(A93,'Données projet'!$A$139:$I$159,5,0)),0%,VLOOKUP(A93,'Données projet'!$A$139:$I$159,5,0)*VLOOKUP('Données projet'!$B$13,Paramètres!$A$1:$I$89,7,0))</f>
        <v>0.43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136.16819608623828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136.16819608623828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853.00000000000011</v>
      </c>
      <c r="O94" s="13">
        <f>N94*VLOOKUP('Données projet'!$B$9,Paramètres!$A$1:$I$89,3,0)*VLOOKUP('Données projet'!$B$9,Paramètres!$A$1:$I$89,5,0)</f>
        <v>399.20400000000006</v>
      </c>
      <c r="P94" s="13">
        <f t="shared" si="87"/>
        <v>91.615269732888521</v>
      </c>
      <c r="Q94" s="20">
        <f t="shared" si="54"/>
        <v>854.8435614514475</v>
      </c>
      <c r="R94" s="59">
        <f t="shared" si="55"/>
        <v>1148.1768947847809</v>
      </c>
      <c r="S94" s="59">
        <f ca="1">AVERAGE(OFFSET($R$3,0,0,'Données projet'!$E$9+1,1))-AVERAGE(OFFSET($H$3,0,0,'Données projet'!$E$9+1,1))</f>
        <v>488.67934252295686</v>
      </c>
      <c r="T94" s="59">
        <f t="shared" si="88"/>
        <v>424.50324471331095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111.46291477912472</v>
      </c>
      <c r="AA94" s="21">
        <f>EXP(-LN(2)/25)*AA93+(1-EXP(-LN(2)/25))/(LN(2)/25)*Calculateur!V94*Calculateur!X94*VLOOKUP('Données projet'!$B$9,Paramètres!$A$1:$I$89,3,0)*0.475*44/12</f>
        <v>9.02756301944925</v>
      </c>
      <c r="AB94" s="21">
        <f>EXP(-LN(2)/2)*AB93+(1-EXP(-LN(2)/2))/(LN(2)/2)*V94*Y94*VLOOKUP('Données projet'!$B$9,Paramètres!$A$1:$I$89,3,0)*0.475*44/12</f>
        <v>5.3433377453925494E-10</v>
      </c>
      <c r="AC94" s="22">
        <f t="shared" si="57"/>
        <v>120.49047779910829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689</v>
      </c>
      <c r="AJ94" s="13">
        <f>AI94*VLOOKUP('Données projet'!$B$10,Paramètres!$A$1:$I$89,3,0)*VLOOKUP('Données projet'!$B$10,Paramètres!$A$1:$I$89,5,0)</f>
        <v>412.02199999999999</v>
      </c>
      <c r="AK94" s="13">
        <f t="shared" si="89"/>
        <v>94.209724877926391</v>
      </c>
      <c r="AL94" s="20">
        <f t="shared" si="58"/>
        <v>881.686920829055</v>
      </c>
      <c r="AM94" s="59">
        <f t="shared" si="59"/>
        <v>1175.0202541623883</v>
      </c>
      <c r="AN94" s="59">
        <f ca="1">AVERAGE(OFFSET($AM$3,0,0,'Données projet'!$E$10+1,1))-AVERAGE(OFFSET($H$3,0,0,'Données projet'!$E$10+1,1))</f>
        <v>504.81063008331739</v>
      </c>
      <c r="AO94" s="59">
        <f t="shared" si="90"/>
        <v>441.82647565372287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78.71298513381555</v>
      </c>
      <c r="AV94" s="21">
        <f>EXP(-LN(2)/25)*AV93+(1-EXP(-LN(2)/25))/(LN(2)/25)*Calculateur!AQ94*Calculateur!AS94*VLOOKUP('Données projet'!$B$10,Paramètres!$A$1:$I$89,3,0)*0.475*44/12</f>
        <v>10.850480638309818</v>
      </c>
      <c r="AW94" s="21">
        <f>EXP(-LN(2)/2)*AW93+(1-EXP(-LN(2)/2))/(LN(2)/2)*AQ94*AT94*VLOOKUP('Données projet'!$B$10,Paramètres!$A$1:$I$89,3,0)*0.475*44/12</f>
        <v>3.4484578627203812E-11</v>
      </c>
      <c r="AX94" s="21">
        <f t="shared" si="60"/>
        <v>89.563465772159859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266.99999999999983</v>
      </c>
      <c r="BE94" s="13">
        <f>BD94*VLOOKUP('Données projet'!$B$11,Paramètres!$A$1:$I$89,3,0)*VLOOKUP('Données projet'!$B$11,Paramètres!$A$1:$I$89,5,0)</f>
        <v>233.2511999999999</v>
      </c>
      <c r="BF94" s="13">
        <f t="shared" si="91"/>
        <v>56.985091661350864</v>
      </c>
      <c r="BG94" s="20">
        <f t="shared" si="61"/>
        <v>505.49487464351915</v>
      </c>
      <c r="BH94" s="59">
        <f t="shared" si="62"/>
        <v>798.82820797685247</v>
      </c>
      <c r="BI94" s="59">
        <f ca="1">AVERAGE(OFFSET($BH$3,0,0,'Données projet'!$E$11+1,1))-AVERAGE(OFFSET($H$3,0,0,'Données projet'!$E$11+1,1))</f>
        <v>324.86930206492627</v>
      </c>
      <c r="BJ94" s="59">
        <f t="shared" si="92"/>
        <v>317.03005098025352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38.314733782294546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38.314733782294546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6.2</v>
      </c>
      <c r="BY94" s="12">
        <f>IF('Données projet'!$A$114&gt;35,BY93+BX94-CG93,IF(A94&lt;'Données projet'!$A$114,$BV$205^A94,IF(A94='Données projet'!$A$114,'Données projet'!$B$114,BY93+BX94-CG93)))</f>
        <v>308.19999999999993</v>
      </c>
      <c r="BZ94" s="13">
        <f>BY94*VLOOKUP('Données projet'!$B$12,Paramètres!$A$1:$I$89,3,0)*VLOOKUP('Données projet'!$B$12,Paramètres!$A$1:$I$89,5,0)</f>
        <v>312.51479999999992</v>
      </c>
      <c r="CA94" s="13">
        <f t="shared" si="93"/>
        <v>73.793773289024969</v>
      </c>
      <c r="CB94" s="20">
        <f t="shared" si="64"/>
        <v>672.82076514505172</v>
      </c>
      <c r="CC94" s="59">
        <f t="shared" si="65"/>
        <v>966.15409847838509</v>
      </c>
      <c r="CD94" s="59">
        <f ca="1">AVERAGE(OFFSET($CC$3,0,0,'Données projet'!$E$12+1,1))-AVERAGE(OFFSET($H$3,0,0,'Données projet'!$E$12+1,1))</f>
        <v>487.18832528146936</v>
      </c>
      <c r="CE94" s="59">
        <f t="shared" si="94"/>
        <v>306.61893266146666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97.576866216180676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97.576866216180676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10.754999999999995</v>
      </c>
      <c r="CT94" s="12">
        <f>IF('Données projet'!$A$140&gt;35,CT93+CS94-DB93,IF(A94&lt;'Données projet'!$A$140,$CQ$205^A94,IF(A94='Données projet'!$A$140,'Données projet'!$B$140,CT93+CS94-DB93)))</f>
        <v>418.87499999999972</v>
      </c>
      <c r="CU94" s="17">
        <f>CT94*VLOOKUP('Données projet'!$B$13,Paramètres!$A$1:$I$89,3,0)*VLOOKUP('Données projet'!$B$13,Paramètres!$A$1:$I$89,5,0)</f>
        <v>398.60144999999972</v>
      </c>
      <c r="CV94" s="13">
        <f t="shared" si="95"/>
        <v>91.493072900252159</v>
      </c>
      <c r="CW94" s="20">
        <f t="shared" si="67"/>
        <v>853.58129405127193</v>
      </c>
      <c r="CX94" s="59">
        <f t="shared" si="68"/>
        <v>1146.9146273846052</v>
      </c>
      <c r="CY94" s="59">
        <f ca="1">AVERAGE(OFFSET($CX$3,0,0,'Données projet'!$E$13+1,1))-AVERAGE(OFFSET($H$3,0,0,'Données projet'!$E$13+1,1))</f>
        <v>733.95677909788878</v>
      </c>
      <c r="CZ94" s="59">
        <f t="shared" si="96"/>
        <v>264.63778997972378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133.49802081538581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133.49802081538581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853.00000000000011</v>
      </c>
      <c r="O95" s="13">
        <f>N95*VLOOKUP('Données projet'!$B$9,Paramètres!$A$1:$I$89,3,0)*VLOOKUP('Données projet'!$B$9,Paramètres!$A$1:$I$89,5,0)</f>
        <v>399.20400000000006</v>
      </c>
      <c r="P95" s="13">
        <f t="shared" si="87"/>
        <v>91.615269732888521</v>
      </c>
      <c r="Q95" s="20">
        <f t="shared" si="54"/>
        <v>854.8435614514475</v>
      </c>
      <c r="R95" s="59">
        <f t="shared" si="55"/>
        <v>1148.1768947847809</v>
      </c>
      <c r="S95" s="59">
        <f ca="1">AVERAGE(OFFSET($R$3,0,0,'Données projet'!$E$9+1,1))-AVERAGE(OFFSET($H$3,0,0,'Données projet'!$E$9+1,1))</f>
        <v>488.67934252295686</v>
      </c>
      <c r="T95" s="59">
        <f t="shared" si="88"/>
        <v>424.50324471331095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109.27719500597107</v>
      </c>
      <c r="AA95" s="21">
        <f>EXP(-LN(2)/25)*AA94+(1-EXP(-LN(2)/25))/(LN(2)/25)*Calculateur!V95*Calculateur!X95*VLOOKUP('Données projet'!$B$9,Paramètres!$A$1:$I$89,3,0)*0.475*44/12</f>
        <v>8.7807038339435035</v>
      </c>
      <c r="AB95" s="21">
        <f>EXP(-LN(2)/2)*AB94+(1-EXP(-LN(2)/2))/(LN(2)/2)*V95*Y95*VLOOKUP('Données projet'!$B$9,Paramètres!$A$1:$I$89,3,0)*0.475*44/12</f>
        <v>3.7783103539371097E-10</v>
      </c>
      <c r="AC95" s="22">
        <f t="shared" si="57"/>
        <v>118.0578988402924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689</v>
      </c>
      <c r="AJ95" s="13">
        <f>AI95*VLOOKUP('Données projet'!$B$10,Paramètres!$A$1:$I$89,3,0)*VLOOKUP('Données projet'!$B$10,Paramètres!$A$1:$I$89,5,0)</f>
        <v>412.02199999999999</v>
      </c>
      <c r="AK95" s="13">
        <f t="shared" si="89"/>
        <v>94.209724877926391</v>
      </c>
      <c r="AL95" s="20">
        <f t="shared" si="58"/>
        <v>881.686920829055</v>
      </c>
      <c r="AM95" s="59">
        <f t="shared" si="59"/>
        <v>1175.0202541623883</v>
      </c>
      <c r="AN95" s="59">
        <f ca="1">AVERAGE(OFFSET($AM$3,0,0,'Données projet'!$E$10+1,1))-AVERAGE(OFFSET($H$3,0,0,'Données projet'!$E$10+1,1))</f>
        <v>504.81063008331739</v>
      </c>
      <c r="AO95" s="59">
        <f t="shared" si="90"/>
        <v>441.82647565372287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77.169471505521742</v>
      </c>
      <c r="AV95" s="21">
        <f>EXP(-LN(2)/25)*AV94+(1-EXP(-LN(2)/25))/(LN(2)/25)*Calculateur!AQ95*Calculateur!AS95*VLOOKUP('Données projet'!$B$10,Paramètres!$A$1:$I$89,3,0)*0.475*44/12</f>
        <v>10.553773674653259</v>
      </c>
      <c r="AW95" s="21">
        <f>EXP(-LN(2)/2)*AW94+(1-EXP(-LN(2)/2))/(LN(2)/2)*AQ95*AT95*VLOOKUP('Données projet'!$B$10,Paramètres!$A$1:$I$89,3,0)*0.475*44/12</f>
        <v>2.43842793936565E-11</v>
      </c>
      <c r="AX95" s="21">
        <f t="shared" si="60"/>
        <v>87.723245180199385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266.99999999999983</v>
      </c>
      <c r="BE95" s="13">
        <f>BD95*VLOOKUP('Données projet'!$B$11,Paramètres!$A$1:$I$89,3,0)*VLOOKUP('Données projet'!$B$11,Paramètres!$A$1:$I$89,5,0)</f>
        <v>233.2511999999999</v>
      </c>
      <c r="BF95" s="13">
        <f t="shared" si="91"/>
        <v>56.985091661350864</v>
      </c>
      <c r="BG95" s="20">
        <f t="shared" si="61"/>
        <v>505.49487464351915</v>
      </c>
      <c r="BH95" s="59">
        <f t="shared" si="62"/>
        <v>798.82820797685247</v>
      </c>
      <c r="BI95" s="59">
        <f ca="1">AVERAGE(OFFSET($BH$3,0,0,'Données projet'!$E$11+1,1))-AVERAGE(OFFSET($H$3,0,0,'Données projet'!$E$11+1,1))</f>
        <v>324.86930206492627</v>
      </c>
      <c r="BJ95" s="59">
        <f t="shared" si="92"/>
        <v>317.03005098025352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37.563405222503796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37.563405222503796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6.2</v>
      </c>
      <c r="BY95" s="12">
        <f>IF('Données projet'!$A$114&gt;35,BY94+BX95-CG94,IF(A95&lt;'Données projet'!$A$114,$BV$205^A95,IF(A95='Données projet'!$A$114,'Données projet'!$B$114,BY94+BX95-CG94)))</f>
        <v>314.39999999999992</v>
      </c>
      <c r="BZ95" s="13">
        <f>BY95*VLOOKUP('Données projet'!$B$12,Paramètres!$A$1:$I$89,3,0)*VLOOKUP('Données projet'!$B$12,Paramètres!$A$1:$I$89,5,0)</f>
        <v>318.80159999999995</v>
      </c>
      <c r="CA95" s="13">
        <f t="shared" si="93"/>
        <v>75.103948812522063</v>
      </c>
      <c r="CB95" s="20">
        <f t="shared" si="64"/>
        <v>686.05216418180908</v>
      </c>
      <c r="CC95" s="59">
        <f t="shared" si="65"/>
        <v>979.38549751514233</v>
      </c>
      <c r="CD95" s="59">
        <f ca="1">AVERAGE(OFFSET($CC$3,0,0,'Données projet'!$E$12+1,1))-AVERAGE(OFFSET($H$3,0,0,'Données projet'!$E$12+1,1))</f>
        <v>487.18832528146936</v>
      </c>
      <c r="CE95" s="59">
        <f t="shared" si="94"/>
        <v>306.61893266146666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95.663443385693043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95.663443385693043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10.754999999999995</v>
      </c>
      <c r="CT95" s="12">
        <f>IF('Données projet'!$A$140&gt;35,CT94+CS95-DB94,IF(A95&lt;'Données projet'!$A$140,$CQ$205^A95,IF(A95='Données projet'!$A$140,'Données projet'!$B$140,CT94+CS95-DB94)))</f>
        <v>429.62999999999971</v>
      </c>
      <c r="CU95" s="17">
        <f>CT95*VLOOKUP('Données projet'!$B$13,Paramètres!$A$1:$I$89,3,0)*VLOOKUP('Données projet'!$B$13,Paramètres!$A$1:$I$89,5,0)</f>
        <v>408.83590799999973</v>
      </c>
      <c r="CV95" s="13">
        <f t="shared" si="95"/>
        <v>93.565725684006281</v>
      </c>
      <c r="CW95" s="20">
        <f t="shared" si="67"/>
        <v>875.01617866631034</v>
      </c>
      <c r="CX95" s="59">
        <f t="shared" si="68"/>
        <v>1168.3495119996437</v>
      </c>
      <c r="CY95" s="59">
        <f ca="1">AVERAGE(OFFSET($CX$3,0,0,'Données projet'!$E$13+1,1))-AVERAGE(OFFSET($H$3,0,0,'Données projet'!$E$13+1,1))</f>
        <v>733.95677909788878</v>
      </c>
      <c r="CZ95" s="59">
        <f t="shared" si="96"/>
        <v>264.63778997972378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130.88020605294867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130.88020605294867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853.00000000000011</v>
      </c>
      <c r="O96" s="13">
        <f>N96*VLOOKUP('Données projet'!$B$9,Paramètres!$A$1:$I$89,3,0)*VLOOKUP('Données projet'!$B$9,Paramètres!$A$1:$I$89,5,0)</f>
        <v>399.20400000000006</v>
      </c>
      <c r="P96" s="13">
        <f t="shared" si="87"/>
        <v>91.615269732888521</v>
      </c>
      <c r="Q96" s="20">
        <f t="shared" si="54"/>
        <v>854.8435614514475</v>
      </c>
      <c r="R96" s="59">
        <f t="shared" si="55"/>
        <v>1148.1768947847809</v>
      </c>
      <c r="S96" s="59">
        <f ca="1">AVERAGE(OFFSET($R$3,0,0,'Données projet'!$E$9+1,1))-AVERAGE(OFFSET($H$3,0,0,'Données projet'!$E$9+1,1))</f>
        <v>488.67934252295686</v>
      </c>
      <c r="T96" s="59">
        <f t="shared" si="88"/>
        <v>424.50324471331095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107.13433586441154</v>
      </c>
      <c r="AA96" s="21">
        <f>EXP(-LN(2)/25)*AA95+(1-EXP(-LN(2)/25))/(LN(2)/25)*Calculateur!V96*Calculateur!X96*VLOOKUP('Données projet'!$B$9,Paramètres!$A$1:$I$89,3,0)*0.475*44/12</f>
        <v>8.540595025847173</v>
      </c>
      <c r="AB96" s="21">
        <f>EXP(-LN(2)/2)*AB95+(1-EXP(-LN(2)/2))/(LN(2)/2)*V96*Y96*VLOOKUP('Données projet'!$B$9,Paramètres!$A$1:$I$89,3,0)*0.475*44/12</f>
        <v>2.6716688726962747E-10</v>
      </c>
      <c r="AC96" s="22">
        <f t="shared" si="57"/>
        <v>115.67493089052587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689</v>
      </c>
      <c r="AJ96" s="13">
        <f>AI96*VLOOKUP('Données projet'!$B$10,Paramètres!$A$1:$I$89,3,0)*VLOOKUP('Données projet'!$B$10,Paramètres!$A$1:$I$89,5,0)</f>
        <v>412.02199999999999</v>
      </c>
      <c r="AK96" s="13">
        <f t="shared" si="89"/>
        <v>94.209724877926391</v>
      </c>
      <c r="AL96" s="20">
        <f t="shared" si="58"/>
        <v>881.686920829055</v>
      </c>
      <c r="AM96" s="59">
        <f t="shared" si="59"/>
        <v>1175.0202541623883</v>
      </c>
      <c r="AN96" s="59">
        <f ca="1">AVERAGE(OFFSET($AM$3,0,0,'Données projet'!$E$10+1,1))-AVERAGE(OFFSET($H$3,0,0,'Données projet'!$E$10+1,1))</f>
        <v>504.81063008331739</v>
      </c>
      <c r="AO96" s="59">
        <f t="shared" si="90"/>
        <v>441.82647565372287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75.656225238028426</v>
      </c>
      <c r="AV96" s="21">
        <f>EXP(-LN(2)/25)*AV95+(1-EXP(-LN(2)/25))/(LN(2)/25)*Calculateur!AQ96*Calculateur!AS96*VLOOKUP('Données projet'!$B$10,Paramètres!$A$1:$I$89,3,0)*0.475*44/12</f>
        <v>10.26518017852103</v>
      </c>
      <c r="AW96" s="21">
        <f>EXP(-LN(2)/2)*AW95+(1-EXP(-LN(2)/2))/(LN(2)/2)*AQ96*AT96*VLOOKUP('Données projet'!$B$10,Paramètres!$A$1:$I$89,3,0)*0.475*44/12</f>
        <v>1.7242289313601906E-11</v>
      </c>
      <c r="AX96" s="21">
        <f t="shared" si="60"/>
        <v>85.921405416566699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266.99999999999983</v>
      </c>
      <c r="BE96" s="13">
        <f>BD96*VLOOKUP('Données projet'!$B$11,Paramètres!$A$1:$I$89,3,0)*VLOOKUP('Données projet'!$B$11,Paramètres!$A$1:$I$89,5,0)</f>
        <v>233.2511999999999</v>
      </c>
      <c r="BF96" s="13">
        <f t="shared" si="91"/>
        <v>56.985091661350864</v>
      </c>
      <c r="BG96" s="20">
        <f t="shared" si="61"/>
        <v>505.49487464351915</v>
      </c>
      <c r="BH96" s="59">
        <f t="shared" si="62"/>
        <v>798.82820797685247</v>
      </c>
      <c r="BI96" s="59">
        <f ca="1">AVERAGE(OFFSET($BH$3,0,0,'Données projet'!$E$11+1,1))-AVERAGE(OFFSET($H$3,0,0,'Données projet'!$E$11+1,1))</f>
        <v>324.86930206492627</v>
      </c>
      <c r="BJ96" s="59">
        <f t="shared" si="92"/>
        <v>317.03005098025352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36.826809757505366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36.826809757505366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6.2</v>
      </c>
      <c r="BY96" s="12">
        <f>IF('Données projet'!$A$114&gt;35,BY95+BX96-CG95,IF(A96&lt;'Données projet'!$A$114,$BV$205^A96,IF(A96='Données projet'!$A$114,'Données projet'!$B$114,BY95+BX96-CG95)))</f>
        <v>320.59999999999991</v>
      </c>
      <c r="BZ96" s="13">
        <f>BY96*VLOOKUP('Données projet'!$B$12,Paramètres!$A$1:$I$89,3,0)*VLOOKUP('Données projet'!$B$12,Paramètres!$A$1:$I$89,5,0)</f>
        <v>325.08839999999992</v>
      </c>
      <c r="CA96" s="13">
        <f t="shared" si="93"/>
        <v>76.411120176279823</v>
      </c>
      <c r="CB96" s="20">
        <f t="shared" si="64"/>
        <v>699.27833097368728</v>
      </c>
      <c r="CC96" s="59">
        <f t="shared" si="65"/>
        <v>992.61166430702065</v>
      </c>
      <c r="CD96" s="59">
        <f ca="1">AVERAGE(OFFSET($CC$3,0,0,'Données projet'!$E$12+1,1))-AVERAGE(OFFSET($H$3,0,0,'Données projet'!$E$12+1,1))</f>
        <v>487.18832528146936</v>
      </c>
      <c r="CE96" s="59">
        <f t="shared" si="94"/>
        <v>306.61893266146666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93.787541609838584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93.787541609838584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10.754999999999995</v>
      </c>
      <c r="CT96" s="12">
        <f>IF('Données projet'!$A$140&gt;35,CT95+CS96-DB95,IF(A96&lt;'Données projet'!$A$140,$CQ$205^A96,IF(A96='Données projet'!$A$140,'Données projet'!$B$140,CT95+CS96-DB95)))</f>
        <v>440.38499999999971</v>
      </c>
      <c r="CU96" s="17">
        <f>CT96*VLOOKUP('Données projet'!$B$13,Paramètres!$A$1:$I$89,3,0)*VLOOKUP('Données projet'!$B$13,Paramètres!$A$1:$I$89,5,0)</f>
        <v>419.07036599999969</v>
      </c>
      <c r="CV96" s="13">
        <f t="shared" si="95"/>
        <v>95.6323471708928</v>
      </c>
      <c r="CW96" s="20">
        <f t="shared" si="67"/>
        <v>896.4405587726377</v>
      </c>
      <c r="CX96" s="59">
        <f t="shared" si="68"/>
        <v>1189.7738921059711</v>
      </c>
      <c r="CY96" s="59">
        <f ca="1">AVERAGE(OFFSET($CX$3,0,0,'Données projet'!$E$13+1,1))-AVERAGE(OFFSET($H$3,0,0,'Données projet'!$E$13+1,1))</f>
        <v>733.95677909788878</v>
      </c>
      <c r="CZ96" s="59">
        <f t="shared" si="96"/>
        <v>264.63778997972378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128.31372504129357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128.31372504129357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853.00000000000011</v>
      </c>
      <c r="O97" s="13">
        <f>N97*VLOOKUP('Données projet'!$B$9,Paramètres!$A$1:$I$89,3,0)*VLOOKUP('Données projet'!$B$9,Paramètres!$A$1:$I$89,5,0)</f>
        <v>399.20400000000006</v>
      </c>
      <c r="P97" s="13">
        <f t="shared" si="87"/>
        <v>91.615269732888521</v>
      </c>
      <c r="Q97" s="20">
        <f t="shared" si="54"/>
        <v>854.8435614514475</v>
      </c>
      <c r="R97" s="59">
        <f t="shared" si="55"/>
        <v>1148.1768947847809</v>
      </c>
      <c r="S97" s="59">
        <f ca="1">AVERAGE(OFFSET($R$3,0,0,'Données projet'!$E$9+1,1))-AVERAGE(OFFSET($H$3,0,0,'Données projet'!$E$9+1,1))</f>
        <v>488.67934252295686</v>
      </c>
      <c r="T97" s="59">
        <f t="shared" si="88"/>
        <v>424.50324471331095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105.03349688360298</v>
      </c>
      <c r="AA97" s="21">
        <f>EXP(-LN(2)/25)*AA96+(1-EXP(-LN(2)/25))/(LN(2)/25)*Calculateur!V97*Calculateur!X97*VLOOKUP('Données projet'!$B$9,Paramètres!$A$1:$I$89,3,0)*0.475*44/12</f>
        <v>8.3070520057350095</v>
      </c>
      <c r="AB97" s="21">
        <f>EXP(-LN(2)/2)*AB96+(1-EXP(-LN(2)/2))/(LN(2)/2)*V97*Y97*VLOOKUP('Données projet'!$B$9,Paramètres!$A$1:$I$89,3,0)*0.475*44/12</f>
        <v>1.8891551769685549E-10</v>
      </c>
      <c r="AC97" s="22">
        <f t="shared" si="57"/>
        <v>113.3405488895269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689</v>
      </c>
      <c r="AJ97" s="13">
        <f>AI97*VLOOKUP('Données projet'!$B$10,Paramètres!$A$1:$I$89,3,0)*VLOOKUP('Données projet'!$B$10,Paramètres!$A$1:$I$89,5,0)</f>
        <v>412.02199999999999</v>
      </c>
      <c r="AK97" s="13">
        <f t="shared" si="89"/>
        <v>94.209724877926391</v>
      </c>
      <c r="AL97" s="20">
        <f t="shared" si="58"/>
        <v>881.686920829055</v>
      </c>
      <c r="AM97" s="59">
        <f t="shared" si="59"/>
        <v>1175.0202541623883</v>
      </c>
      <c r="AN97" s="59">
        <f ca="1">AVERAGE(OFFSET($AM$3,0,0,'Données projet'!$E$10+1,1))-AVERAGE(OFFSET($H$3,0,0,'Données projet'!$E$10+1,1))</f>
        <v>504.81063008331739</v>
      </c>
      <c r="AO97" s="59">
        <f t="shared" si="90"/>
        <v>441.82647565372287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74.172652806851573</v>
      </c>
      <c r="AV97" s="21">
        <f>EXP(-LN(2)/25)*AV96+(1-EXP(-LN(2)/25))/(LN(2)/25)*Calculateur!AQ97*Calculateur!AS97*VLOOKUP('Données projet'!$B$10,Paramètres!$A$1:$I$89,3,0)*0.475*44/12</f>
        <v>9.9844782867170085</v>
      </c>
      <c r="AW97" s="21">
        <f>EXP(-LN(2)/2)*AW96+(1-EXP(-LN(2)/2))/(LN(2)/2)*AQ97*AT97*VLOOKUP('Données projet'!$B$10,Paramètres!$A$1:$I$89,3,0)*0.475*44/12</f>
        <v>1.219213969682825E-11</v>
      </c>
      <c r="AX97" s="21">
        <f t="shared" si="60"/>
        <v>84.157131093580773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266.99999999999983</v>
      </c>
      <c r="BE97" s="13">
        <f>BD97*VLOOKUP('Données projet'!$B$11,Paramètres!$A$1:$I$89,3,0)*VLOOKUP('Données projet'!$B$11,Paramètres!$A$1:$I$89,5,0)</f>
        <v>233.2511999999999</v>
      </c>
      <c r="BF97" s="13">
        <f t="shared" si="91"/>
        <v>56.985091661350864</v>
      </c>
      <c r="BG97" s="20">
        <f t="shared" si="61"/>
        <v>505.49487464351915</v>
      </c>
      <c r="BH97" s="59">
        <f t="shared" si="62"/>
        <v>798.82820797685247</v>
      </c>
      <c r="BI97" s="59">
        <f ca="1">AVERAGE(OFFSET($BH$3,0,0,'Données projet'!$E$11+1,1))-AVERAGE(OFFSET($H$3,0,0,'Données projet'!$E$11+1,1))</f>
        <v>324.86930206492627</v>
      </c>
      <c r="BJ97" s="59">
        <f t="shared" si="92"/>
        <v>317.03005098025352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36.104658480296685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36.104658480296685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6.2</v>
      </c>
      <c r="BY97" s="12">
        <f>IF('Données projet'!$A$114&gt;35,BY96+BX97-CG96,IF(A97&lt;'Données projet'!$A$114,$BV$205^A97,IF(A97='Données projet'!$A$114,'Données projet'!$B$114,BY96+BX97-CG96)))</f>
        <v>326.7999999999999</v>
      </c>
      <c r="BZ97" s="13">
        <f>BY97*VLOOKUP('Données projet'!$B$12,Paramètres!$A$1:$I$89,3,0)*VLOOKUP('Données projet'!$B$12,Paramètres!$A$1:$I$89,5,0)</f>
        <v>331.37519999999989</v>
      </c>
      <c r="CA97" s="13">
        <f t="shared" si="93"/>
        <v>77.715352174616896</v>
      </c>
      <c r="CB97" s="20">
        <f t="shared" si="64"/>
        <v>712.49937837079085</v>
      </c>
      <c r="CC97" s="59">
        <f t="shared" si="65"/>
        <v>1005.8327117041242</v>
      </c>
      <c r="CD97" s="59">
        <f ca="1">AVERAGE(OFFSET($CC$3,0,0,'Données projet'!$E$12+1,1))-AVERAGE(OFFSET($H$3,0,0,'Données projet'!$E$12+1,1))</f>
        <v>487.18832528146936</v>
      </c>
      <c r="CE97" s="59">
        <f t="shared" si="94"/>
        <v>306.61893266146666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91.948425123621533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91.948425123621533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10.754999999999995</v>
      </c>
      <c r="CT97" s="12">
        <f>IF('Données projet'!$A$140&gt;35,CT96+CS97-DB96,IF(A97&lt;'Données projet'!$A$140,$CQ$205^A97,IF(A97='Données projet'!$A$140,'Données projet'!$B$140,CT96+CS97-DB96)))</f>
        <v>451.1399999999997</v>
      </c>
      <c r="CU97" s="17">
        <f>CT97*VLOOKUP('Données projet'!$B$13,Paramètres!$A$1:$I$89,3,0)*VLOOKUP('Données projet'!$B$13,Paramètres!$A$1:$I$89,5,0)</f>
        <v>429.30482399999977</v>
      </c>
      <c r="CV97" s="13">
        <f t="shared" si="95"/>
        <v>97.693101600789092</v>
      </c>
      <c r="CW97" s="20">
        <f t="shared" si="67"/>
        <v>917.85472042137405</v>
      </c>
      <c r="CX97" s="59">
        <f t="shared" si="68"/>
        <v>1211.1880537547074</v>
      </c>
      <c r="CY97" s="59">
        <f ca="1">AVERAGE(OFFSET($CX$3,0,0,'Données projet'!$E$13+1,1))-AVERAGE(OFFSET($H$3,0,0,'Données projet'!$E$13+1,1))</f>
        <v>733.95677909788878</v>
      </c>
      <c r="CZ97" s="59">
        <f t="shared" si="96"/>
        <v>264.63778997972378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125.79757115687818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125.79757115687818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853.00000000000011</v>
      </c>
      <c r="O98" s="13">
        <f>N98*VLOOKUP('Données projet'!$B$9,Paramètres!$A$1:$I$89,3,0)*VLOOKUP('Données projet'!$B$9,Paramètres!$A$1:$I$89,5,0)</f>
        <v>399.20400000000006</v>
      </c>
      <c r="P98" s="13">
        <f t="shared" si="87"/>
        <v>91.615269732888521</v>
      </c>
      <c r="Q98" s="20">
        <f t="shared" si="54"/>
        <v>854.8435614514475</v>
      </c>
      <c r="R98" s="59">
        <f t="shared" si="55"/>
        <v>1148.1768947847809</v>
      </c>
      <c r="S98" s="59">
        <f ca="1">AVERAGE(OFFSET($R$3,0,0,'Données projet'!$E$9+1,1))-AVERAGE(OFFSET($H$3,0,0,'Données projet'!$E$9+1,1))</f>
        <v>488.67934252295686</v>
      </c>
      <c r="T98" s="59">
        <f t="shared" si="88"/>
        <v>424.50324471331095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102.97385407382282</v>
      </c>
      <c r="AA98" s="21">
        <f>EXP(-LN(2)/25)*AA97+(1-EXP(-LN(2)/25))/(LN(2)/25)*Calculateur!V98*Calculateur!X98*VLOOKUP('Données projet'!$B$9,Paramètres!$A$1:$I$89,3,0)*0.475*44/12</f>
        <v>8.0798952317893065</v>
      </c>
      <c r="AB98" s="21">
        <f>EXP(-LN(2)/2)*AB97+(1-EXP(-LN(2)/2))/(LN(2)/2)*V98*Y98*VLOOKUP('Données projet'!$B$9,Paramètres!$A$1:$I$89,3,0)*0.475*44/12</f>
        <v>1.3358344363481373E-10</v>
      </c>
      <c r="AC98" s="22">
        <f t="shared" si="57"/>
        <v>111.05374930574571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689</v>
      </c>
      <c r="AJ98" s="13">
        <f>AI98*VLOOKUP('Données projet'!$B$10,Paramètres!$A$1:$I$89,3,0)*VLOOKUP('Données projet'!$B$10,Paramètres!$A$1:$I$89,5,0)</f>
        <v>412.02199999999999</v>
      </c>
      <c r="AK98" s="13">
        <f t="shared" si="89"/>
        <v>94.209724877926391</v>
      </c>
      <c r="AL98" s="20">
        <f t="shared" si="58"/>
        <v>881.686920829055</v>
      </c>
      <c r="AM98" s="59">
        <f t="shared" si="59"/>
        <v>1175.0202541623883</v>
      </c>
      <c r="AN98" s="59">
        <f ca="1">AVERAGE(OFFSET($AM$3,0,0,'Données projet'!$E$10+1,1))-AVERAGE(OFFSET($H$3,0,0,'Données projet'!$E$10+1,1))</f>
        <v>504.81063008331739</v>
      </c>
      <c r="AO98" s="59">
        <f t="shared" si="90"/>
        <v>441.82647565372287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72.718172326160257</v>
      </c>
      <c r="AV98" s="21">
        <f>EXP(-LN(2)/25)*AV97+(1-EXP(-LN(2)/25))/(LN(2)/25)*Calculateur!AQ98*Calculateur!AS98*VLOOKUP('Données projet'!$B$10,Paramètres!$A$1:$I$89,3,0)*0.475*44/12</f>
        <v>9.7114522029058392</v>
      </c>
      <c r="AW98" s="21">
        <f>EXP(-LN(2)/2)*AW97+(1-EXP(-LN(2)/2))/(LN(2)/2)*AQ98*AT98*VLOOKUP('Données projet'!$B$10,Paramètres!$A$1:$I$89,3,0)*0.475*44/12</f>
        <v>8.621144656800953E-12</v>
      </c>
      <c r="AX98" s="21">
        <f t="shared" si="60"/>
        <v>82.429624529074729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266.99999999999983</v>
      </c>
      <c r="BE98" s="13">
        <f>BD98*VLOOKUP('Données projet'!$B$11,Paramètres!$A$1:$I$89,3,0)*VLOOKUP('Données projet'!$B$11,Paramètres!$A$1:$I$89,5,0)</f>
        <v>233.2511999999999</v>
      </c>
      <c r="BF98" s="13">
        <f t="shared" si="91"/>
        <v>56.985091661350864</v>
      </c>
      <c r="BG98" s="20">
        <f t="shared" si="61"/>
        <v>505.49487464351915</v>
      </c>
      <c r="BH98" s="59">
        <f t="shared" si="62"/>
        <v>798.82820797685247</v>
      </c>
      <c r="BI98" s="59">
        <f ca="1">AVERAGE(OFFSET($BH$3,0,0,'Données projet'!$E$11+1,1))-AVERAGE(OFFSET($H$3,0,0,'Données projet'!$E$11+1,1))</f>
        <v>324.86930206492627</v>
      </c>
      <c r="BJ98" s="59">
        <f t="shared" si="92"/>
        <v>317.03005098025352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35.396668149165279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35.396668149165279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333</v>
      </c>
      <c r="BW98" s="12">
        <f>VLOOKUP(A98,'Données projet'!$A$113:$I$133,9,0)</f>
        <v>6.2</v>
      </c>
      <c r="BX98" s="12">
        <f t="array" ref="BX98">INDEX(BW:BW,MIN(IF(ISNUMBER(BW98:BW294),ROW(BW98:BW294),"")))</f>
        <v>6.2</v>
      </c>
      <c r="BY98" s="12">
        <f>IF('Données projet'!$A$114&gt;35,BY97+BX98-CG97,IF(A98&lt;'Données projet'!$A$114,$BV$205^A98,IF(A98='Données projet'!$A$114,'Données projet'!$B$114,BY97+BX98-CG97)))</f>
        <v>332.99999999999989</v>
      </c>
      <c r="BZ98" s="13">
        <f>BY98*VLOOKUP('Données projet'!$B$12,Paramètres!$A$1:$I$89,3,0)*VLOOKUP('Données projet'!$B$12,Paramètres!$A$1:$I$89,5,0)</f>
        <v>337.66199999999992</v>
      </c>
      <c r="CA98" s="13">
        <f t="shared" si="93"/>
        <v>79.016707002632685</v>
      </c>
      <c r="CB98" s="20">
        <f t="shared" si="64"/>
        <v>725.71541469625174</v>
      </c>
      <c r="CC98" s="59">
        <f t="shared" si="65"/>
        <v>1019.0487480295851</v>
      </c>
      <c r="CD98" s="59">
        <f ca="1">AVERAGE(OFFSET($CC$3,0,0,'Données projet'!$E$12+1,1))-AVERAGE(OFFSET($H$3,0,0,'Données projet'!$E$12+1,1))</f>
        <v>487.18832528146936</v>
      </c>
      <c r="CE98" s="59">
        <f t="shared" si="94"/>
        <v>306.61893266146666</v>
      </c>
      <c r="CF98" s="15">
        <f>IF(ISNA(VLOOKUP(A98,'Données projet'!$A$113:$I$133,3,0)),0,VLOOKUP(A98,'Données projet'!$A$113:$I$133,3,0))</f>
        <v>16</v>
      </c>
      <c r="CG98" s="15">
        <f>IF(ISNA(VLOOKUP(A98,'Données projet'!$A$113:$I$133,4,0)),0,VLOOKUP(A98,'Données projet'!$A$113:$I$133,4,0))</f>
        <v>28</v>
      </c>
      <c r="CH98" s="16">
        <f>IF(ISNA(VLOOKUP(A98,'Données projet'!$A$113:$I$133,5,0)),0%,VLOOKUP(A98,'Données projet'!$A$113:$I$133,5,0)*VLOOKUP('Données projet'!$B$12,Paramètres!$A$1:$I$89,7,0))</f>
        <v>0.43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103.6415740466997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103.6415740466997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10.754999999999995</v>
      </c>
      <c r="CT98" s="12">
        <f>IF('Données projet'!$A$140&gt;35,CT97+CS98-DB97,IF(A98&lt;'Données projet'!$A$140,$CQ$205^A98,IF(A98='Données projet'!$A$140,'Données projet'!$B$140,CT97+CS98-DB97)))</f>
        <v>461.8949999999997</v>
      </c>
      <c r="CU98" s="17">
        <f>CT98*VLOOKUP('Données projet'!$B$13,Paramètres!$A$1:$I$89,3,0)*VLOOKUP('Données projet'!$B$13,Paramètres!$A$1:$I$89,5,0)</f>
        <v>439.53928199999973</v>
      </c>
      <c r="CV98" s="13">
        <f t="shared" si="95"/>
        <v>99.748144936115864</v>
      </c>
      <c r="CW98" s="20">
        <f t="shared" si="67"/>
        <v>939.25893524706783</v>
      </c>
      <c r="CX98" s="59">
        <f t="shared" si="68"/>
        <v>1232.5922685804012</v>
      </c>
      <c r="CY98" s="59">
        <f ca="1">AVERAGE(OFFSET($CX$3,0,0,'Données projet'!$E$13+1,1))-AVERAGE(OFFSET($H$3,0,0,'Données projet'!$E$13+1,1))</f>
        <v>733.95677909788878</v>
      </c>
      <c r="CZ98" s="59">
        <f t="shared" si="96"/>
        <v>264.63778997972378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123.33075751543385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123.33075751543385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853.00000000000011</v>
      </c>
      <c r="O99" s="13">
        <f>N99*VLOOKUP('Données projet'!$B$9,Paramètres!$A$1:$I$89,3,0)*VLOOKUP('Données projet'!$B$9,Paramètres!$A$1:$I$89,5,0)</f>
        <v>399.20400000000006</v>
      </c>
      <c r="P99" s="13">
        <f t="shared" si="87"/>
        <v>91.615269732888521</v>
      </c>
      <c r="Q99" s="20">
        <f t="shared" ref="Q99:Q130" si="107">(O99+P99)*0.475*44/12</f>
        <v>854.8435614514475</v>
      </c>
      <c r="R99" s="59">
        <f t="shared" si="55"/>
        <v>1148.1768947847809</v>
      </c>
      <c r="S99" s="59">
        <f ca="1">AVERAGE(OFFSET($R$3,0,0,'Données projet'!$E$9+1,1))-AVERAGE(OFFSET($H$3,0,0,'Données projet'!$E$9+1,1))</f>
        <v>488.67934252295686</v>
      </c>
      <c r="T99" s="59">
        <f t="shared" si="88"/>
        <v>424.50324471331095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100.95459960328438</v>
      </c>
      <c r="AA99" s="21">
        <f>EXP(-LN(2)/25)*AA98+(1-EXP(-LN(2)/25))/(LN(2)/25)*Calculateur!V99*Calculateur!X99*VLOOKUP('Données projet'!$B$9,Paramètres!$A$1:$I$89,3,0)*0.475*44/12</f>
        <v>7.8589500717728047</v>
      </c>
      <c r="AB99" s="21">
        <f>EXP(-LN(2)/2)*AB98+(1-EXP(-LN(2)/2))/(LN(2)/2)*V99*Y99*VLOOKUP('Données projet'!$B$9,Paramètres!$A$1:$I$89,3,0)*0.475*44/12</f>
        <v>9.4457758848427743E-11</v>
      </c>
      <c r="AC99" s="22">
        <f t="shared" si="57"/>
        <v>108.81354967515165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689</v>
      </c>
      <c r="AJ99" s="13">
        <f>AI99*VLOOKUP('Données projet'!$B$10,Paramètres!$A$1:$I$89,3,0)*VLOOKUP('Données projet'!$B$10,Paramètres!$A$1:$I$89,5,0)</f>
        <v>412.02199999999999</v>
      </c>
      <c r="AK99" s="13">
        <f t="shared" si="89"/>
        <v>94.209724877926391</v>
      </c>
      <c r="AL99" s="20">
        <f t="shared" si="58"/>
        <v>881.686920829055</v>
      </c>
      <c r="AM99" s="59">
        <f t="shared" si="59"/>
        <v>1175.0202541623883</v>
      </c>
      <c r="AN99" s="59">
        <f ca="1">AVERAGE(OFFSET($AM$3,0,0,'Données projet'!$E$10+1,1))-AVERAGE(OFFSET($H$3,0,0,'Données projet'!$E$10+1,1))</f>
        <v>504.81063008331739</v>
      </c>
      <c r="AO99" s="59">
        <f t="shared" si="90"/>
        <v>441.82647565372287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71.292213320549806</v>
      </c>
      <c r="AV99" s="21">
        <f>EXP(-LN(2)/25)*AV98+(1-EXP(-LN(2)/25))/(LN(2)/25)*Calculateur!AQ99*Calculateur!AS99*VLOOKUP('Données projet'!$B$10,Paramètres!$A$1:$I$89,3,0)*0.475*44/12</f>
        <v>9.4458920317143029</v>
      </c>
      <c r="AW99" s="21">
        <f>EXP(-LN(2)/2)*AW98+(1-EXP(-LN(2)/2))/(LN(2)/2)*AQ99*AT99*VLOOKUP('Données projet'!$B$10,Paramètres!$A$1:$I$89,3,0)*0.475*44/12</f>
        <v>6.0960698484141249E-12</v>
      </c>
      <c r="AX99" s="21">
        <f t="shared" si="60"/>
        <v>80.73810535227021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266.99999999999983</v>
      </c>
      <c r="BE99" s="13">
        <f>BD99*VLOOKUP('Données projet'!$B$11,Paramètres!$A$1:$I$89,3,0)*VLOOKUP('Données projet'!$B$11,Paramètres!$A$1:$I$89,5,0)</f>
        <v>233.2511999999999</v>
      </c>
      <c r="BF99" s="13">
        <f t="shared" si="91"/>
        <v>56.985091661350864</v>
      </c>
      <c r="BG99" s="20">
        <f t="shared" si="61"/>
        <v>505.49487464351915</v>
      </c>
      <c r="BH99" s="59">
        <f t="shared" si="62"/>
        <v>798.82820797685247</v>
      </c>
      <c r="BI99" s="59">
        <f ca="1">AVERAGE(OFFSET($BH$3,0,0,'Données projet'!$E$11+1,1))-AVERAGE(OFFSET($H$3,0,0,'Données projet'!$E$11+1,1))</f>
        <v>324.86930206492627</v>
      </c>
      <c r="BJ99" s="59">
        <f t="shared" si="92"/>
        <v>317.03005098025352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34.702561076595899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34.702561076595899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5.6</v>
      </c>
      <c r="BY99" s="12">
        <f>IF('Données projet'!$A$114&gt;35,BY98+BX99-CG98,IF(A99&lt;'Données projet'!$A$114,$BV$205^A99,IF(A99='Données projet'!$A$114,'Données projet'!$B$114,BY98+BX99-CG98)))</f>
        <v>310.59999999999991</v>
      </c>
      <c r="BZ99" s="13">
        <f>BY99*VLOOKUP('Données projet'!$B$12,Paramètres!$A$1:$I$89,3,0)*VLOOKUP('Données projet'!$B$12,Paramètres!$A$1:$I$89,5,0)</f>
        <v>314.94839999999994</v>
      </c>
      <c r="CA99" s="13">
        <f t="shared" si="93"/>
        <v>74.301298626081149</v>
      </c>
      <c r="CB99" s="20">
        <f t="shared" si="64"/>
        <v>677.94322510709128</v>
      </c>
      <c r="CC99" s="59">
        <f t="shared" si="65"/>
        <v>971.27655844042465</v>
      </c>
      <c r="CD99" s="59">
        <f ca="1">AVERAGE(OFFSET($CC$3,0,0,'Données projet'!$E$12+1,1))-AVERAGE(OFFSET($H$3,0,0,'Données projet'!$E$12+1,1))</f>
        <v>487.18832528146936</v>
      </c>
      <c r="CE99" s="59">
        <f t="shared" si="94"/>
        <v>306.61893266146666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101.60922599476211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101.60922599476211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10.754999999999995</v>
      </c>
      <c r="CT99" s="12">
        <f>IF('Données projet'!$A$140&gt;35,CT98+CS99-DB98,IF(A99&lt;'Données projet'!$A$140,$CQ$205^A99,IF(A99='Données projet'!$A$140,'Données projet'!$B$140,CT98+CS99-DB98)))</f>
        <v>472.64999999999969</v>
      </c>
      <c r="CU99" s="17">
        <f>CT99*VLOOKUP('Données projet'!$B$13,Paramètres!$A$1:$I$89,3,0)*VLOOKUP('Données projet'!$B$13,Paramètres!$A$1:$I$89,5,0)</f>
        <v>449.77373999999969</v>
      </c>
      <c r="CV99" s="13">
        <f t="shared" si="95"/>
        <v>101.79762546188671</v>
      </c>
      <c r="CW99" s="20">
        <f t="shared" si="67"/>
        <v>960.65346151278561</v>
      </c>
      <c r="CX99" s="59">
        <f t="shared" si="68"/>
        <v>1253.986794846119</v>
      </c>
      <c r="CY99" s="59">
        <f ca="1">AVERAGE(OFFSET($CX$3,0,0,'Données projet'!$E$13+1,1))-AVERAGE(OFFSET($H$3,0,0,'Données projet'!$E$13+1,1))</f>
        <v>733.95677909788878</v>
      </c>
      <c r="CZ99" s="59">
        <f t="shared" si="96"/>
        <v>264.63778997972378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120.91231658489049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120.91231658489049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853.00000000000011</v>
      </c>
      <c r="O100" s="13">
        <f>N100*VLOOKUP('Données projet'!$B$9,Paramètres!$A$1:$I$89,3,0)*VLOOKUP('Données projet'!$B$9,Paramètres!$A$1:$I$89,5,0)</f>
        <v>399.20400000000006</v>
      </c>
      <c r="P100" s="13">
        <f t="shared" si="87"/>
        <v>91.615269732888521</v>
      </c>
      <c r="Q100" s="20">
        <f t="shared" si="107"/>
        <v>854.8435614514475</v>
      </c>
      <c r="R100" s="59">
        <f t="shared" si="55"/>
        <v>1148.1768947847809</v>
      </c>
      <c r="S100" s="59">
        <f ca="1">AVERAGE(OFFSET($R$3,0,0,'Données projet'!$E$9+1,1))-AVERAGE(OFFSET($H$3,0,0,'Données projet'!$E$9+1,1))</f>
        <v>488.67934252295686</v>
      </c>
      <c r="T100" s="59">
        <f t="shared" si="88"/>
        <v>424.50324471331095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98.974941481289576</v>
      </c>
      <c r="AA100" s="21">
        <f>EXP(-LN(2)/25)*AA99+(1-EXP(-LN(2)/25))/(LN(2)/25)*Calculateur!V100*Calculateur!X100*VLOOKUP('Données projet'!$B$9,Paramètres!$A$1:$I$89,3,0)*0.475*44/12</f>
        <v>7.644046668775955</v>
      </c>
      <c r="AB100" s="21">
        <f>EXP(-LN(2)/2)*AB99+(1-EXP(-LN(2)/2))/(LN(2)/2)*V100*Y100*VLOOKUP('Données projet'!$B$9,Paramètres!$A$1:$I$89,3,0)*0.475*44/12</f>
        <v>6.6791721817406867E-11</v>
      </c>
      <c r="AC100" s="22">
        <f t="shared" si="57"/>
        <v>106.61898815013232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689</v>
      </c>
      <c r="AJ100" s="13">
        <f>AI100*VLOOKUP('Données projet'!$B$10,Paramètres!$A$1:$I$89,3,0)*VLOOKUP('Données projet'!$B$10,Paramètres!$A$1:$I$89,5,0)</f>
        <v>412.02199999999999</v>
      </c>
      <c r="AK100" s="13">
        <f t="shared" si="89"/>
        <v>94.209724877926391</v>
      </c>
      <c r="AL100" s="20">
        <f t="shared" si="58"/>
        <v>881.686920829055</v>
      </c>
      <c r="AM100" s="59">
        <f t="shared" si="59"/>
        <v>1175.0202541623883</v>
      </c>
      <c r="AN100" s="59">
        <f ca="1">AVERAGE(OFFSET($AM$3,0,0,'Données projet'!$E$10+1,1))-AVERAGE(OFFSET($H$3,0,0,'Données projet'!$E$10+1,1))</f>
        <v>504.81063008331739</v>
      </c>
      <c r="AO100" s="59">
        <f t="shared" si="90"/>
        <v>441.82647565372287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69.894216501290259</v>
      </c>
      <c r="AV100" s="21">
        <f>EXP(-LN(2)/25)*AV99+(1-EXP(-LN(2)/25))/(LN(2)/25)*Calculateur!AQ100*Calculateur!AS100*VLOOKUP('Données projet'!$B$10,Paramètres!$A$1:$I$89,3,0)*0.475*44/12</f>
        <v>9.1875936173692025</v>
      </c>
      <c r="AW100" s="21">
        <f>EXP(-LN(2)/2)*AW99+(1-EXP(-LN(2)/2))/(LN(2)/2)*AQ100*AT100*VLOOKUP('Données projet'!$B$10,Paramètres!$A$1:$I$89,3,0)*0.475*44/12</f>
        <v>4.3105723284004765E-12</v>
      </c>
      <c r="AX100" s="21">
        <f t="shared" si="60"/>
        <v>79.081810118663768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266.99999999999983</v>
      </c>
      <c r="BE100" s="13">
        <f>BD100*VLOOKUP('Données projet'!$B$11,Paramètres!$A$1:$I$89,3,0)*VLOOKUP('Données projet'!$B$11,Paramètres!$A$1:$I$89,5,0)</f>
        <v>233.2511999999999</v>
      </c>
      <c r="BF100" s="13">
        <f t="shared" si="91"/>
        <v>56.985091661350864</v>
      </c>
      <c r="BG100" s="20">
        <f t="shared" si="61"/>
        <v>505.49487464351915</v>
      </c>
      <c r="BH100" s="59">
        <f t="shared" si="62"/>
        <v>798.82820797685247</v>
      </c>
      <c r="BI100" s="59">
        <f ca="1">AVERAGE(OFFSET($BH$3,0,0,'Données projet'!$E$11+1,1))-AVERAGE(OFFSET($H$3,0,0,'Données projet'!$E$11+1,1))</f>
        <v>324.86930206492627</v>
      </c>
      <c r="BJ100" s="59">
        <f t="shared" si="92"/>
        <v>317.03005098025352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34.022065020356095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34.022065020356095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5.6</v>
      </c>
      <c r="BY100" s="12">
        <f>IF('Données projet'!$A$114&gt;35,BY99+BX100-CG99,IF(A100&lt;'Données projet'!$A$114,$BV$205^A100,IF(A100='Données projet'!$A$114,'Données projet'!$B$114,BY99+BX100-CG99)))</f>
        <v>316.19999999999993</v>
      </c>
      <c r="BZ100" s="13">
        <f>BY100*VLOOKUP('Données projet'!$B$12,Paramètres!$A$1:$I$89,3,0)*VLOOKUP('Données projet'!$B$12,Paramètres!$A$1:$I$89,5,0)</f>
        <v>320.62679999999995</v>
      </c>
      <c r="CA100" s="13">
        <f t="shared" si="93"/>
        <v>75.483756735990909</v>
      </c>
      <c r="CB100" s="20">
        <f t="shared" si="64"/>
        <v>689.89255298185071</v>
      </c>
      <c r="CC100" s="59">
        <f t="shared" si="65"/>
        <v>983.22588631518397</v>
      </c>
      <c r="CD100" s="59">
        <f ca="1">AVERAGE(OFFSET($CC$3,0,0,'Données projet'!$E$12+1,1))-AVERAGE(OFFSET($H$3,0,0,'Données projet'!$E$12+1,1))</f>
        <v>487.18832528146936</v>
      </c>
      <c r="CE100" s="59">
        <f t="shared" si="94"/>
        <v>306.61893266146666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99.616731048513117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99.616731048513117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10.754999999999995</v>
      </c>
      <c r="CT100" s="12">
        <f>IF('Données projet'!$A$140&gt;35,CT99+CS100-DB99,IF(A100&lt;'Données projet'!$A$140,$CQ$205^A100,IF(A100='Données projet'!$A$140,'Données projet'!$B$140,CT99+CS100-DB99)))</f>
        <v>483.40499999999969</v>
      </c>
      <c r="CU100" s="17">
        <f>CT100*VLOOKUP('Données projet'!$B$13,Paramètres!$A$1:$I$89,3,0)*VLOOKUP('Données projet'!$B$13,Paramètres!$A$1:$I$89,5,0)</f>
        <v>460.00819799999977</v>
      </c>
      <c r="CV100" s="13">
        <f t="shared" si="95"/>
        <v>103.84168432960156</v>
      </c>
      <c r="CW100" s="20">
        <f t="shared" si="67"/>
        <v>982.03854505738889</v>
      </c>
      <c r="CX100" s="59">
        <f t="shared" si="68"/>
        <v>1275.3718783907223</v>
      </c>
      <c r="CY100" s="59">
        <f ca="1">AVERAGE(OFFSET($CX$3,0,0,'Données projet'!$E$13+1,1))-AVERAGE(OFFSET($H$3,0,0,'Données projet'!$E$13+1,1))</f>
        <v>733.95677909788878</v>
      </c>
      <c r="CZ100" s="59">
        <f t="shared" si="96"/>
        <v>264.63778997972378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118.54129980589177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118.54129980589177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853.00000000000011</v>
      </c>
      <c r="O101" s="13">
        <f>N101*VLOOKUP('Données projet'!$B$9,Paramètres!$A$1:$I$89,3,0)*VLOOKUP('Données projet'!$B$9,Paramètres!$A$1:$I$89,5,0)</f>
        <v>399.20400000000006</v>
      </c>
      <c r="P101" s="13">
        <f t="shared" si="87"/>
        <v>91.615269732888521</v>
      </c>
      <c r="Q101" s="20">
        <f t="shared" si="107"/>
        <v>854.8435614514475</v>
      </c>
      <c r="R101" s="59">
        <f t="shared" si="55"/>
        <v>1148.1768947847809</v>
      </c>
      <c r="S101" s="59">
        <f ca="1">AVERAGE(OFFSET($R$3,0,0,'Données projet'!$E$9+1,1))-AVERAGE(OFFSET($H$3,0,0,'Données projet'!$E$9+1,1))</f>
        <v>488.67934252295686</v>
      </c>
      <c r="T101" s="59">
        <f t="shared" si="88"/>
        <v>424.50324471331095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97.034103247594871</v>
      </c>
      <c r="AA101" s="21">
        <f>EXP(-LN(2)/25)*AA100+(1-EXP(-LN(2)/25))/(LN(2)/25)*Calculateur!V101*Calculateur!X101*VLOOKUP('Données projet'!$B$9,Paramètres!$A$1:$I$89,3,0)*0.475*44/12</f>
        <v>7.4350198106353327</v>
      </c>
      <c r="AB101" s="21">
        <f>EXP(-LN(2)/2)*AB100+(1-EXP(-LN(2)/2))/(LN(2)/2)*V101*Y101*VLOOKUP('Données projet'!$B$9,Paramètres!$A$1:$I$89,3,0)*0.475*44/12</f>
        <v>4.7228879424213871E-11</v>
      </c>
      <c r="AC101" s="22">
        <f t="shared" si="57"/>
        <v>104.46912305827743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689</v>
      </c>
      <c r="AJ101" s="13">
        <f>AI101*VLOOKUP('Données projet'!$B$10,Paramètres!$A$1:$I$89,3,0)*VLOOKUP('Données projet'!$B$10,Paramètres!$A$1:$I$89,5,0)</f>
        <v>412.02199999999999</v>
      </c>
      <c r="AK101" s="13">
        <f t="shared" si="89"/>
        <v>94.209724877926391</v>
      </c>
      <c r="AL101" s="20">
        <f t="shared" si="58"/>
        <v>881.686920829055</v>
      </c>
      <c r="AM101" s="59">
        <f t="shared" si="59"/>
        <v>1175.0202541623883</v>
      </c>
      <c r="AN101" s="59">
        <f ca="1">AVERAGE(OFFSET($AM$3,0,0,'Données projet'!$E$10+1,1))-AVERAGE(OFFSET($H$3,0,0,'Données projet'!$E$10+1,1))</f>
        <v>504.81063008331739</v>
      </c>
      <c r="AO101" s="59">
        <f t="shared" si="90"/>
        <v>441.82647565372287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68.523633546962529</v>
      </c>
      <c r="AV101" s="21">
        <f>EXP(-LN(2)/25)*AV100+(1-EXP(-LN(2)/25))/(LN(2)/25)*Calculateur!AQ101*Calculateur!AS101*VLOOKUP('Données projet'!$B$10,Paramètres!$A$1:$I$89,3,0)*0.475*44/12</f>
        <v>8.9363583867476919</v>
      </c>
      <c r="AW101" s="21">
        <f>EXP(-LN(2)/2)*AW100+(1-EXP(-LN(2)/2))/(LN(2)/2)*AQ101*AT101*VLOOKUP('Données projet'!$B$10,Paramètres!$A$1:$I$89,3,0)*0.475*44/12</f>
        <v>3.0480349242070625E-12</v>
      </c>
      <c r="AX101" s="21">
        <f t="shared" si="60"/>
        <v>77.459991933713269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266.99999999999983</v>
      </c>
      <c r="BE101" s="13">
        <f>BD101*VLOOKUP('Données projet'!$B$11,Paramètres!$A$1:$I$89,3,0)*VLOOKUP('Données projet'!$B$11,Paramètres!$A$1:$I$89,5,0)</f>
        <v>233.2511999999999</v>
      </c>
      <c r="BF101" s="13">
        <f t="shared" si="91"/>
        <v>56.985091661350864</v>
      </c>
      <c r="BG101" s="20">
        <f t="shared" si="61"/>
        <v>505.49487464351915</v>
      </c>
      <c r="BH101" s="59">
        <f t="shared" si="62"/>
        <v>798.82820797685247</v>
      </c>
      <c r="BI101" s="59">
        <f ca="1">AVERAGE(OFFSET($BH$3,0,0,'Données projet'!$E$11+1,1))-AVERAGE(OFFSET($H$3,0,0,'Données projet'!$E$11+1,1))</f>
        <v>324.86930206492627</v>
      </c>
      <c r="BJ101" s="59">
        <f t="shared" si="92"/>
        <v>317.03005098025352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33.354913076717544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33.354913076717544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5.6</v>
      </c>
      <c r="BY101" s="12">
        <f>IF('Données projet'!$A$114&gt;35,BY100+BX101-CG100,IF(A101&lt;'Données projet'!$A$114,$BV$205^A101,IF(A101='Données projet'!$A$114,'Données projet'!$B$114,BY100+BX101-CG100)))</f>
        <v>321.79999999999995</v>
      </c>
      <c r="BZ101" s="13">
        <f>BY101*VLOOKUP('Données projet'!$B$12,Paramètres!$A$1:$I$89,3,0)*VLOOKUP('Données projet'!$B$12,Paramètres!$A$1:$I$89,5,0)</f>
        <v>326.30520000000001</v>
      </c>
      <c r="CA101" s="13">
        <f t="shared" si="93"/>
        <v>76.663779608302349</v>
      </c>
      <c r="CB101" s="20">
        <f t="shared" si="64"/>
        <v>701.83763948445983</v>
      </c>
      <c r="CC101" s="59">
        <f t="shared" si="65"/>
        <v>995.1709728177932</v>
      </c>
      <c r="CD101" s="59">
        <f ca="1">AVERAGE(OFFSET($CC$3,0,0,'Données projet'!$E$12+1,1))-AVERAGE(OFFSET($H$3,0,0,'Données projet'!$E$12+1,1))</f>
        <v>487.18832528146936</v>
      </c>
      <c r="CE101" s="59">
        <f t="shared" si="94"/>
        <v>306.61893266146666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97.663307712858142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97.663307712858142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10.754999999999995</v>
      </c>
      <c r="CT101" s="12">
        <f>IF('Données projet'!$A$140&gt;35,CT100+CS101-DB100,IF(A101&lt;'Données projet'!$A$140,$CQ$205^A101,IF(A101='Données projet'!$A$140,'Données projet'!$B$140,CT100+CS101-DB100)))</f>
        <v>494.15999999999968</v>
      </c>
      <c r="CU101" s="17">
        <f>CT101*VLOOKUP('Données projet'!$B$13,Paramètres!$A$1:$I$89,3,0)*VLOOKUP('Données projet'!$B$13,Paramètres!$A$1:$I$89,5,0)</f>
        <v>470.24265599999973</v>
      </c>
      <c r="CV101" s="13">
        <f t="shared" si="95"/>
        <v>105.88045605137275</v>
      </c>
      <c r="CW101" s="20">
        <f t="shared" si="67"/>
        <v>1003.4144201561403</v>
      </c>
      <c r="CX101" s="59">
        <f t="shared" si="68"/>
        <v>1296.7477534894736</v>
      </c>
      <c r="CY101" s="59">
        <f ca="1">AVERAGE(OFFSET($CX$3,0,0,'Données projet'!$E$13+1,1))-AVERAGE(OFFSET($H$3,0,0,'Données projet'!$E$13+1,1))</f>
        <v>733.95677909788878</v>
      </c>
      <c r="CZ101" s="59">
        <f t="shared" si="96"/>
        <v>264.63778997972378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116.21677721975178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116.21677721975178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853.00000000000011</v>
      </c>
      <c r="O102" s="13">
        <f>N102*VLOOKUP('Données projet'!$B$9,Paramètres!$A$1:$I$89,3,0)*VLOOKUP('Données projet'!$B$9,Paramètres!$A$1:$I$89,5,0)</f>
        <v>399.20400000000006</v>
      </c>
      <c r="P102" s="13">
        <f t="shared" si="87"/>
        <v>91.615269732888521</v>
      </c>
      <c r="Q102" s="20">
        <f t="shared" si="107"/>
        <v>854.8435614514475</v>
      </c>
      <c r="R102" s="59">
        <f t="shared" si="55"/>
        <v>1148.1768947847809</v>
      </c>
      <c r="S102" s="59">
        <f ca="1">AVERAGE(OFFSET($R$3,0,0,'Données projet'!$E$9+1,1))-AVERAGE(OFFSET($H$3,0,0,'Données projet'!$E$9+1,1))</f>
        <v>488.67934252295686</v>
      </c>
      <c r="T102" s="59">
        <f t="shared" si="88"/>
        <v>424.50324471331095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95.131323667868486</v>
      </c>
      <c r="AA102" s="21">
        <f>EXP(-LN(2)/25)*AA101+(1-EXP(-LN(2)/25))/(LN(2)/25)*Calculateur!V102*Calculateur!X102*VLOOKUP('Données projet'!$B$9,Paramètres!$A$1:$I$89,3,0)*0.475*44/12</f>
        <v>7.2317088029228103</v>
      </c>
      <c r="AB102" s="21">
        <f>EXP(-LN(2)/2)*AB101+(1-EXP(-LN(2)/2))/(LN(2)/2)*V102*Y102*VLOOKUP('Données projet'!$B$9,Paramètres!$A$1:$I$89,3,0)*0.475*44/12</f>
        <v>3.3395860908703434E-11</v>
      </c>
      <c r="AC102" s="22">
        <f t="shared" si="57"/>
        <v>102.36303247082469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689</v>
      </c>
      <c r="AJ102" s="13">
        <f>AI102*VLOOKUP('Données projet'!$B$10,Paramètres!$A$1:$I$89,3,0)*VLOOKUP('Données projet'!$B$10,Paramètres!$A$1:$I$89,5,0)</f>
        <v>412.02199999999999</v>
      </c>
      <c r="AK102" s="13">
        <f t="shared" si="89"/>
        <v>94.209724877926391</v>
      </c>
      <c r="AL102" s="20">
        <f t="shared" si="58"/>
        <v>881.686920829055</v>
      </c>
      <c r="AM102" s="59">
        <f t="shared" si="59"/>
        <v>1175.0202541623883</v>
      </c>
      <c r="AN102" s="59">
        <f ca="1">AVERAGE(OFFSET($AM$3,0,0,'Données projet'!$E$10+1,1))-AVERAGE(OFFSET($H$3,0,0,'Données projet'!$E$10+1,1))</f>
        <v>504.81063008331739</v>
      </c>
      <c r="AO102" s="59">
        <f t="shared" si="90"/>
        <v>441.82647565372287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67.17992688839611</v>
      </c>
      <c r="AV102" s="21">
        <f>EXP(-LN(2)/25)*AV101+(1-EXP(-LN(2)/25))/(LN(2)/25)*Calculateur!AQ102*Calculateur!AS102*VLOOKUP('Données projet'!$B$10,Paramètres!$A$1:$I$89,3,0)*0.475*44/12</f>
        <v>8.6919931967194124</v>
      </c>
      <c r="AW102" s="21">
        <f>EXP(-LN(2)/2)*AW101+(1-EXP(-LN(2)/2))/(LN(2)/2)*AQ102*AT102*VLOOKUP('Données projet'!$B$10,Paramètres!$A$1:$I$89,3,0)*0.475*44/12</f>
        <v>2.1552861642002382E-12</v>
      </c>
      <c r="AX102" s="21">
        <f t="shared" si="60"/>
        <v>75.871920085117679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266.99999999999983</v>
      </c>
      <c r="BE102" s="13">
        <f>BD102*VLOOKUP('Données projet'!$B$11,Paramètres!$A$1:$I$89,3,0)*VLOOKUP('Données projet'!$B$11,Paramètres!$A$1:$I$89,5,0)</f>
        <v>233.2511999999999</v>
      </c>
      <c r="BF102" s="13">
        <f t="shared" si="91"/>
        <v>56.985091661350864</v>
      </c>
      <c r="BG102" s="20">
        <f t="shared" si="61"/>
        <v>505.49487464351915</v>
      </c>
      <c r="BH102" s="59">
        <f t="shared" si="62"/>
        <v>798.82820797685247</v>
      </c>
      <c r="BI102" s="59">
        <f ca="1">AVERAGE(OFFSET($BH$3,0,0,'Données projet'!$E$11+1,1))-AVERAGE(OFFSET($H$3,0,0,'Données projet'!$E$11+1,1))</f>
        <v>324.86930206492627</v>
      </c>
      <c r="BJ102" s="59">
        <f t="shared" si="92"/>
        <v>317.03005098025352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32.700843575771238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32.700843575771238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5.6</v>
      </c>
      <c r="BY102" s="12">
        <f>IF('Données projet'!$A$114&gt;35,BY101+BX102-CG101,IF(A102&lt;'Données projet'!$A$114,$BV$205^A102,IF(A102='Données projet'!$A$114,'Données projet'!$B$114,BY101+BX102-CG101)))</f>
        <v>327.39999999999998</v>
      </c>
      <c r="BZ102" s="13">
        <f>BY102*VLOOKUP('Données projet'!$B$12,Paramètres!$A$1:$I$89,3,0)*VLOOKUP('Données projet'!$B$12,Paramètres!$A$1:$I$89,5,0)</f>
        <v>331.98360000000002</v>
      </c>
      <c r="CA102" s="13">
        <f t="shared" si="93"/>
        <v>77.841414511052207</v>
      </c>
      <c r="CB102" s="20">
        <f t="shared" si="64"/>
        <v>713.77856694008267</v>
      </c>
      <c r="CC102" s="59">
        <f t="shared" si="65"/>
        <v>1007.111900273416</v>
      </c>
      <c r="CD102" s="59">
        <f ca="1">AVERAGE(OFFSET($CC$3,0,0,'Données projet'!$E$12+1,1))-AVERAGE(OFFSET($H$3,0,0,'Données projet'!$E$12+1,1))</f>
        <v>487.18832528146936</v>
      </c>
      <c r="CE102" s="59">
        <f t="shared" si="94"/>
        <v>306.61893266146666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95.74818981734478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95.74818981734478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10.754999999999995</v>
      </c>
      <c r="CT102" s="12">
        <f>IF('Données projet'!$A$140&gt;35,CT101+CS102-DB101,IF(A102&lt;'Données projet'!$A$140,$CQ$205^A102,IF(A102='Données projet'!$A$140,'Données projet'!$B$140,CT101+CS102-DB101)))</f>
        <v>504.91499999999968</v>
      </c>
      <c r="CU102" s="17">
        <f>CT102*VLOOKUP('Données projet'!$B$13,Paramètres!$A$1:$I$89,3,0)*VLOOKUP('Données projet'!$B$13,Paramètres!$A$1:$I$89,5,0)</f>
        <v>480.47711399999969</v>
      </c>
      <c r="CV102" s="13">
        <f t="shared" si="95"/>
        <v>107.91406894982076</v>
      </c>
      <c r="CW102" s="20">
        <f t="shared" si="67"/>
        <v>1024.7813103042704</v>
      </c>
      <c r="CX102" s="59">
        <f t="shared" si="68"/>
        <v>1318.1146436376036</v>
      </c>
      <c r="CY102" s="59">
        <f ca="1">AVERAGE(OFFSET($CX$3,0,0,'Données projet'!$E$13+1,1))-AVERAGE(OFFSET($H$3,0,0,'Données projet'!$E$13+1,1))</f>
        <v>733.95677909788878</v>
      </c>
      <c r="CZ102" s="59">
        <f t="shared" si="96"/>
        <v>264.63778997972378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113.93783710370721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113.93783710370721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853.00000000000011</v>
      </c>
      <c r="O103" s="13">
        <f>N103*VLOOKUP('Données projet'!$B$9,Paramètres!$A$1:$I$89,3,0)*VLOOKUP('Données projet'!$B$9,Paramètres!$A$1:$I$89,5,0)</f>
        <v>399.20400000000006</v>
      </c>
      <c r="P103" s="13">
        <f t="shared" si="87"/>
        <v>91.615269732888521</v>
      </c>
      <c r="Q103" s="20">
        <f t="shared" si="107"/>
        <v>854.8435614514475</v>
      </c>
      <c r="R103" s="59">
        <f t="shared" si="55"/>
        <v>1148.1768947847809</v>
      </c>
      <c r="S103" s="59">
        <f ca="1">AVERAGE(OFFSET($R$3,0,0,'Données projet'!$E$9+1,1))-AVERAGE(OFFSET($H$3,0,0,'Données projet'!$E$9+1,1))</f>
        <v>488.67934252295686</v>
      </c>
      <c r="T103" s="59">
        <f t="shared" si="88"/>
        <v>424.50324471331095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93.265856435119588</v>
      </c>
      <c r="AA103" s="21">
        <f>EXP(-LN(2)/25)*AA102+(1-EXP(-LN(2)/25))/(LN(2)/25)*Calculateur!V103*Calculateur!X103*VLOOKUP('Données projet'!$B$9,Paramètres!$A$1:$I$89,3,0)*0.475*44/12</f>
        <v>7.0339573454078481</v>
      </c>
      <c r="AB103" s="21">
        <f>EXP(-LN(2)/2)*AB102+(1-EXP(-LN(2)/2))/(LN(2)/2)*V103*Y103*VLOOKUP('Données projet'!$B$9,Paramètres!$A$1:$I$89,3,0)*0.475*44/12</f>
        <v>2.3614439712106936E-11</v>
      </c>
      <c r="AC103" s="22">
        <f t="shared" si="57"/>
        <v>100.29981378055105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689</v>
      </c>
      <c r="AJ103" s="13">
        <f>AI103*VLOOKUP('Données projet'!$B$10,Paramètres!$A$1:$I$89,3,0)*VLOOKUP('Données projet'!$B$10,Paramètres!$A$1:$I$89,5,0)</f>
        <v>412.02199999999999</v>
      </c>
      <c r="AK103" s="13">
        <f t="shared" si="89"/>
        <v>94.209724877926391</v>
      </c>
      <c r="AL103" s="20">
        <f t="shared" si="58"/>
        <v>881.686920829055</v>
      </c>
      <c r="AM103" s="59">
        <f t="shared" si="59"/>
        <v>1175.0202541623883</v>
      </c>
      <c r="AN103" s="59">
        <f ca="1">AVERAGE(OFFSET($AM$3,0,0,'Données projet'!$E$10+1,1))-AVERAGE(OFFSET($H$3,0,0,'Données projet'!$E$10+1,1))</f>
        <v>504.81063008331739</v>
      </c>
      <c r="AO103" s="59">
        <f t="shared" si="90"/>
        <v>441.82647565372287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65.862569497824055</v>
      </c>
      <c r="AV103" s="21">
        <f>EXP(-LN(2)/25)*AV102+(1-EXP(-LN(2)/25))/(LN(2)/25)*Calculateur!AQ103*Calculateur!AS103*VLOOKUP('Données projet'!$B$10,Paramètres!$A$1:$I$89,3,0)*0.475*44/12</f>
        <v>8.4543101856630631</v>
      </c>
      <c r="AW103" s="21">
        <f>EXP(-LN(2)/2)*AW102+(1-EXP(-LN(2)/2))/(LN(2)/2)*AQ103*AT103*VLOOKUP('Données projet'!$B$10,Paramètres!$A$1:$I$89,3,0)*0.475*44/12</f>
        <v>1.5240174621035312E-12</v>
      </c>
      <c r="AX103" s="21">
        <f t="shared" si="60"/>
        <v>74.316879683488636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266.99999999999983</v>
      </c>
      <c r="BE103" s="13">
        <f>BD103*VLOOKUP('Données projet'!$B$11,Paramètres!$A$1:$I$89,3,0)*VLOOKUP('Données projet'!$B$11,Paramètres!$A$1:$I$89,5,0)</f>
        <v>233.2511999999999</v>
      </c>
      <c r="BF103" s="13">
        <f t="shared" si="91"/>
        <v>56.985091661350864</v>
      </c>
      <c r="BG103" s="20">
        <f t="shared" si="61"/>
        <v>505.49487464351915</v>
      </c>
      <c r="BH103" s="59">
        <f t="shared" si="62"/>
        <v>798.82820797685247</v>
      </c>
      <c r="BI103" s="59">
        <f ca="1">AVERAGE(OFFSET($BH$3,0,0,'Données projet'!$E$11+1,1))-AVERAGE(OFFSET($H$3,0,0,'Données projet'!$E$11+1,1))</f>
        <v>324.86930206492627</v>
      </c>
      <c r="BJ103" s="59">
        <f t="shared" si="92"/>
        <v>317.03005098025352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32.059599978795482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32.059599978795482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333</v>
      </c>
      <c r="BW103" s="12">
        <f>VLOOKUP(A103,'Données projet'!$A$113:$I$133,9,0)</f>
        <v>5.6</v>
      </c>
      <c r="BX103" s="12">
        <f t="array" ref="BX103">INDEX(BW:BW,MIN(IF(ISNUMBER(BW103:BW299),ROW(BW103:BW299),"")))</f>
        <v>5.6</v>
      </c>
      <c r="BY103" s="12">
        <f>IF('Données projet'!$A$114&gt;35,BY102+BX103-CG102,IF(A103&lt;'Données projet'!$A$114,$BV$205^A103,IF(A103='Données projet'!$A$114,'Données projet'!$B$114,BY102+BX103-CG102)))</f>
        <v>333</v>
      </c>
      <c r="BZ103" s="13">
        <f>BY103*VLOOKUP('Données projet'!$B$12,Paramètres!$A$1:$I$89,3,0)*VLOOKUP('Données projet'!$B$12,Paramètres!$A$1:$I$89,5,0)</f>
        <v>337.66200000000003</v>
      </c>
      <c r="CA103" s="13">
        <f t="shared" si="93"/>
        <v>79.016707002632685</v>
      </c>
      <c r="CB103" s="20">
        <f t="shared" si="64"/>
        <v>725.71541469625208</v>
      </c>
      <c r="CC103" s="59">
        <f t="shared" si="65"/>
        <v>1019.0487480295853</v>
      </c>
      <c r="CD103" s="59">
        <f ca="1">AVERAGE(OFFSET($CC$3,0,0,'Données projet'!$E$12+1,1))-AVERAGE(OFFSET($H$3,0,0,'Données projet'!$E$12+1,1))</f>
        <v>487.18832528146936</v>
      </c>
      <c r="CE103" s="59">
        <f t="shared" si="94"/>
        <v>306.61893266146666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27</v>
      </c>
      <c r="CH103" s="16">
        <f>IF(ISNA(VLOOKUP(A103,'Données projet'!$A$113:$I$133,5,0)),0%,VLOOKUP(A103,'Données projet'!$A$113:$I$133,5,0)*VLOOKUP('Données projet'!$B$12,Paramètres!$A$1:$I$89,7,0))</f>
        <v>0.43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106.88482047752269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106.88482047752269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515.66999999999996</v>
      </c>
      <c r="CR103" s="12">
        <f>VLOOKUP(A103,'Données projet'!$A$139:$I$159,9,0)</f>
        <v>10.754999999999995</v>
      </c>
      <c r="CS103" s="12">
        <f t="array" ref="CS103">INDEX(CR:CR,MIN(IF(ISNUMBER(CR103:CR299),ROW(CR103:CR299),"")))</f>
        <v>10.754999999999995</v>
      </c>
      <c r="CT103" s="12">
        <f>IF('Données projet'!$A$140&gt;35,CT102+CS103-DB102,IF(A103&lt;'Données projet'!$A$140,$CQ$205^A103,IF(A103='Données projet'!$A$140,'Données projet'!$B$140,CT102+CS103-DB102)))</f>
        <v>515.66999999999962</v>
      </c>
      <c r="CU103" s="17">
        <f>CT103*VLOOKUP('Données projet'!$B$13,Paramètres!$A$1:$I$89,3,0)*VLOOKUP('Données projet'!$B$13,Paramètres!$A$1:$I$89,5,0)</f>
        <v>490.71157199999965</v>
      </c>
      <c r="CV103" s="13">
        <f t="shared" si="95"/>
        <v>109.94264556855514</v>
      </c>
      <c r="CW103" s="20">
        <f t="shared" si="67"/>
        <v>1046.1394289318996</v>
      </c>
      <c r="CX103" s="59">
        <f t="shared" si="68"/>
        <v>1339.4727622652329</v>
      </c>
      <c r="CY103" s="59">
        <f ca="1">AVERAGE(OFFSET($CX$3,0,0,'Données projet'!$E$13+1,1))-AVERAGE(OFFSET($H$3,0,0,'Données projet'!$E$13+1,1))</f>
        <v>733.95677909788878</v>
      </c>
      <c r="CZ103" s="59">
        <f t="shared" si="96"/>
        <v>264.63778997972378</v>
      </c>
      <c r="DA103" s="15">
        <f>IF(ISNA(VLOOKUP(A103,'Données projet'!$A$139:$I$159,3,0)),0,VLOOKUP(A103,'Données projet'!$A$139:$I$159,3,0))</f>
        <v>9</v>
      </c>
      <c r="DB103" s="15">
        <f>IF(ISNA(VLOOKUP(A103,'Données projet'!$A$139:$I$159,4,0)),0,VLOOKUP(A103,'Données projet'!$A$139:$I$159,4,0))</f>
        <v>85.23</v>
      </c>
      <c r="DC103" s="16">
        <f>IF(ISNA(VLOOKUP(A103,'Données projet'!$A$139:$I$159,5,0)),0%,VLOOKUP(A103,'Données projet'!$A$139:$I$159,5,0)*VLOOKUP('Données projet'!$B$13,Paramètres!$A$1:$I$89,7,0))</f>
        <v>0.43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150.25696817359187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150.25696817359187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853.00000000000011</v>
      </c>
      <c r="O104" s="13">
        <f>N104*VLOOKUP('Données projet'!$B$9,Paramètres!$A$1:$I$89,3,0)*VLOOKUP('Données projet'!$B$9,Paramètres!$A$1:$I$89,5,0)</f>
        <v>399.20400000000006</v>
      </c>
      <c r="P104" s="13">
        <f t="shared" si="87"/>
        <v>91.615269732888521</v>
      </c>
      <c r="Q104" s="20">
        <f t="shared" si="107"/>
        <v>854.8435614514475</v>
      </c>
      <c r="R104" s="59">
        <f t="shared" si="55"/>
        <v>1148.1768947847809</v>
      </c>
      <c r="S104" s="59">
        <f ca="1">AVERAGE(OFFSET($R$3,0,0,'Données projet'!$E$9+1,1))-AVERAGE(OFFSET($H$3,0,0,'Données projet'!$E$9+1,1))</f>
        <v>488.67934252295686</v>
      </c>
      <c r="T104" s="59">
        <f t="shared" si="88"/>
        <v>424.50324471331095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91.436969876982232</v>
      </c>
      <c r="AA104" s="21">
        <f>EXP(-LN(2)/25)*AA103+(1-EXP(-LN(2)/25))/(LN(2)/25)*Calculateur!V104*Calculateur!X104*VLOOKUP('Données projet'!$B$9,Paramètres!$A$1:$I$89,3,0)*0.475*44/12</f>
        <v>6.8416134118979297</v>
      </c>
      <c r="AB104" s="21">
        <f>EXP(-LN(2)/2)*AB103+(1-EXP(-LN(2)/2))/(LN(2)/2)*V104*Y104*VLOOKUP('Données projet'!$B$9,Paramètres!$A$1:$I$89,3,0)*0.475*44/12</f>
        <v>1.6697930454351717E-11</v>
      </c>
      <c r="AC104" s="22">
        <f t="shared" si="57"/>
        <v>98.278583288896854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689</v>
      </c>
      <c r="AJ104" s="13">
        <f>AI104*VLOOKUP('Données projet'!$B$10,Paramètres!$A$1:$I$89,3,0)*VLOOKUP('Données projet'!$B$10,Paramètres!$A$1:$I$89,5,0)</f>
        <v>412.02199999999999</v>
      </c>
      <c r="AK104" s="13">
        <f t="shared" si="89"/>
        <v>94.209724877926391</v>
      </c>
      <c r="AL104" s="20">
        <f t="shared" si="58"/>
        <v>881.686920829055</v>
      </c>
      <c r="AM104" s="59">
        <f t="shared" si="59"/>
        <v>1175.0202541623883</v>
      </c>
      <c r="AN104" s="59">
        <f ca="1">AVERAGE(OFFSET($AM$3,0,0,'Données projet'!$E$10+1,1))-AVERAGE(OFFSET($H$3,0,0,'Données projet'!$E$10+1,1))</f>
        <v>504.81063008331739</v>
      </c>
      <c r="AO104" s="59">
        <f t="shared" si="90"/>
        <v>441.82647565372287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64.571044682172442</v>
      </c>
      <c r="AV104" s="21">
        <f>EXP(-LN(2)/25)*AV103+(1-EXP(-LN(2)/25))/(LN(2)/25)*Calculateur!AQ104*Calculateur!AS104*VLOOKUP('Données projet'!$B$10,Paramètres!$A$1:$I$89,3,0)*0.475*44/12</f>
        <v>8.2231266290432572</v>
      </c>
      <c r="AW104" s="21">
        <f>EXP(-LN(2)/2)*AW103+(1-EXP(-LN(2)/2))/(LN(2)/2)*AQ104*AT104*VLOOKUP('Données projet'!$B$10,Paramètres!$A$1:$I$89,3,0)*0.475*44/12</f>
        <v>1.0776430821001191E-12</v>
      </c>
      <c r="AX104" s="21">
        <f t="shared" si="60"/>
        <v>72.794171311216786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266.99999999999983</v>
      </c>
      <c r="BE104" s="13">
        <f>BD104*VLOOKUP('Données projet'!$B$11,Paramètres!$A$1:$I$89,3,0)*VLOOKUP('Données projet'!$B$11,Paramètres!$A$1:$I$89,5,0)</f>
        <v>233.2511999999999</v>
      </c>
      <c r="BF104" s="13">
        <f t="shared" si="91"/>
        <v>56.985091661350864</v>
      </c>
      <c r="BG104" s="20">
        <f t="shared" si="61"/>
        <v>505.49487464351915</v>
      </c>
      <c r="BH104" s="59">
        <f t="shared" si="62"/>
        <v>798.82820797685247</v>
      </c>
      <c r="BI104" s="59">
        <f ca="1">AVERAGE(OFFSET($BH$3,0,0,'Données projet'!$E$11+1,1))-AVERAGE(OFFSET($H$3,0,0,'Données projet'!$E$11+1,1))</f>
        <v>324.86930206492627</v>
      </c>
      <c r="BJ104" s="59">
        <f t="shared" si="92"/>
        <v>317.03005098025352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31.430930777636451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31.430930777636451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5.4</v>
      </c>
      <c r="BY104" s="12">
        <f>IF('Données projet'!$A$114&gt;35,BY103+BX104-CG103,IF(A104&lt;'Données projet'!$A$114,$BV$205^A104,IF(A104='Données projet'!$A$114,'Données projet'!$B$114,BY103+BX104-CG103)))</f>
        <v>311.39999999999998</v>
      </c>
      <c r="BZ104" s="13">
        <f>BY104*VLOOKUP('Données projet'!$B$12,Paramètres!$A$1:$I$89,3,0)*VLOOKUP('Données projet'!$B$12,Paramètres!$A$1:$I$89,5,0)</f>
        <v>315.75959999999998</v>
      </c>
      <c r="CA104" s="13">
        <f t="shared" si="93"/>
        <v>74.470372149154613</v>
      </c>
      <c r="CB104" s="20">
        <f t="shared" si="64"/>
        <v>679.6505348264443</v>
      </c>
      <c r="CC104" s="59">
        <f t="shared" si="65"/>
        <v>972.98386815977756</v>
      </c>
      <c r="CD104" s="59">
        <f ca="1">AVERAGE(OFFSET($CC$3,0,0,'Données projet'!$E$12+1,1))-AVERAGE(OFFSET($H$3,0,0,'Données projet'!$E$12+1,1))</f>
        <v>487.18832528146936</v>
      </c>
      <c r="CE104" s="59">
        <f t="shared" si="94"/>
        <v>306.61893266146666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104.78887434126166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104.78887434126166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10.060000000000002</v>
      </c>
      <c r="CT104" s="12">
        <f>IF('Données projet'!$A$140&gt;35,CT103+CS104-DB103,IF(A104&lt;'Données projet'!$A$140,$CQ$205^A104,IF(A104='Données projet'!$A$140,'Données projet'!$B$140,CT103+CS104-DB103)))</f>
        <v>440.49999999999955</v>
      </c>
      <c r="CU104" s="17">
        <f>CT104*VLOOKUP('Données projet'!$B$13,Paramètres!$A$1:$I$89,3,0)*VLOOKUP('Données projet'!$B$13,Paramètres!$A$1:$I$89,5,0)</f>
        <v>419.17979999999955</v>
      </c>
      <c r="CV104" s="13">
        <f t="shared" si="95"/>
        <v>95.654412948908117</v>
      </c>
      <c r="CW104" s="20">
        <f t="shared" si="67"/>
        <v>896.6695875526807</v>
      </c>
      <c r="CX104" s="59">
        <f t="shared" si="68"/>
        <v>1190.002920886014</v>
      </c>
      <c r="CY104" s="59">
        <f ca="1">AVERAGE(OFFSET($CX$3,0,0,'Données projet'!$E$13+1,1))-AVERAGE(OFFSET($H$3,0,0,'Données projet'!$E$13+1,1))</f>
        <v>733.95677909788878</v>
      </c>
      <c r="CZ104" s="59">
        <f t="shared" si="96"/>
        <v>264.63778997972378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147.31052067540887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147.31052067540887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853.00000000000011</v>
      </c>
      <c r="O105" s="13">
        <f>N105*VLOOKUP('Données projet'!$B$9,Paramètres!$A$1:$I$89,3,0)*VLOOKUP('Données projet'!$B$9,Paramètres!$A$1:$I$89,5,0)</f>
        <v>399.20400000000006</v>
      </c>
      <c r="P105" s="13">
        <f t="shared" si="87"/>
        <v>91.615269732888521</v>
      </c>
      <c r="Q105" s="20">
        <f t="shared" si="107"/>
        <v>854.8435614514475</v>
      </c>
      <c r="R105" s="59">
        <f t="shared" si="55"/>
        <v>1148.1768947847809</v>
      </c>
      <c r="S105" s="59">
        <f ca="1">AVERAGE(OFFSET($R$3,0,0,'Données projet'!$E$9+1,1))-AVERAGE(OFFSET($H$3,0,0,'Données projet'!$E$9+1,1))</f>
        <v>488.67934252295686</v>
      </c>
      <c r="T105" s="59">
        <f t="shared" si="88"/>
        <v>424.50324471331095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89.643946668739304</v>
      </c>
      <c r="AA105" s="21">
        <f>EXP(-LN(2)/25)*AA104+(1-EXP(-LN(2)/25))/(LN(2)/25)*Calculateur!V105*Calculateur!X105*VLOOKUP('Données projet'!$B$9,Paramètres!$A$1:$I$89,3,0)*0.475*44/12</f>
        <v>6.6545291333647683</v>
      </c>
      <c r="AB105" s="21">
        <f>EXP(-LN(2)/2)*AB104+(1-EXP(-LN(2)/2))/(LN(2)/2)*V105*Y105*VLOOKUP('Données projet'!$B$9,Paramètres!$A$1:$I$89,3,0)*0.475*44/12</f>
        <v>1.1807219856053468E-11</v>
      </c>
      <c r="AC105" s="22">
        <f t="shared" si="57"/>
        <v>96.298475802115874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689</v>
      </c>
      <c r="AJ105" s="13">
        <f>AI105*VLOOKUP('Données projet'!$B$10,Paramètres!$A$1:$I$89,3,0)*VLOOKUP('Données projet'!$B$10,Paramètres!$A$1:$I$89,5,0)</f>
        <v>412.02199999999999</v>
      </c>
      <c r="AK105" s="13">
        <f t="shared" si="89"/>
        <v>94.209724877926391</v>
      </c>
      <c r="AL105" s="20">
        <f t="shared" si="58"/>
        <v>881.686920829055</v>
      </c>
      <c r="AM105" s="59">
        <f t="shared" si="59"/>
        <v>1175.0202541623883</v>
      </c>
      <c r="AN105" s="59">
        <f ca="1">AVERAGE(OFFSET($AM$3,0,0,'Données projet'!$E$10+1,1))-AVERAGE(OFFSET($H$3,0,0,'Données projet'!$E$10+1,1))</f>
        <v>504.81063008331739</v>
      </c>
      <c r="AO105" s="59">
        <f t="shared" si="90"/>
        <v>441.82647565372287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63.304845880403406</v>
      </c>
      <c r="AV105" s="21">
        <f>EXP(-LN(2)/25)*AV104+(1-EXP(-LN(2)/25))/(LN(2)/25)*Calculateur!AQ105*Calculateur!AS105*VLOOKUP('Données projet'!$B$10,Paramètres!$A$1:$I$89,3,0)*0.475*44/12</f>
        <v>7.998264798936634</v>
      </c>
      <c r="AW105" s="21">
        <f>EXP(-LN(2)/2)*AW104+(1-EXP(-LN(2)/2))/(LN(2)/2)*AQ105*AT105*VLOOKUP('Données projet'!$B$10,Paramètres!$A$1:$I$89,3,0)*0.475*44/12</f>
        <v>7.6200873105176562E-13</v>
      </c>
      <c r="AX105" s="21">
        <f t="shared" si="60"/>
        <v>71.303110679340804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266.99999999999983</v>
      </c>
      <c r="BE105" s="13">
        <f>BD105*VLOOKUP('Données projet'!$B$11,Paramètres!$A$1:$I$89,3,0)*VLOOKUP('Données projet'!$B$11,Paramètres!$A$1:$I$89,5,0)</f>
        <v>233.2511999999999</v>
      </c>
      <c r="BF105" s="13">
        <f t="shared" si="91"/>
        <v>56.985091661350864</v>
      </c>
      <c r="BG105" s="20">
        <f t="shared" si="61"/>
        <v>505.49487464351915</v>
      </c>
      <c r="BH105" s="59">
        <f t="shared" si="62"/>
        <v>798.82820797685247</v>
      </c>
      <c r="BI105" s="59">
        <f ca="1">AVERAGE(OFFSET($BH$3,0,0,'Données projet'!$E$11+1,1))-AVERAGE(OFFSET($H$3,0,0,'Données projet'!$E$11+1,1))</f>
        <v>324.86930206492627</v>
      </c>
      <c r="BJ105" s="59">
        <f t="shared" si="92"/>
        <v>317.03005098025352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30.814589396061798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30.814589396061798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5.4</v>
      </c>
      <c r="BY105" s="12">
        <f>IF('Données projet'!$A$114&gt;35,BY104+BX105-CG104,IF(A105&lt;'Données projet'!$A$114,$BV$205^A105,IF(A105='Données projet'!$A$114,'Données projet'!$B$114,BY104+BX105-CG104)))</f>
        <v>316.79999999999995</v>
      </c>
      <c r="BZ105" s="13">
        <f>BY105*VLOOKUP('Données projet'!$B$12,Paramètres!$A$1:$I$89,3,0)*VLOOKUP('Données projet'!$B$12,Paramètres!$A$1:$I$89,5,0)</f>
        <v>321.23519999999996</v>
      </c>
      <c r="CA105" s="13">
        <f t="shared" si="93"/>
        <v>75.610303390297929</v>
      </c>
      <c r="CB105" s="20">
        <f t="shared" si="64"/>
        <v>691.17258507143549</v>
      </c>
      <c r="CC105" s="59">
        <f t="shared" si="65"/>
        <v>984.50591840476886</v>
      </c>
      <c r="CD105" s="59">
        <f ca="1">AVERAGE(OFFSET($CC$3,0,0,'Données projet'!$E$12+1,1))-AVERAGE(OFFSET($H$3,0,0,'Données projet'!$E$12+1,1))</f>
        <v>487.18832528146936</v>
      </c>
      <c r="CE105" s="59">
        <f t="shared" si="94"/>
        <v>306.61893266146666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102.73402843033179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102.73402843033179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10.060000000000002</v>
      </c>
      <c r="CT105" s="12">
        <f>IF('Données projet'!$A$140&gt;35,CT104+CS105-DB104,IF(A105&lt;'Données projet'!$A$140,$CQ$205^A105,IF(A105='Données projet'!$A$140,'Données projet'!$B$140,CT104+CS105-DB104)))</f>
        <v>450.55999999999955</v>
      </c>
      <c r="CU105" s="17">
        <f>CT105*VLOOKUP('Données projet'!$B$13,Paramètres!$A$1:$I$89,3,0)*VLOOKUP('Données projet'!$B$13,Paramètres!$A$1:$I$89,5,0)</f>
        <v>428.75289599999962</v>
      </c>
      <c r="CV105" s="13">
        <f t="shared" si="95"/>
        <v>97.582115454106003</v>
      </c>
      <c r="CW105" s="20">
        <f t="shared" si="67"/>
        <v>916.70014494923396</v>
      </c>
      <c r="CX105" s="59">
        <f t="shared" si="68"/>
        <v>1210.0334782825673</v>
      </c>
      <c r="CY105" s="59">
        <f ca="1">AVERAGE(OFFSET($CX$3,0,0,'Données projet'!$E$13+1,1))-AVERAGE(OFFSET($H$3,0,0,'Données projet'!$E$13+1,1))</f>
        <v>733.95677909788878</v>
      </c>
      <c r="CZ105" s="59">
        <f t="shared" si="96"/>
        <v>264.63778997972378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144.42185121550972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144.42185121550972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853.00000000000011</v>
      </c>
      <c r="O106" s="13">
        <f>N106*VLOOKUP('Données projet'!$B$9,Paramètres!$A$1:$I$89,3,0)*VLOOKUP('Données projet'!$B$9,Paramètres!$A$1:$I$89,5,0)</f>
        <v>399.20400000000006</v>
      </c>
      <c r="P106" s="13">
        <f t="shared" si="87"/>
        <v>91.615269732888521</v>
      </c>
      <c r="Q106" s="20">
        <f t="shared" si="107"/>
        <v>854.8435614514475</v>
      </c>
      <c r="R106" s="59">
        <f t="shared" si="55"/>
        <v>1148.1768947847809</v>
      </c>
      <c r="S106" s="59">
        <f ca="1">AVERAGE(OFFSET($R$3,0,0,'Données projet'!$E$9+1,1))-AVERAGE(OFFSET($H$3,0,0,'Données projet'!$E$9+1,1))</f>
        <v>488.67934252295686</v>
      </c>
      <c r="T106" s="59">
        <f t="shared" si="88"/>
        <v>424.50324471331095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87.886083551973854</v>
      </c>
      <c r="AA106" s="21">
        <f>EXP(-LN(2)/25)*AA105+(1-EXP(-LN(2)/25))/(LN(2)/25)*Calculateur!V106*Calculateur!X106*VLOOKUP('Données projet'!$B$9,Paramètres!$A$1:$I$89,3,0)*0.475*44/12</f>
        <v>6.4725606842664307</v>
      </c>
      <c r="AB106" s="21">
        <f>EXP(-LN(2)/2)*AB105+(1-EXP(-LN(2)/2))/(LN(2)/2)*V106*Y106*VLOOKUP('Données projet'!$B$9,Paramètres!$A$1:$I$89,3,0)*0.475*44/12</f>
        <v>8.3489652271758584E-12</v>
      </c>
      <c r="AC106" s="22">
        <f t="shared" si="57"/>
        <v>94.358644236248637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689</v>
      </c>
      <c r="AJ106" s="13">
        <f>AI106*VLOOKUP('Données projet'!$B$10,Paramètres!$A$1:$I$89,3,0)*VLOOKUP('Données projet'!$B$10,Paramètres!$A$1:$I$89,5,0)</f>
        <v>412.02199999999999</v>
      </c>
      <c r="AK106" s="13">
        <f t="shared" si="89"/>
        <v>94.209724877926391</v>
      </c>
      <c r="AL106" s="20">
        <f t="shared" si="58"/>
        <v>881.686920829055</v>
      </c>
      <c r="AM106" s="59">
        <f t="shared" si="59"/>
        <v>1175.0202541623883</v>
      </c>
      <c r="AN106" s="59">
        <f ca="1">AVERAGE(OFFSET($AM$3,0,0,'Données projet'!$E$10+1,1))-AVERAGE(OFFSET($H$3,0,0,'Données projet'!$E$10+1,1))</f>
        <v>504.81063008331739</v>
      </c>
      <c r="AO106" s="59">
        <f t="shared" si="90"/>
        <v>441.82647565372287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62.06347646483205</v>
      </c>
      <c r="AV106" s="21">
        <f>EXP(-LN(2)/25)*AV105+(1-EXP(-LN(2)/25))/(LN(2)/25)*Calculateur!AQ106*Calculateur!AS106*VLOOKUP('Données projet'!$B$10,Paramètres!$A$1:$I$89,3,0)*0.475*44/12</f>
        <v>7.7795518273992466</v>
      </c>
      <c r="AW106" s="21">
        <f>EXP(-LN(2)/2)*AW105+(1-EXP(-LN(2)/2))/(LN(2)/2)*AQ106*AT106*VLOOKUP('Données projet'!$B$10,Paramètres!$A$1:$I$89,3,0)*0.475*44/12</f>
        <v>5.3882154105005956E-13</v>
      </c>
      <c r="AX106" s="21">
        <f t="shared" si="60"/>
        <v>69.843028292231836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266.99999999999983</v>
      </c>
      <c r="BE106" s="13">
        <f>BD106*VLOOKUP('Données projet'!$B$11,Paramètres!$A$1:$I$89,3,0)*VLOOKUP('Données projet'!$B$11,Paramètres!$A$1:$I$89,5,0)</f>
        <v>233.2511999999999</v>
      </c>
      <c r="BF106" s="13">
        <f t="shared" si="91"/>
        <v>56.985091661350864</v>
      </c>
      <c r="BG106" s="20">
        <f t="shared" si="61"/>
        <v>505.49487464351915</v>
      </c>
      <c r="BH106" s="59">
        <f t="shared" si="62"/>
        <v>798.82820797685247</v>
      </c>
      <c r="BI106" s="59">
        <f ca="1">AVERAGE(OFFSET($BH$3,0,0,'Données projet'!$E$11+1,1))-AVERAGE(OFFSET($H$3,0,0,'Données projet'!$E$11+1,1))</f>
        <v>324.86930206492627</v>
      </c>
      <c r="BJ106" s="59">
        <f t="shared" si="92"/>
        <v>317.03005098025352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30.210334093048701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30.210334093048701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5.4</v>
      </c>
      <c r="BY106" s="12">
        <f>IF('Données projet'!$A$114&gt;35,BY105+BX106-CG105,IF(A106&lt;'Données projet'!$A$114,$BV$205^A106,IF(A106='Données projet'!$A$114,'Données projet'!$B$114,BY105+BX106-CG105)))</f>
        <v>322.19999999999993</v>
      </c>
      <c r="BZ106" s="13">
        <f>BY106*VLOOKUP('Données projet'!$B$12,Paramètres!$A$1:$I$89,3,0)*VLOOKUP('Données projet'!$B$12,Paramètres!$A$1:$I$89,5,0)</f>
        <v>326.71079999999995</v>
      </c>
      <c r="CA106" s="13">
        <f t="shared" si="93"/>
        <v>76.747975030799893</v>
      </c>
      <c r="CB106" s="20">
        <f t="shared" si="64"/>
        <v>702.69069984530972</v>
      </c>
      <c r="CC106" s="59">
        <f t="shared" si="65"/>
        <v>996.02403317864309</v>
      </c>
      <c r="CD106" s="59">
        <f ca="1">AVERAGE(OFFSET($CC$3,0,0,'Données projet'!$E$12+1,1))-AVERAGE(OFFSET($H$3,0,0,'Données projet'!$E$12+1,1))</f>
        <v>487.18832528146936</v>
      </c>
      <c r="CE106" s="59">
        <f t="shared" si="94"/>
        <v>306.61893266146666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100.71947679438301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100.71947679438301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10.060000000000002</v>
      </c>
      <c r="CT106" s="12">
        <f>IF('Données projet'!$A$140&gt;35,CT105+CS106-DB105,IF(A106&lt;'Données projet'!$A$140,$CQ$205^A106,IF(A106='Données projet'!$A$140,'Données projet'!$B$140,CT105+CS106-DB105)))</f>
        <v>460.61999999999955</v>
      </c>
      <c r="CU106" s="17">
        <f>CT106*VLOOKUP('Données projet'!$B$13,Paramètres!$A$1:$I$89,3,0)*VLOOKUP('Données projet'!$B$13,Paramètres!$A$1:$I$89,5,0)</f>
        <v>438.32599199999959</v>
      </c>
      <c r="CV106" s="13">
        <f t="shared" si="95"/>
        <v>99.5048140175236</v>
      </c>
      <c r="CW106" s="20">
        <f t="shared" si="67"/>
        <v>936.72198714718616</v>
      </c>
      <c r="CX106" s="59">
        <f t="shared" si="68"/>
        <v>1230.0553204805194</v>
      </c>
      <c r="CY106" s="59">
        <f ca="1">AVERAGE(OFFSET($CX$3,0,0,'Données projet'!$E$13+1,1))-AVERAGE(OFFSET($H$3,0,0,'Données projet'!$E$13+1,1))</f>
        <v>733.95677909788878</v>
      </c>
      <c r="CZ106" s="59">
        <f t="shared" si="96"/>
        <v>264.63778997972378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141.58982680180478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141.58982680180478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853.00000000000011</v>
      </c>
      <c r="O107" s="13">
        <f>N107*VLOOKUP('Données projet'!$B$9,Paramètres!$A$1:$I$89,3,0)*VLOOKUP('Données projet'!$B$9,Paramètres!$A$1:$I$89,5,0)</f>
        <v>399.20400000000006</v>
      </c>
      <c r="P107" s="13">
        <f t="shared" si="87"/>
        <v>91.615269732888521</v>
      </c>
      <c r="Q107" s="20">
        <f t="shared" si="107"/>
        <v>854.8435614514475</v>
      </c>
      <c r="R107" s="59">
        <f t="shared" si="55"/>
        <v>1148.1768947847809</v>
      </c>
      <c r="S107" s="59">
        <f ca="1">AVERAGE(OFFSET($R$3,0,0,'Données projet'!$E$9+1,1))-AVERAGE(OFFSET($H$3,0,0,'Données projet'!$E$9+1,1))</f>
        <v>488.67934252295686</v>
      </c>
      <c r="T107" s="59">
        <f t="shared" si="88"/>
        <v>424.50324471331095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86.162691058737536</v>
      </c>
      <c r="AA107" s="21">
        <f>EXP(-LN(2)/25)*AA106+(1-EXP(-LN(2)/25))/(LN(2)/25)*Calculateur!V107*Calculateur!X107*VLOOKUP('Données projet'!$B$9,Paramètres!$A$1:$I$89,3,0)*0.475*44/12</f>
        <v>6.2955681719779921</v>
      </c>
      <c r="AB107" s="21">
        <f>EXP(-LN(2)/2)*AB106+(1-EXP(-LN(2)/2))/(LN(2)/2)*V107*Y107*VLOOKUP('Données projet'!$B$9,Paramètres!$A$1:$I$89,3,0)*0.475*44/12</f>
        <v>5.9036099280267339E-12</v>
      </c>
      <c r="AC107" s="22">
        <f t="shared" si="57"/>
        <v>92.458259230721424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689</v>
      </c>
      <c r="AJ107" s="13">
        <f>AI107*VLOOKUP('Données projet'!$B$10,Paramètres!$A$1:$I$89,3,0)*VLOOKUP('Données projet'!$B$10,Paramètres!$A$1:$I$89,5,0)</f>
        <v>412.02199999999999</v>
      </c>
      <c r="AK107" s="13">
        <f t="shared" si="89"/>
        <v>94.209724877926391</v>
      </c>
      <c r="AL107" s="20">
        <f t="shared" si="58"/>
        <v>881.686920829055</v>
      </c>
      <c r="AM107" s="59">
        <f t="shared" si="59"/>
        <v>1175.0202541623883</v>
      </c>
      <c r="AN107" s="59">
        <f ca="1">AVERAGE(OFFSET($AM$3,0,0,'Données projet'!$E$10+1,1))-AVERAGE(OFFSET($H$3,0,0,'Données projet'!$E$10+1,1))</f>
        <v>504.81063008331739</v>
      </c>
      <c r="AO107" s="59">
        <f t="shared" si="90"/>
        <v>441.82647565372287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60.846449546339471</v>
      </c>
      <c r="AV107" s="21">
        <f>EXP(-LN(2)/25)*AV106+(1-EXP(-LN(2)/25))/(LN(2)/25)*Calculateur!AQ107*Calculateur!AS107*VLOOKUP('Données projet'!$B$10,Paramètres!$A$1:$I$89,3,0)*0.475*44/12</f>
        <v>7.5668195735701635</v>
      </c>
      <c r="AW107" s="21">
        <f>EXP(-LN(2)/2)*AW106+(1-EXP(-LN(2)/2))/(LN(2)/2)*AQ107*AT107*VLOOKUP('Données projet'!$B$10,Paramètres!$A$1:$I$89,3,0)*0.475*44/12</f>
        <v>3.8100436552588281E-13</v>
      </c>
      <c r="AX107" s="21">
        <f t="shared" si="60"/>
        <v>68.413269119910012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266.99999999999983</v>
      </c>
      <c r="BE107" s="13">
        <f>BD107*VLOOKUP('Données projet'!$B$11,Paramètres!$A$1:$I$89,3,0)*VLOOKUP('Données projet'!$B$11,Paramètres!$A$1:$I$89,5,0)</f>
        <v>233.2511999999999</v>
      </c>
      <c r="BF107" s="13">
        <f t="shared" si="91"/>
        <v>56.985091661350864</v>
      </c>
      <c r="BG107" s="20">
        <f t="shared" si="61"/>
        <v>505.49487464351915</v>
      </c>
      <c r="BH107" s="59">
        <f t="shared" si="62"/>
        <v>798.82820797685247</v>
      </c>
      <c r="BI107" s="59">
        <f ca="1">AVERAGE(OFFSET($BH$3,0,0,'Données projet'!$E$11+1,1))-AVERAGE(OFFSET($H$3,0,0,'Données projet'!$E$11+1,1))</f>
        <v>324.86930206492627</v>
      </c>
      <c r="BJ107" s="59">
        <f t="shared" si="92"/>
        <v>317.03005098025352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29.617927867968348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29.617927867968348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5.4</v>
      </c>
      <c r="BY107" s="12">
        <f>IF('Données projet'!$A$114&gt;35,BY106+BX107-CG106,IF(A107&lt;'Données projet'!$A$114,$BV$205^A107,IF(A107='Données projet'!$A$114,'Données projet'!$B$114,BY106+BX107-CG106)))</f>
        <v>327.59999999999991</v>
      </c>
      <c r="BZ107" s="13">
        <f>BY107*VLOOKUP('Données projet'!$B$12,Paramètres!$A$1:$I$89,3,0)*VLOOKUP('Données projet'!$B$12,Paramètres!$A$1:$I$89,5,0)</f>
        <v>332.18639999999994</v>
      </c>
      <c r="CA107" s="13">
        <f t="shared" si="93"/>
        <v>77.88342931194974</v>
      </c>
      <c r="CB107" s="20">
        <f t="shared" si="64"/>
        <v>714.20495271831226</v>
      </c>
      <c r="CC107" s="59">
        <f t="shared" si="65"/>
        <v>1007.5382860516456</v>
      </c>
      <c r="CD107" s="59">
        <f ca="1">AVERAGE(OFFSET($CC$3,0,0,'Données projet'!$E$12+1,1))-AVERAGE(OFFSET($H$3,0,0,'Données projet'!$E$12+1,1))</f>
        <v>487.18832528146936</v>
      </c>
      <c r="CE107" s="59">
        <f t="shared" si="94"/>
        <v>306.61893266146666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98.744429287260019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98.744429287260019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10.060000000000002</v>
      </c>
      <c r="CT107" s="12">
        <f>IF('Données projet'!$A$140&gt;35,CT106+CS107-DB106,IF(A107&lt;'Données projet'!$A$140,$CQ$205^A107,IF(A107='Données projet'!$A$140,'Données projet'!$B$140,CT106+CS107-DB106)))</f>
        <v>470.67999999999955</v>
      </c>
      <c r="CU107" s="17">
        <f>CT107*VLOOKUP('Données projet'!$B$13,Paramètres!$A$1:$I$89,3,0)*VLOOKUP('Données projet'!$B$13,Paramètres!$A$1:$I$89,5,0)</f>
        <v>447.89908799999955</v>
      </c>
      <c r="CV107" s="13">
        <f t="shared" si="95"/>
        <v>101.42263051148704</v>
      </c>
      <c r="CW107" s="20">
        <f t="shared" si="67"/>
        <v>956.7353264075058</v>
      </c>
      <c r="CX107" s="59">
        <f t="shared" si="68"/>
        <v>1250.0686597408392</v>
      </c>
      <c r="CY107" s="59">
        <f ca="1">AVERAGE(OFFSET($CX$3,0,0,'Données projet'!$E$13+1,1))-AVERAGE(OFFSET($H$3,0,0,'Données projet'!$E$13+1,1))</f>
        <v>733.95677909788878</v>
      </c>
      <c r="CZ107" s="59">
        <f t="shared" si="96"/>
        <v>264.63778997972378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138.81333665948827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138.81333665948827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853.00000000000011</v>
      </c>
      <c r="O108" s="13">
        <f>N108*VLOOKUP('Données projet'!$B$9,Paramètres!$A$1:$I$89,3,0)*VLOOKUP('Données projet'!$B$9,Paramètres!$A$1:$I$89,5,0)</f>
        <v>399.20400000000006</v>
      </c>
      <c r="P108" s="13">
        <f t="shared" si="87"/>
        <v>91.615269732888521</v>
      </c>
      <c r="Q108" s="20">
        <f t="shared" si="107"/>
        <v>854.8435614514475</v>
      </c>
      <c r="R108" s="59">
        <f t="shared" si="55"/>
        <v>1148.1768947847809</v>
      </c>
      <c r="S108" s="59">
        <f ca="1">AVERAGE(OFFSET($R$3,0,0,'Données projet'!$E$9+1,1))-AVERAGE(OFFSET($H$3,0,0,'Données projet'!$E$9+1,1))</f>
        <v>488.67934252295686</v>
      </c>
      <c r="T108" s="59">
        <f t="shared" si="88"/>
        <v>424.50324471331095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84.473093241127955</v>
      </c>
      <c r="AA108" s="21">
        <f>EXP(-LN(2)/25)*AA107+(1-EXP(-LN(2)/25))/(LN(2)/25)*Calculateur!V108*Calculateur!X108*VLOOKUP('Données projet'!$B$9,Paramètres!$A$1:$I$89,3,0)*0.475*44/12</f>
        <v>6.1234155292457126</v>
      </c>
      <c r="AB108" s="21">
        <f>EXP(-LN(2)/2)*AB107+(1-EXP(-LN(2)/2))/(LN(2)/2)*V108*Y108*VLOOKUP('Données projet'!$B$9,Paramètres!$A$1:$I$89,3,0)*0.475*44/12</f>
        <v>4.1744826135879292E-12</v>
      </c>
      <c r="AC108" s="22">
        <f t="shared" si="57"/>
        <v>90.596508770377852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689</v>
      </c>
      <c r="AJ108" s="13">
        <f>AI108*VLOOKUP('Données projet'!$B$10,Paramètres!$A$1:$I$89,3,0)*VLOOKUP('Données projet'!$B$10,Paramètres!$A$1:$I$89,5,0)</f>
        <v>412.02199999999999</v>
      </c>
      <c r="AK108" s="13">
        <f t="shared" si="89"/>
        <v>94.209724877926391</v>
      </c>
      <c r="AL108" s="20">
        <f t="shared" si="58"/>
        <v>881.686920829055</v>
      </c>
      <c r="AM108" s="59">
        <f t="shared" si="59"/>
        <v>1175.0202541623883</v>
      </c>
      <c r="AN108" s="59">
        <f ca="1">AVERAGE(OFFSET($AM$3,0,0,'Données projet'!$E$10+1,1))-AVERAGE(OFFSET($H$3,0,0,'Données projet'!$E$10+1,1))</f>
        <v>504.81063008331739</v>
      </c>
      <c r="AO108" s="59">
        <f t="shared" si="90"/>
        <v>441.82647565372287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59.653287783405403</v>
      </c>
      <c r="AV108" s="21">
        <f>EXP(-LN(2)/25)*AV107+(1-EXP(-LN(2)/25))/(LN(2)/25)*Calculateur!AQ108*Calculateur!AS108*VLOOKUP('Données projet'!$B$10,Paramètres!$A$1:$I$89,3,0)*0.475*44/12</f>
        <v>7.3599044944091405</v>
      </c>
      <c r="AW108" s="21">
        <f>EXP(-LN(2)/2)*AW107+(1-EXP(-LN(2)/2))/(LN(2)/2)*AQ108*AT108*VLOOKUP('Données projet'!$B$10,Paramètres!$A$1:$I$89,3,0)*0.475*44/12</f>
        <v>2.6941077052502978E-13</v>
      </c>
      <c r="AX108" s="21">
        <f t="shared" si="60"/>
        <v>67.013192277814809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266.99999999999983</v>
      </c>
      <c r="BE108" s="13">
        <f>BD108*VLOOKUP('Données projet'!$B$11,Paramètres!$A$1:$I$89,3,0)*VLOOKUP('Données projet'!$B$11,Paramètres!$A$1:$I$89,5,0)</f>
        <v>233.2511999999999</v>
      </c>
      <c r="BF108" s="13">
        <f t="shared" si="91"/>
        <v>56.985091661350864</v>
      </c>
      <c r="BG108" s="20">
        <f t="shared" si="61"/>
        <v>505.49487464351915</v>
      </c>
      <c r="BH108" s="59">
        <f t="shared" si="62"/>
        <v>798.82820797685247</v>
      </c>
      <c r="BI108" s="59">
        <f ca="1">AVERAGE(OFFSET($BH$3,0,0,'Données projet'!$E$11+1,1))-AVERAGE(OFFSET($H$3,0,0,'Données projet'!$E$11+1,1))</f>
        <v>324.86930206492627</v>
      </c>
      <c r="BJ108" s="59">
        <f t="shared" si="92"/>
        <v>317.03005098025352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29.037138367629701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29.037138367629701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333</v>
      </c>
      <c r="BW108" s="12">
        <f>VLOOKUP(A108,'Données projet'!$A$113:$I$133,9,0)</f>
        <v>5.4</v>
      </c>
      <c r="BX108" s="12">
        <f t="array" ref="BX108">INDEX(BW:BW,MIN(IF(ISNUMBER(BW108:BW304),ROW(BW108:BW304),"")))</f>
        <v>5.4</v>
      </c>
      <c r="BY108" s="12">
        <f>IF('Données projet'!$A$114&gt;35,BY107+BX108-CG107,IF(A108&lt;'Données projet'!$A$114,$BV$205^A108,IF(A108='Données projet'!$A$114,'Données projet'!$B$114,BY107+BX108-CG107)))</f>
        <v>332.99999999999989</v>
      </c>
      <c r="BZ108" s="13">
        <f>BY108*VLOOKUP('Données projet'!$B$12,Paramètres!$A$1:$I$89,3,0)*VLOOKUP('Données projet'!$B$12,Paramètres!$A$1:$I$89,5,0)</f>
        <v>337.66199999999992</v>
      </c>
      <c r="CA108" s="13">
        <f t="shared" si="93"/>
        <v>79.016707002632685</v>
      </c>
      <c r="CB108" s="20">
        <f t="shared" si="64"/>
        <v>725.71541469625174</v>
      </c>
      <c r="CC108" s="59">
        <f t="shared" si="65"/>
        <v>1019.0487480295851</v>
      </c>
      <c r="CD108" s="59">
        <f ca="1">AVERAGE(OFFSET($CC$3,0,0,'Données projet'!$E$12+1,1))-AVERAGE(OFFSET($H$3,0,0,'Données projet'!$E$12+1,1))</f>
        <v>487.18832528146936</v>
      </c>
      <c r="CE108" s="59">
        <f t="shared" si="94"/>
        <v>306.61893266146666</v>
      </c>
      <c r="CF108" s="15">
        <f>IF(ISNA(VLOOKUP(A108,'Données projet'!$A$113:$I$133,3,0)),0,VLOOKUP(A108,'Données projet'!$A$113:$I$133,3,0))</f>
        <v>18</v>
      </c>
      <c r="CG108" s="15">
        <f>IF(ISNA(VLOOKUP(A108,'Données projet'!$A$113:$I$133,4,0)),0,VLOOKUP(A108,'Données projet'!$A$113:$I$133,4,0))</f>
        <v>26</v>
      </c>
      <c r="CH108" s="16">
        <f>IF(ISNA(VLOOKUP(A108,'Données projet'!$A$113:$I$133,5,0)),0%,VLOOKUP(A108,'Données projet'!$A$113:$I$133,5,0)*VLOOKUP('Données projet'!$B$12,Paramètres!$A$1:$I$89,7,0))</f>
        <v>0.43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109.34029832407457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109.34029832407457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10.060000000000002</v>
      </c>
      <c r="CT108" s="12">
        <f>IF('Données projet'!$A$140&gt;35,CT107+CS108-DB107,IF(A108&lt;'Données projet'!$A$140,$CQ$205^A108,IF(A108='Données projet'!$A$140,'Données projet'!$B$140,CT107+CS108-DB107)))</f>
        <v>480.73999999999955</v>
      </c>
      <c r="CU108" s="17">
        <f>CT108*VLOOKUP('Données projet'!$B$13,Paramètres!$A$1:$I$89,3,0)*VLOOKUP('Données projet'!$B$13,Paramètres!$A$1:$I$89,5,0)</f>
        <v>457.47218399999957</v>
      </c>
      <c r="CV108" s="13">
        <f t="shared" si="95"/>
        <v>103.33568130107888</v>
      </c>
      <c r="CW108" s="20">
        <f t="shared" si="67"/>
        <v>976.74036539937833</v>
      </c>
      <c r="CX108" s="59">
        <f t="shared" si="68"/>
        <v>1270.0736987327116</v>
      </c>
      <c r="CY108" s="59">
        <f ca="1">AVERAGE(OFFSET($CX$3,0,0,'Données projet'!$E$13+1,1))-AVERAGE(OFFSET($H$3,0,0,'Données projet'!$E$13+1,1))</f>
        <v>733.95677909788878</v>
      </c>
      <c r="CZ108" s="59">
        <f t="shared" si="96"/>
        <v>264.63778997972378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136.09129179537081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136.09129179537081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853.00000000000011</v>
      </c>
      <c r="O109" s="13">
        <f>N109*VLOOKUP('Données projet'!$B$9,Paramètres!$A$1:$I$89,3,0)*VLOOKUP('Données projet'!$B$9,Paramètres!$A$1:$I$89,5,0)</f>
        <v>399.20400000000006</v>
      </c>
      <c r="P109" s="13">
        <f t="shared" si="87"/>
        <v>91.615269732888521</v>
      </c>
      <c r="Q109" s="20">
        <f t="shared" si="107"/>
        <v>854.8435614514475</v>
      </c>
      <c r="R109" s="59">
        <f t="shared" si="55"/>
        <v>1148.1768947847809</v>
      </c>
      <c r="S109" s="59">
        <f ca="1">AVERAGE(OFFSET($R$3,0,0,'Données projet'!$E$9+1,1))-AVERAGE(OFFSET($H$3,0,0,'Données projet'!$E$9+1,1))</f>
        <v>488.67934252295686</v>
      </c>
      <c r="T109" s="59">
        <f t="shared" si="88"/>
        <v>424.50324471331095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82.816627406168791</v>
      </c>
      <c r="AA109" s="21">
        <f>EXP(-LN(2)/25)*AA108+(1-EXP(-LN(2)/25))/(LN(2)/25)*Calculateur!V109*Calculateur!X109*VLOOKUP('Données projet'!$B$9,Paramètres!$A$1:$I$89,3,0)*0.475*44/12</f>
        <v>5.9559704095820614</v>
      </c>
      <c r="AB109" s="21">
        <f>EXP(-LN(2)/2)*AB108+(1-EXP(-LN(2)/2))/(LN(2)/2)*V109*Y109*VLOOKUP('Données projet'!$B$9,Paramètres!$A$1:$I$89,3,0)*0.475*44/12</f>
        <v>2.951804964013367E-12</v>
      </c>
      <c r="AC109" s="22">
        <f t="shared" si="57"/>
        <v>88.772597815753812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689</v>
      </c>
      <c r="AJ109" s="13">
        <f>AI109*VLOOKUP('Données projet'!$B$10,Paramètres!$A$1:$I$89,3,0)*VLOOKUP('Données projet'!$B$10,Paramètres!$A$1:$I$89,5,0)</f>
        <v>412.02199999999999</v>
      </c>
      <c r="AK109" s="13">
        <f t="shared" si="89"/>
        <v>94.209724877926391</v>
      </c>
      <c r="AL109" s="20">
        <f t="shared" si="58"/>
        <v>881.686920829055</v>
      </c>
      <c r="AM109" s="59">
        <f t="shared" si="59"/>
        <v>1175.0202541623883</v>
      </c>
      <c r="AN109" s="59">
        <f ca="1">AVERAGE(OFFSET($AM$3,0,0,'Données projet'!$E$10+1,1))-AVERAGE(OFFSET($H$3,0,0,'Données projet'!$E$10+1,1))</f>
        <v>504.81063008331739</v>
      </c>
      <c r="AO109" s="59">
        <f t="shared" si="90"/>
        <v>441.82647565372287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58.483523194885663</v>
      </c>
      <c r="AV109" s="21">
        <f>EXP(-LN(2)/25)*AV108+(1-EXP(-LN(2)/25))/(LN(2)/25)*Calculateur!AQ109*Calculateur!AS109*VLOOKUP('Données projet'!$B$10,Paramètres!$A$1:$I$89,3,0)*0.475*44/12</f>
        <v>7.1586475189689667</v>
      </c>
      <c r="AW109" s="21">
        <f>EXP(-LN(2)/2)*AW108+(1-EXP(-LN(2)/2))/(LN(2)/2)*AQ109*AT109*VLOOKUP('Données projet'!$B$10,Paramètres!$A$1:$I$89,3,0)*0.475*44/12</f>
        <v>1.905021827629414E-13</v>
      </c>
      <c r="AX109" s="21">
        <f t="shared" si="60"/>
        <v>65.64217071385481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266.99999999999983</v>
      </c>
      <c r="BE109" s="13">
        <f>BD109*VLOOKUP('Données projet'!$B$11,Paramètres!$A$1:$I$89,3,0)*VLOOKUP('Données projet'!$B$11,Paramètres!$A$1:$I$89,5,0)</f>
        <v>233.2511999999999</v>
      </c>
      <c r="BF109" s="13">
        <f t="shared" si="91"/>
        <v>56.985091661350864</v>
      </c>
      <c r="BG109" s="20">
        <f t="shared" si="61"/>
        <v>505.49487464351915</v>
      </c>
      <c r="BH109" s="59">
        <f t="shared" si="62"/>
        <v>798.82820797685247</v>
      </c>
      <c r="BI109" s="59">
        <f ca="1">AVERAGE(OFFSET($BH$3,0,0,'Données projet'!$E$11+1,1))-AVERAGE(OFFSET($H$3,0,0,'Données projet'!$E$11+1,1))</f>
        <v>324.86930206492627</v>
      </c>
      <c r="BJ109" s="59">
        <f t="shared" si="92"/>
        <v>317.03005098025352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28.467737795146082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28.467737795146082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</v>
      </c>
      <c r="BY109" s="12">
        <f>IF('Données projet'!$A$114&gt;35,BY108+BX109-CG108,IF(A109&lt;'Données projet'!$A$114,$BV$205^A109,IF(A109='Données projet'!$A$114,'Données projet'!$B$114,BY108+BX109-CG108)))</f>
        <v>311.99999999999989</v>
      </c>
      <c r="BZ109" s="13">
        <f>BY109*VLOOKUP('Données projet'!$B$12,Paramètres!$A$1:$I$89,3,0)*VLOOKUP('Données projet'!$B$12,Paramètres!$A$1:$I$89,5,0)</f>
        <v>316.36799999999988</v>
      </c>
      <c r="CA109" s="13">
        <f t="shared" si="93"/>
        <v>74.597144109003438</v>
      </c>
      <c r="CB109" s="20">
        <f t="shared" si="64"/>
        <v>680.93095932318067</v>
      </c>
      <c r="CC109" s="59">
        <f t="shared" si="65"/>
        <v>974.26429265651404</v>
      </c>
      <c r="CD109" s="59">
        <f ca="1">AVERAGE(OFFSET($CC$3,0,0,'Données projet'!$E$12+1,1))-AVERAGE(OFFSET($H$3,0,0,'Données projet'!$E$12+1,1))</f>
        <v>487.18832528146936</v>
      </c>
      <c r="CE109" s="59">
        <f t="shared" si="94"/>
        <v>306.61893266146666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107.19620176493625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107.19620176493625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10.060000000000002</v>
      </c>
      <c r="CT109" s="12">
        <f>IF('Données projet'!$A$140&gt;35,CT108+CS109-DB108,IF(A109&lt;'Données projet'!$A$140,$CQ$205^A109,IF(A109='Données projet'!$A$140,'Données projet'!$B$140,CT108+CS109-DB108)))</f>
        <v>490.79999999999956</v>
      </c>
      <c r="CU109" s="17">
        <f>CT109*VLOOKUP('Données projet'!$B$13,Paramètres!$A$1:$I$89,3,0)*VLOOKUP('Données projet'!$B$13,Paramètres!$A$1:$I$89,5,0)</f>
        <v>467.04527999999965</v>
      </c>
      <c r="CV109" s="13">
        <f t="shared" si="95"/>
        <v>105.24407760295479</v>
      </c>
      <c r="CW109" s="20">
        <f t="shared" si="67"/>
        <v>996.73729782514545</v>
      </c>
      <c r="CX109" s="59">
        <f t="shared" si="68"/>
        <v>1290.0706311584788</v>
      </c>
      <c r="CY109" s="59">
        <f ca="1">AVERAGE(OFFSET($CX$3,0,0,'Données projet'!$E$13+1,1))-AVERAGE(OFFSET($H$3,0,0,'Données projet'!$E$13+1,1))</f>
        <v>733.95677909788878</v>
      </c>
      <c r="CZ109" s="59">
        <f t="shared" si="96"/>
        <v>264.63778997972378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133.42262457075526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133.42262457075526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853.00000000000011</v>
      </c>
      <c r="O110" s="13">
        <f>N110*VLOOKUP('Données projet'!$B$9,Paramètres!$A$1:$I$89,3,0)*VLOOKUP('Données projet'!$B$9,Paramètres!$A$1:$I$89,5,0)</f>
        <v>399.20400000000006</v>
      </c>
      <c r="P110" s="13">
        <f t="shared" si="87"/>
        <v>91.615269732888521</v>
      </c>
      <c r="Q110" s="20">
        <f t="shared" si="107"/>
        <v>854.8435614514475</v>
      </c>
      <c r="R110" s="59">
        <f t="shared" si="55"/>
        <v>1148.1768947847809</v>
      </c>
      <c r="S110" s="59">
        <f ca="1">AVERAGE(OFFSET($R$3,0,0,'Données projet'!$E$9+1,1))-AVERAGE(OFFSET($H$3,0,0,'Données projet'!$E$9+1,1))</f>
        <v>488.67934252295686</v>
      </c>
      <c r="T110" s="59">
        <f t="shared" si="88"/>
        <v>424.50324471331095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81.192643855888775</v>
      </c>
      <c r="AA110" s="21">
        <f>EXP(-LN(2)/25)*AA109+(1-EXP(-LN(2)/25))/(LN(2)/25)*Calculateur!V110*Calculateur!X110*VLOOKUP('Données projet'!$B$9,Paramètres!$A$1:$I$89,3,0)*0.475*44/12</f>
        <v>5.7931040855211684</v>
      </c>
      <c r="AB110" s="21">
        <f>EXP(-LN(2)/2)*AB109+(1-EXP(-LN(2)/2))/(LN(2)/2)*V110*Y110*VLOOKUP('Données projet'!$B$9,Paramètres!$A$1:$I$89,3,0)*0.475*44/12</f>
        <v>2.0872413067939646E-12</v>
      </c>
      <c r="AC110" s="22">
        <f t="shared" si="57"/>
        <v>86.985747941412029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689</v>
      </c>
      <c r="AJ110" s="13">
        <f>AI110*VLOOKUP('Données projet'!$B$10,Paramètres!$A$1:$I$89,3,0)*VLOOKUP('Données projet'!$B$10,Paramètres!$A$1:$I$89,5,0)</f>
        <v>412.02199999999999</v>
      </c>
      <c r="AK110" s="13">
        <f t="shared" si="89"/>
        <v>94.209724877926391</v>
      </c>
      <c r="AL110" s="20">
        <f t="shared" si="58"/>
        <v>881.686920829055</v>
      </c>
      <c r="AM110" s="59">
        <f t="shared" si="59"/>
        <v>1175.0202541623883</v>
      </c>
      <c r="AN110" s="59">
        <f ca="1">AVERAGE(OFFSET($AM$3,0,0,'Données projet'!$E$10+1,1))-AVERAGE(OFFSET($H$3,0,0,'Données projet'!$E$10+1,1))</f>
        <v>504.81063008331739</v>
      </c>
      <c r="AO110" s="59">
        <f t="shared" si="90"/>
        <v>441.82647565372287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57.336696976460843</v>
      </c>
      <c r="AV110" s="21">
        <f>EXP(-LN(2)/25)*AV109+(1-EXP(-LN(2)/25))/(LN(2)/25)*Calculateur!AQ110*Calculateur!AS110*VLOOKUP('Données projet'!$B$10,Paramètres!$A$1:$I$89,3,0)*0.475*44/12</f>
        <v>6.9628939261058482</v>
      </c>
      <c r="AW110" s="21">
        <f>EXP(-LN(2)/2)*AW109+(1-EXP(-LN(2)/2))/(LN(2)/2)*AQ110*AT110*VLOOKUP('Données projet'!$B$10,Paramètres!$A$1:$I$89,3,0)*0.475*44/12</f>
        <v>1.3470538526251489E-13</v>
      </c>
      <c r="AX110" s="21">
        <f t="shared" si="60"/>
        <v>64.29959090256682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266.99999999999983</v>
      </c>
      <c r="BE110" s="13">
        <f>BD110*VLOOKUP('Données projet'!$B$11,Paramètres!$A$1:$I$89,3,0)*VLOOKUP('Données projet'!$B$11,Paramètres!$A$1:$I$89,5,0)</f>
        <v>233.2511999999999</v>
      </c>
      <c r="BF110" s="13">
        <f t="shared" si="91"/>
        <v>56.985091661350864</v>
      </c>
      <c r="BG110" s="20">
        <f t="shared" si="61"/>
        <v>505.49487464351915</v>
      </c>
      <c r="BH110" s="59">
        <f t="shared" si="62"/>
        <v>798.82820797685247</v>
      </c>
      <c r="BI110" s="59">
        <f ca="1">AVERAGE(OFFSET($BH$3,0,0,'Données projet'!$E$11+1,1))-AVERAGE(OFFSET($H$3,0,0,'Données projet'!$E$11+1,1))</f>
        <v>324.86930206492627</v>
      </c>
      <c r="BJ110" s="59">
        <f t="shared" si="92"/>
        <v>317.03005098025352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27.909502820588809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27.909502820588809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</v>
      </c>
      <c r="BY110" s="12">
        <f>IF('Données projet'!$A$114&gt;35,BY109+BX110-CG109,IF(A110&lt;'Données projet'!$A$114,$BV$205^A110,IF(A110='Données projet'!$A$114,'Données projet'!$B$114,BY109+BX110-CG109)))</f>
        <v>316.99999999999989</v>
      </c>
      <c r="BZ110" s="13">
        <f>BY110*VLOOKUP('Données projet'!$B$12,Paramètres!$A$1:$I$89,3,0)*VLOOKUP('Données projet'!$B$12,Paramètres!$A$1:$I$89,5,0)</f>
        <v>321.43799999999987</v>
      </c>
      <c r="CA110" s="13">
        <f t="shared" si="93"/>
        <v>75.652479406660177</v>
      </c>
      <c r="CB110" s="20">
        <f t="shared" si="64"/>
        <v>691.59925163326625</v>
      </c>
      <c r="CC110" s="59">
        <f t="shared" si="65"/>
        <v>984.93258496659951</v>
      </c>
      <c r="CD110" s="59">
        <f ca="1">AVERAGE(OFFSET($CC$3,0,0,'Données projet'!$E$12+1,1))-AVERAGE(OFFSET($H$3,0,0,'Données projet'!$E$12+1,1))</f>
        <v>487.18832528146936</v>
      </c>
      <c r="CE110" s="59">
        <f t="shared" si="94"/>
        <v>306.61893266146666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105.09414963155287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105.09414963155287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10.060000000000002</v>
      </c>
      <c r="CT110" s="12">
        <f>IF('Données projet'!$A$140&gt;35,CT109+CS110-DB109,IF(A110&lt;'Données projet'!$A$140,$CQ$205^A110,IF(A110='Données projet'!$A$140,'Données projet'!$B$140,CT109+CS110-DB109)))</f>
        <v>500.85999999999956</v>
      </c>
      <c r="CU110" s="17">
        <f>CT110*VLOOKUP('Données projet'!$B$13,Paramètres!$A$1:$I$89,3,0)*VLOOKUP('Données projet'!$B$13,Paramètres!$A$1:$I$89,5,0)</f>
        <v>476.61837599999961</v>
      </c>
      <c r="CV110" s="13">
        <f t="shared" si="95"/>
        <v>107.14792581391229</v>
      </c>
      <c r="CW110" s="20">
        <f t="shared" si="67"/>
        <v>1016.7263089925633</v>
      </c>
      <c r="CX110" s="59">
        <f t="shared" si="68"/>
        <v>1310.0596423258967</v>
      </c>
      <c r="CY110" s="59">
        <f ca="1">AVERAGE(OFFSET($CX$3,0,0,'Données projet'!$E$13+1,1))-AVERAGE(OFFSET($H$3,0,0,'Données projet'!$E$13+1,1))</f>
        <v>733.95677909788878</v>
      </c>
      <c r="CZ110" s="59">
        <f t="shared" si="96"/>
        <v>264.63778997972378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130.80628828268814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130.80628828268814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853.00000000000011</v>
      </c>
      <c r="O111" s="13">
        <f>N111*VLOOKUP('Données projet'!$B$9,Paramètres!$A$1:$I$89,3,0)*VLOOKUP('Données projet'!$B$9,Paramètres!$A$1:$I$89,5,0)</f>
        <v>399.20400000000006</v>
      </c>
      <c r="P111" s="13">
        <f t="shared" si="87"/>
        <v>91.615269732888521</v>
      </c>
      <c r="Q111" s="20">
        <f t="shared" si="107"/>
        <v>854.8435614514475</v>
      </c>
      <c r="R111" s="59">
        <f t="shared" si="55"/>
        <v>1148.1768947847809</v>
      </c>
      <c r="S111" s="59">
        <f ca="1">AVERAGE(OFFSET($R$3,0,0,'Données projet'!$E$9+1,1))-AVERAGE(OFFSET($H$3,0,0,'Données projet'!$E$9+1,1))</f>
        <v>488.67934252295686</v>
      </c>
      <c r="T111" s="59">
        <f t="shared" si="88"/>
        <v>424.50324471331095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79.600505632497601</v>
      </c>
      <c r="AA111" s="21">
        <f>EXP(-LN(2)/25)*AA110+(1-EXP(-LN(2)/25))/(LN(2)/25)*Calculateur!V111*Calculateur!X111*VLOOKUP('Données projet'!$B$9,Paramètres!$A$1:$I$89,3,0)*0.475*44/12</f>
        <v>5.6346913496564888</v>
      </c>
      <c r="AB111" s="21">
        <f>EXP(-LN(2)/2)*AB110+(1-EXP(-LN(2)/2))/(LN(2)/2)*V111*Y111*VLOOKUP('Données projet'!$B$9,Paramètres!$A$1:$I$89,3,0)*0.475*44/12</f>
        <v>1.4759024820066835E-12</v>
      </c>
      <c r="AC111" s="22">
        <f t="shared" si="57"/>
        <v>85.235196982155571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689</v>
      </c>
      <c r="AJ111" s="13">
        <f>AI111*VLOOKUP('Données projet'!$B$10,Paramètres!$A$1:$I$89,3,0)*VLOOKUP('Données projet'!$B$10,Paramètres!$A$1:$I$89,5,0)</f>
        <v>412.02199999999999</v>
      </c>
      <c r="AK111" s="13">
        <f t="shared" si="89"/>
        <v>94.209724877926391</v>
      </c>
      <c r="AL111" s="20">
        <f t="shared" si="58"/>
        <v>881.686920829055</v>
      </c>
      <c r="AM111" s="59">
        <f t="shared" si="59"/>
        <v>1175.0202541623883</v>
      </c>
      <c r="AN111" s="59">
        <f ca="1">AVERAGE(OFFSET($AM$3,0,0,'Données projet'!$E$10+1,1))-AVERAGE(OFFSET($H$3,0,0,'Données projet'!$E$10+1,1))</f>
        <v>504.81063008331739</v>
      </c>
      <c r="AO111" s="59">
        <f t="shared" si="90"/>
        <v>441.82647565372287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56.212359320684406</v>
      </c>
      <c r="AV111" s="21">
        <f>EXP(-LN(2)/25)*AV110+(1-EXP(-LN(2)/25))/(LN(2)/25)*Calculateur!AQ111*Calculateur!AS111*VLOOKUP('Données projet'!$B$10,Paramètres!$A$1:$I$89,3,0)*0.475*44/12</f>
        <v>6.7724932255338057</v>
      </c>
      <c r="AW111" s="21">
        <f>EXP(-LN(2)/2)*AW110+(1-EXP(-LN(2)/2))/(LN(2)/2)*AQ111*AT111*VLOOKUP('Données projet'!$B$10,Paramètres!$A$1:$I$89,3,0)*0.475*44/12</f>
        <v>9.5251091381470702E-14</v>
      </c>
      <c r="AX111" s="21">
        <f t="shared" si="60"/>
        <v>62.984852546218306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266.99999999999983</v>
      </c>
      <c r="BE111" s="13">
        <f>BD111*VLOOKUP('Données projet'!$B$11,Paramètres!$A$1:$I$89,3,0)*VLOOKUP('Données projet'!$B$11,Paramètres!$A$1:$I$89,5,0)</f>
        <v>233.2511999999999</v>
      </c>
      <c r="BF111" s="13">
        <f t="shared" si="91"/>
        <v>56.985091661350864</v>
      </c>
      <c r="BG111" s="20">
        <f t="shared" si="61"/>
        <v>505.49487464351915</v>
      </c>
      <c r="BH111" s="59">
        <f t="shared" si="62"/>
        <v>798.82820797685247</v>
      </c>
      <c r="BI111" s="59">
        <f ca="1">AVERAGE(OFFSET($BH$3,0,0,'Données projet'!$E$11+1,1))-AVERAGE(OFFSET($H$3,0,0,'Données projet'!$E$11+1,1))</f>
        <v>324.86930206492627</v>
      </c>
      <c r="BJ111" s="59">
        <f t="shared" si="92"/>
        <v>317.03005098025352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27.362214493392891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27.362214493392891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</v>
      </c>
      <c r="BY111" s="12">
        <f>IF('Données projet'!$A$114&gt;35,BY110+BX111-CG110,IF(A111&lt;'Données projet'!$A$114,$BV$205^A111,IF(A111='Données projet'!$A$114,'Données projet'!$B$114,BY110+BX111-CG110)))</f>
        <v>321.99999999999989</v>
      </c>
      <c r="BZ111" s="13">
        <f>BY111*VLOOKUP('Données projet'!$B$12,Paramètres!$A$1:$I$89,3,0)*VLOOKUP('Données projet'!$B$12,Paramètres!$A$1:$I$89,5,0)</f>
        <v>326.50799999999987</v>
      </c>
      <c r="CA111" s="13">
        <f t="shared" si="93"/>
        <v>76.705878841344258</v>
      </c>
      <c r="CB111" s="20">
        <f t="shared" si="64"/>
        <v>702.26417231534106</v>
      </c>
      <c r="CC111" s="59">
        <f t="shared" si="65"/>
        <v>995.59750564867431</v>
      </c>
      <c r="CD111" s="59">
        <f ca="1">AVERAGE(OFFSET($CC$3,0,0,'Données projet'!$E$12+1,1))-AVERAGE(OFFSET($H$3,0,0,'Données projet'!$E$12+1,1))</f>
        <v>487.18832528146936</v>
      </c>
      <c r="CE111" s="59">
        <f t="shared" si="94"/>
        <v>306.61893266146666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103.03331745837993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103.03331745837993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10.060000000000002</v>
      </c>
      <c r="CT111" s="12">
        <f>IF('Données projet'!$A$140&gt;35,CT110+CS111-DB110,IF(A111&lt;'Données projet'!$A$140,$CQ$205^A111,IF(A111='Données projet'!$A$140,'Données projet'!$B$140,CT110+CS111-DB110)))</f>
        <v>510.91999999999956</v>
      </c>
      <c r="CU111" s="17">
        <f>CT111*VLOOKUP('Données projet'!$B$13,Paramètres!$A$1:$I$89,3,0)*VLOOKUP('Données projet'!$B$13,Paramètres!$A$1:$I$89,5,0)</f>
        <v>486.19147199999958</v>
      </c>
      <c r="CV111" s="13">
        <f t="shared" si="95"/>
        <v>109.04732781231442</v>
      </c>
      <c r="CW111" s="20">
        <f t="shared" si="67"/>
        <v>1036.7075763397804</v>
      </c>
      <c r="CX111" s="59">
        <f t="shared" si="68"/>
        <v>1330.0409096731137</v>
      </c>
      <c r="CY111" s="59">
        <f ca="1">AVERAGE(OFFSET($CX$3,0,0,'Données projet'!$E$13+1,1))-AVERAGE(OFFSET($H$3,0,0,'Données projet'!$E$13+1,1))</f>
        <v>733.95677909788878</v>
      </c>
      <c r="CZ111" s="59">
        <f t="shared" si="96"/>
        <v>264.63778997972378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128.24125675342248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128.24125675342248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853.00000000000011</v>
      </c>
      <c r="O112" s="13">
        <f>N112*VLOOKUP('Données projet'!$B$9,Paramètres!$A$1:$I$89,3,0)*VLOOKUP('Données projet'!$B$9,Paramètres!$A$1:$I$89,5,0)</f>
        <v>399.20400000000006</v>
      </c>
      <c r="P112" s="13">
        <f t="shared" si="87"/>
        <v>91.615269732888521</v>
      </c>
      <c r="Q112" s="20">
        <f t="shared" si="107"/>
        <v>854.8435614514475</v>
      </c>
      <c r="R112" s="59">
        <f t="shared" si="55"/>
        <v>1148.1768947847809</v>
      </c>
      <c r="S112" s="59">
        <f ca="1">AVERAGE(OFFSET($R$3,0,0,'Données projet'!$E$9+1,1))-AVERAGE(OFFSET($H$3,0,0,'Données projet'!$E$9+1,1))</f>
        <v>488.67934252295686</v>
      </c>
      <c r="T112" s="59">
        <f t="shared" si="88"/>
        <v>424.50324471331095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78.039588268558688</v>
      </c>
      <c r="AA112" s="21">
        <f>EXP(-LN(2)/25)*AA111+(1-EXP(-LN(2)/25))/(LN(2)/25)*Calculateur!V112*Calculateur!X112*VLOOKUP('Données projet'!$B$9,Paramètres!$A$1:$I$89,3,0)*0.475*44/12</f>
        <v>5.4806104183845923</v>
      </c>
      <c r="AB112" s="21">
        <f>EXP(-LN(2)/2)*AB111+(1-EXP(-LN(2)/2))/(LN(2)/2)*V112*Y112*VLOOKUP('Données projet'!$B$9,Paramètres!$A$1:$I$89,3,0)*0.475*44/12</f>
        <v>1.0436206533969823E-12</v>
      </c>
      <c r="AC112" s="22">
        <f t="shared" si="57"/>
        <v>83.520198686944312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689</v>
      </c>
      <c r="AJ112" s="13">
        <f>AI112*VLOOKUP('Données projet'!$B$10,Paramètres!$A$1:$I$89,3,0)*VLOOKUP('Données projet'!$B$10,Paramètres!$A$1:$I$89,5,0)</f>
        <v>412.02199999999999</v>
      </c>
      <c r="AK112" s="13">
        <f t="shared" si="89"/>
        <v>94.209724877926391</v>
      </c>
      <c r="AL112" s="20">
        <f t="shared" si="58"/>
        <v>881.686920829055</v>
      </c>
      <c r="AM112" s="59">
        <f t="shared" si="59"/>
        <v>1175.0202541623883</v>
      </c>
      <c r="AN112" s="59">
        <f ca="1">AVERAGE(OFFSET($AM$3,0,0,'Données projet'!$E$10+1,1))-AVERAGE(OFFSET($H$3,0,0,'Données projet'!$E$10+1,1))</f>
        <v>504.81063008331739</v>
      </c>
      <c r="AO112" s="59">
        <f t="shared" si="90"/>
        <v>441.82647565372287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55.110069240559497</v>
      </c>
      <c r="AV112" s="21">
        <f>EXP(-LN(2)/25)*AV111+(1-EXP(-LN(2)/25))/(LN(2)/25)*Calculateur!AQ112*Calculateur!AS112*VLOOKUP('Données projet'!$B$10,Paramètres!$A$1:$I$89,3,0)*0.475*44/12</f>
        <v>6.5872990421316437</v>
      </c>
      <c r="AW112" s="21">
        <f>EXP(-LN(2)/2)*AW111+(1-EXP(-LN(2)/2))/(LN(2)/2)*AQ112*AT112*VLOOKUP('Données projet'!$B$10,Paramètres!$A$1:$I$89,3,0)*0.475*44/12</f>
        <v>6.7352692631257445E-14</v>
      </c>
      <c r="AX112" s="21">
        <f t="shared" si="60"/>
        <v>61.697368282691208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266.99999999999983</v>
      </c>
      <c r="BE112" s="13">
        <f>BD112*VLOOKUP('Données projet'!$B$11,Paramètres!$A$1:$I$89,3,0)*VLOOKUP('Données projet'!$B$11,Paramètres!$A$1:$I$89,5,0)</f>
        <v>233.2511999999999</v>
      </c>
      <c r="BF112" s="13">
        <f t="shared" si="91"/>
        <v>56.985091661350864</v>
      </c>
      <c r="BG112" s="20">
        <f t="shared" si="61"/>
        <v>505.49487464351915</v>
      </c>
      <c r="BH112" s="59">
        <f t="shared" si="62"/>
        <v>798.82820797685247</v>
      </c>
      <c r="BI112" s="59">
        <f ca="1">AVERAGE(OFFSET($BH$3,0,0,'Données projet'!$E$11+1,1))-AVERAGE(OFFSET($H$3,0,0,'Données projet'!$E$11+1,1))</f>
        <v>324.86930206492627</v>
      </c>
      <c r="BJ112" s="59">
        <f t="shared" si="92"/>
        <v>317.03005098025352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26.825658156480365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26.825658156480365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</v>
      </c>
      <c r="BY112" s="12">
        <f>IF('Données projet'!$A$114&gt;35,BY111+BX112-CG111,IF(A112&lt;'Données projet'!$A$114,$BV$205^A112,IF(A112='Données projet'!$A$114,'Données projet'!$B$114,BY111+BX112-CG111)))</f>
        <v>326.99999999999989</v>
      </c>
      <c r="BZ112" s="13">
        <f>BY112*VLOOKUP('Données projet'!$B$12,Paramètres!$A$1:$I$89,3,0)*VLOOKUP('Données projet'!$B$12,Paramètres!$A$1:$I$89,5,0)</f>
        <v>331.57799999999992</v>
      </c>
      <c r="CA112" s="13">
        <f t="shared" si="93"/>
        <v>77.75737594442586</v>
      </c>
      <c r="CB112" s="20">
        <f t="shared" si="64"/>
        <v>712.92577976987479</v>
      </c>
      <c r="CC112" s="59">
        <f t="shared" si="65"/>
        <v>1006.2591131032082</v>
      </c>
      <c r="CD112" s="59">
        <f ca="1">AVERAGE(OFFSET($CC$3,0,0,'Données projet'!$E$12+1,1))-AVERAGE(OFFSET($H$3,0,0,'Données projet'!$E$12+1,1))</f>
        <v>487.18832528146936</v>
      </c>
      <c r="CE112" s="59">
        <f t="shared" si="94"/>
        <v>306.61893266146666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101.01289694713941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101.01289694713941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10.060000000000002</v>
      </c>
      <c r="CT112" s="12">
        <f>IF('Données projet'!$A$140&gt;35,CT111+CS112-DB111,IF(A112&lt;'Données projet'!$A$140,$CQ$205^A112,IF(A112='Données projet'!$A$140,'Données projet'!$B$140,CT111+CS112-DB111)))</f>
        <v>520.97999999999956</v>
      </c>
      <c r="CU112" s="17">
        <f>CT112*VLOOKUP('Données projet'!$B$13,Paramètres!$A$1:$I$89,3,0)*VLOOKUP('Données projet'!$B$13,Paramètres!$A$1:$I$89,5,0)</f>
        <v>495.76456799999954</v>
      </c>
      <c r="CV112" s="13">
        <f t="shared" si="95"/>
        <v>110.94238123510353</v>
      </c>
      <c r="CW112" s="20">
        <f t="shared" si="67"/>
        <v>1056.6812699178042</v>
      </c>
      <c r="CX112" s="59">
        <f t="shared" si="68"/>
        <v>1350.0146032511375</v>
      </c>
      <c r="CY112" s="59">
        <f ca="1">AVERAGE(OFFSET($CX$3,0,0,'Données projet'!$E$13+1,1))-AVERAGE(OFFSET($H$3,0,0,'Données projet'!$E$13+1,1))</f>
        <v>733.95677909788878</v>
      </c>
      <c r="CZ112" s="59">
        <f t="shared" si="96"/>
        <v>264.63778997972378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125.72652392793096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125.72652392793096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853.00000000000011</v>
      </c>
      <c r="O113" s="13">
        <f>N113*VLOOKUP('Données projet'!$B$9,Paramètres!$A$1:$I$89,3,0)*VLOOKUP('Données projet'!$B$9,Paramètres!$A$1:$I$89,5,0)</f>
        <v>399.20400000000006</v>
      </c>
      <c r="P113" s="13">
        <f t="shared" si="87"/>
        <v>91.615269732888521</v>
      </c>
      <c r="Q113" s="20">
        <f t="shared" si="107"/>
        <v>854.8435614514475</v>
      </c>
      <c r="R113" s="59">
        <f t="shared" si="55"/>
        <v>1148.1768947847809</v>
      </c>
      <c r="S113" s="59">
        <f ca="1">AVERAGE(OFFSET($R$3,0,0,'Données projet'!$E$9+1,1))-AVERAGE(OFFSET($H$3,0,0,'Données projet'!$E$9+1,1))</f>
        <v>488.67934252295686</v>
      </c>
      <c r="T113" s="59">
        <f t="shared" si="88"/>
        <v>424.50324471331095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76.509279542061037</v>
      </c>
      <c r="AA113" s="21">
        <f>EXP(-LN(2)/25)*AA112+(1-EXP(-LN(2)/25))/(LN(2)/25)*Calculateur!V113*Calculateur!X113*VLOOKUP('Données projet'!$B$9,Paramètres!$A$1:$I$89,3,0)*0.475*44/12</f>
        <v>5.3307428382810897</v>
      </c>
      <c r="AB113" s="21">
        <f>EXP(-LN(2)/2)*AB112+(1-EXP(-LN(2)/2))/(LN(2)/2)*V113*Y113*VLOOKUP('Données projet'!$B$9,Paramètres!$A$1:$I$89,3,0)*0.475*44/12</f>
        <v>7.3795124100334174E-13</v>
      </c>
      <c r="AC113" s="22">
        <f t="shared" si="57"/>
        <v>81.840022380342873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689</v>
      </c>
      <c r="AJ113" s="13">
        <f>AI113*VLOOKUP('Données projet'!$B$10,Paramètres!$A$1:$I$89,3,0)*VLOOKUP('Données projet'!$B$10,Paramètres!$A$1:$I$89,5,0)</f>
        <v>412.02199999999999</v>
      </c>
      <c r="AK113" s="13">
        <f t="shared" si="89"/>
        <v>94.209724877926391</v>
      </c>
      <c r="AL113" s="20">
        <f t="shared" si="58"/>
        <v>881.686920829055</v>
      </c>
      <c r="AM113" s="59">
        <f t="shared" si="59"/>
        <v>1175.0202541623883</v>
      </c>
      <c r="AN113" s="59">
        <f ca="1">AVERAGE(OFFSET($AM$3,0,0,'Données projet'!$E$10+1,1))-AVERAGE(OFFSET($H$3,0,0,'Données projet'!$E$10+1,1))</f>
        <v>504.81063008331739</v>
      </c>
      <c r="AO113" s="59">
        <f t="shared" si="90"/>
        <v>441.82647565372287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54.02939439657527</v>
      </c>
      <c r="AV113" s="21">
        <f>EXP(-LN(2)/25)*AV112+(1-EXP(-LN(2)/25))/(LN(2)/25)*Calculateur!AQ113*Calculateur!AS113*VLOOKUP('Données projet'!$B$10,Paramètres!$A$1:$I$89,3,0)*0.475*44/12</f>
        <v>6.4071690034135527</v>
      </c>
      <c r="AW113" s="21">
        <f>EXP(-LN(2)/2)*AW112+(1-EXP(-LN(2)/2))/(LN(2)/2)*AQ113*AT113*VLOOKUP('Données projet'!$B$10,Paramètres!$A$1:$I$89,3,0)*0.475*44/12</f>
        <v>4.7625545690735351E-14</v>
      </c>
      <c r="AX113" s="21">
        <f t="shared" si="60"/>
        <v>60.43656339998887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266.99999999999983</v>
      </c>
      <c r="BE113" s="13">
        <f>BD113*VLOOKUP('Données projet'!$B$11,Paramètres!$A$1:$I$89,3,0)*VLOOKUP('Données projet'!$B$11,Paramètres!$A$1:$I$89,5,0)</f>
        <v>233.2511999999999</v>
      </c>
      <c r="BF113" s="13">
        <f t="shared" si="91"/>
        <v>56.985091661350864</v>
      </c>
      <c r="BG113" s="20">
        <f t="shared" si="61"/>
        <v>505.49487464351915</v>
      </c>
      <c r="BH113" s="59">
        <f t="shared" si="62"/>
        <v>798.82820797685247</v>
      </c>
      <c r="BI113" s="59">
        <f ca="1">AVERAGE(OFFSET($BH$3,0,0,'Données projet'!$E$11+1,1))-AVERAGE(OFFSET($H$3,0,0,'Données projet'!$E$11+1,1))</f>
        <v>324.86930206492627</v>
      </c>
      <c r="BJ113" s="59">
        <f t="shared" si="92"/>
        <v>317.03005098025352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26.299623362067646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26.299623362067646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332</v>
      </c>
      <c r="BW113" s="12">
        <f>VLOOKUP(A113,'Données projet'!$A$113:$I$133,9,0)</f>
        <v>5</v>
      </c>
      <c r="BX113" s="12">
        <f t="array" ref="BX113">INDEX(BW:BW,MIN(IF(ISNUMBER(BW113:BW309),ROW(BW113:BW309),"")))</f>
        <v>5</v>
      </c>
      <c r="BY113" s="12">
        <f>IF('Données projet'!$A$114&gt;35,BY112+BX113-CG112,IF(A113&lt;'Données projet'!$A$114,$BV$205^A113,IF(A113='Données projet'!$A$114,'Données projet'!$B$114,BY112+BX113-CG112)))</f>
        <v>331.99999999999989</v>
      </c>
      <c r="BZ113" s="13">
        <f>BY113*VLOOKUP('Données projet'!$B$12,Paramètres!$A$1:$I$89,3,0)*VLOOKUP('Données projet'!$B$12,Paramètres!$A$1:$I$89,5,0)</f>
        <v>336.64799999999991</v>
      </c>
      <c r="CA113" s="13">
        <f t="shared" si="93"/>
        <v>78.807003163010307</v>
      </c>
      <c r="CB113" s="20">
        <f t="shared" si="64"/>
        <v>723.58413050890942</v>
      </c>
      <c r="CC113" s="59">
        <f t="shared" si="65"/>
        <v>1016.9174638422428</v>
      </c>
      <c r="CD113" s="59">
        <f ca="1">AVERAGE(OFFSET($CC$3,0,0,'Données projet'!$E$12+1,1))-AVERAGE(OFFSET($H$3,0,0,'Données projet'!$E$12+1,1))</f>
        <v>487.18832528146936</v>
      </c>
      <c r="CE113" s="59">
        <f t="shared" si="94"/>
        <v>306.61893266146666</v>
      </c>
      <c r="CF113" s="15">
        <f>IF(ISNA(VLOOKUP(A113,'Données projet'!$A$113:$I$133,3,0)),0,VLOOKUP(A113,'Données projet'!$A$113:$I$133,3,0))</f>
        <v>19</v>
      </c>
      <c r="CG113" s="15">
        <f>IF(ISNA(VLOOKUP(A113,'Données projet'!$A$113:$I$133,4,0)),0,VLOOKUP(A113,'Données projet'!$A$113:$I$133,4,0))</f>
        <v>25</v>
      </c>
      <c r="CH113" s="16">
        <f>IF(ISNA(VLOOKUP(A113,'Données projet'!$A$113:$I$133,5,0)),0%,VLOOKUP(A113,'Données projet'!$A$113:$I$133,5,0)*VLOOKUP('Données projet'!$B$12,Paramètres!$A$1:$I$89,7,0))</f>
        <v>0.43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111.08227552188841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111.08227552188841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531.04</v>
      </c>
      <c r="CR113" s="12">
        <f>VLOOKUP(A113,'Données projet'!$A$139:$I$159,9,0)</f>
        <v>10.060000000000002</v>
      </c>
      <c r="CS113" s="12">
        <f t="array" ref="CS113">INDEX(CR:CR,MIN(IF(ISNUMBER(CR113:CR309),ROW(CR113:CR309),"")))</f>
        <v>10.060000000000002</v>
      </c>
      <c r="CT113" s="12">
        <f>IF('Données projet'!$A$140&gt;35,CT112+CS113-DB112,IF(A113&lt;'Données projet'!$A$140,$CQ$205^A113,IF(A113='Données projet'!$A$140,'Données projet'!$B$140,CT112+CS113-DB112)))</f>
        <v>531.03999999999951</v>
      </c>
      <c r="CU113" s="17">
        <f>CT113*VLOOKUP('Données projet'!$B$13,Paramètres!$A$1:$I$89,3,0)*VLOOKUP('Données projet'!$B$13,Paramètres!$A$1:$I$89,5,0)</f>
        <v>505.33766399999956</v>
      </c>
      <c r="CV113" s="13">
        <f t="shared" si="95"/>
        <v>112.83317973281368</v>
      </c>
      <c r="CW113" s="20">
        <f t="shared" si="67"/>
        <v>1076.6475528346496</v>
      </c>
      <c r="CX113" s="59">
        <f t="shared" si="68"/>
        <v>1369.9808861679828</v>
      </c>
      <c r="CY113" s="59">
        <f ca="1">AVERAGE(OFFSET($CX$3,0,0,'Données projet'!$E$13+1,1))-AVERAGE(OFFSET($H$3,0,0,'Données projet'!$E$13+1,1))</f>
        <v>733.95677909788878</v>
      </c>
      <c r="CZ113" s="59">
        <f t="shared" si="96"/>
        <v>264.63778997972378</v>
      </c>
      <c r="DA113" s="15">
        <f>IF(ISNA(VLOOKUP(A113,'Données projet'!$A$139:$I$159,3,0)),0,VLOOKUP(A113,'Données projet'!$A$139:$I$159,3,0))</f>
        <v>10</v>
      </c>
      <c r="DB113" s="15">
        <f>IF(ISNA(VLOOKUP(A113,'Données projet'!$A$139:$I$159,4,0)),0,VLOOKUP(A113,'Données projet'!$A$139:$I$159,4,0))</f>
        <v>67.22</v>
      </c>
      <c r="DC113" s="16">
        <f>IF(ISNA(VLOOKUP(A113,'Données projet'!$A$139:$I$159,5,0)),0%,VLOOKUP(A113,'Données projet'!$A$139:$I$159,5,0)*VLOOKUP('Données projet'!$B$13,Paramètres!$A$1:$I$89,7,0))</f>
        <v>0.43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153.66774874155905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153.66774874155905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853.00000000000011</v>
      </c>
      <c r="O114" s="13">
        <f>N114*VLOOKUP('Données projet'!$B$9,Paramètres!$A$1:$I$89,3,0)*VLOOKUP('Données projet'!$B$9,Paramètres!$A$1:$I$89,5,0)</f>
        <v>399.20400000000006</v>
      </c>
      <c r="P114" s="13">
        <f t="shared" si="87"/>
        <v>91.615269732888521</v>
      </c>
      <c r="Q114" s="20">
        <f t="shared" si="107"/>
        <v>854.8435614514475</v>
      </c>
      <c r="R114" s="59">
        <f t="shared" si="55"/>
        <v>1148.1768947847809</v>
      </c>
      <c r="S114" s="59">
        <f ca="1">AVERAGE(OFFSET($R$3,0,0,'Données projet'!$E$9+1,1))-AVERAGE(OFFSET($H$3,0,0,'Données projet'!$E$9+1,1))</f>
        <v>488.67934252295686</v>
      </c>
      <c r="T114" s="59">
        <f t="shared" si="88"/>
        <v>424.50324471331095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75.008979236293854</v>
      </c>
      <c r="AA114" s="21">
        <f>EXP(-LN(2)/25)*AA113+(1-EXP(-LN(2)/25))/(LN(2)/25)*Calculateur!V114*Calculateur!X114*VLOOKUP('Données projet'!$B$9,Paramètres!$A$1:$I$89,3,0)*0.475*44/12</f>
        <v>5.1849733950367112</v>
      </c>
      <c r="AB114" s="21">
        <f>EXP(-LN(2)/2)*AB113+(1-EXP(-LN(2)/2))/(LN(2)/2)*V114*Y114*VLOOKUP('Données projet'!$B$9,Paramètres!$A$1:$I$89,3,0)*0.475*44/12</f>
        <v>5.2181032669849115E-13</v>
      </c>
      <c r="AC114" s="22">
        <f t="shared" si="57"/>
        <v>80.193952631331086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689</v>
      </c>
      <c r="AJ114" s="13">
        <f>AI114*VLOOKUP('Données projet'!$B$10,Paramètres!$A$1:$I$89,3,0)*VLOOKUP('Données projet'!$B$10,Paramètres!$A$1:$I$89,5,0)</f>
        <v>412.02199999999999</v>
      </c>
      <c r="AK114" s="13">
        <f t="shared" si="89"/>
        <v>94.209724877926391</v>
      </c>
      <c r="AL114" s="20">
        <f t="shared" si="58"/>
        <v>881.686920829055</v>
      </c>
      <c r="AM114" s="59">
        <f t="shared" si="59"/>
        <v>1175.0202541623883</v>
      </c>
      <c r="AN114" s="59">
        <f ca="1">AVERAGE(OFFSET($AM$3,0,0,'Données projet'!$E$10+1,1))-AVERAGE(OFFSET($H$3,0,0,'Données projet'!$E$10+1,1))</f>
        <v>504.81063008331739</v>
      </c>
      <c r="AO114" s="59">
        <f t="shared" si="90"/>
        <v>441.82647565372287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52.969910927135004</v>
      </c>
      <c r="AV114" s="21">
        <f>EXP(-LN(2)/25)*AV113+(1-EXP(-LN(2)/25))/(LN(2)/25)*Calculateur!AQ114*Calculateur!AS114*VLOOKUP('Données projet'!$B$10,Paramètres!$A$1:$I$89,3,0)*0.475*44/12</f>
        <v>6.2319646300768348</v>
      </c>
      <c r="AW114" s="21">
        <f>EXP(-LN(2)/2)*AW113+(1-EXP(-LN(2)/2))/(LN(2)/2)*AQ114*AT114*VLOOKUP('Données projet'!$B$10,Paramètres!$A$1:$I$89,3,0)*0.475*44/12</f>
        <v>3.3676346315628723E-14</v>
      </c>
      <c r="AX114" s="21">
        <f t="shared" si="60"/>
        <v>59.201875557211871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266.99999999999983</v>
      </c>
      <c r="BE114" s="13">
        <f>BD114*VLOOKUP('Données projet'!$B$11,Paramètres!$A$1:$I$89,3,0)*VLOOKUP('Données projet'!$B$11,Paramètres!$A$1:$I$89,5,0)</f>
        <v>233.2511999999999</v>
      </c>
      <c r="BF114" s="13">
        <f t="shared" si="91"/>
        <v>56.985091661350864</v>
      </c>
      <c r="BG114" s="20">
        <f t="shared" si="61"/>
        <v>505.49487464351915</v>
      </c>
      <c r="BH114" s="59">
        <f t="shared" si="62"/>
        <v>798.82820797685247</v>
      </c>
      <c r="BI114" s="59">
        <f ca="1">AVERAGE(OFFSET($BH$3,0,0,'Données projet'!$E$11+1,1))-AVERAGE(OFFSET($H$3,0,0,'Données projet'!$E$11+1,1))</f>
        <v>324.86930206492627</v>
      </c>
      <c r="BJ114" s="59">
        <f t="shared" si="92"/>
        <v>317.03005098025352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25.783903789123816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25.783903789123816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4.8</v>
      </c>
      <c r="BY114" s="12">
        <f>IF('Données projet'!$A$114&gt;35,BY113+BX114-CG113,IF(A114&lt;'Données projet'!$A$114,$BV$205^A114,IF(A114='Données projet'!$A$114,'Données projet'!$B$114,BY113+BX114-CG113)))</f>
        <v>311.7999999999999</v>
      </c>
      <c r="BZ114" s="13">
        <f>BY114*VLOOKUP('Données projet'!$B$12,Paramètres!$A$1:$I$89,3,0)*VLOOKUP('Données projet'!$B$12,Paramètres!$A$1:$I$89,5,0)</f>
        <v>316.16519999999991</v>
      </c>
      <c r="CA114" s="13">
        <f t="shared" si="93"/>
        <v>74.554889944758472</v>
      </c>
      <c r="CB114" s="20">
        <f t="shared" si="64"/>
        <v>680.50415665378762</v>
      </c>
      <c r="CC114" s="59">
        <f t="shared" si="65"/>
        <v>973.83748998712099</v>
      </c>
      <c r="CD114" s="59">
        <f ca="1">AVERAGE(OFFSET($CC$3,0,0,'Données projet'!$E$12+1,1))-AVERAGE(OFFSET($H$3,0,0,'Données projet'!$E$12+1,1))</f>
        <v>487.18832528146936</v>
      </c>
      <c r="CE114" s="59">
        <f t="shared" si="94"/>
        <v>306.61893266146666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108.90401985240214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108.90401985240214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10.118000000000006</v>
      </c>
      <c r="CT114" s="12">
        <f>IF('Données projet'!$A$140&gt;35,CT113+CS114-DB113,IF(A114&lt;'Données projet'!$A$140,$CQ$205^A114,IF(A114='Données projet'!$A$140,'Données projet'!$B$140,CT113+CS114-DB113)))</f>
        <v>473.93799999999953</v>
      </c>
      <c r="CU114" s="17">
        <f>CT114*VLOOKUP('Données projet'!$B$13,Paramètres!$A$1:$I$89,3,0)*VLOOKUP('Données projet'!$B$13,Paramètres!$A$1:$I$89,5,0)</f>
        <v>450.99940079999953</v>
      </c>
      <c r="CV114" s="13">
        <f t="shared" si="95"/>
        <v>102.04270143827719</v>
      </c>
      <c r="CW114" s="20">
        <f t="shared" si="67"/>
        <v>963.21499473166512</v>
      </c>
      <c r="CX114" s="59">
        <f t="shared" si="68"/>
        <v>1256.5483280649985</v>
      </c>
      <c r="CY114" s="59">
        <f ca="1">AVERAGE(OFFSET($CX$3,0,0,'Données projet'!$E$13+1,1))-AVERAGE(OFFSET($H$3,0,0,'Données projet'!$E$13+1,1))</f>
        <v>733.95677909788878</v>
      </c>
      <c r="CZ114" s="59">
        <f t="shared" si="96"/>
        <v>264.63778997972378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150.65441791680894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150.65441791680894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853.00000000000011</v>
      </c>
      <c r="O115" s="13">
        <f>N115*VLOOKUP('Données projet'!$B$9,Paramètres!$A$1:$I$89,3,0)*VLOOKUP('Données projet'!$B$9,Paramètres!$A$1:$I$89,5,0)</f>
        <v>399.20400000000006</v>
      </c>
      <c r="P115" s="13">
        <f t="shared" si="87"/>
        <v>91.615269732888521</v>
      </c>
      <c r="Q115" s="20">
        <f t="shared" si="107"/>
        <v>854.8435614514475</v>
      </c>
      <c r="R115" s="59">
        <f t="shared" si="55"/>
        <v>1148.1768947847809</v>
      </c>
      <c r="S115" s="59">
        <f ca="1">AVERAGE(OFFSET($R$3,0,0,'Données projet'!$E$9+1,1))-AVERAGE(OFFSET($H$3,0,0,'Données projet'!$E$9+1,1))</f>
        <v>488.67934252295686</v>
      </c>
      <c r="T115" s="59">
        <f t="shared" si="88"/>
        <v>424.50324471331095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73.53809890442993</v>
      </c>
      <c r="AA115" s="21">
        <f>EXP(-LN(2)/25)*AA114+(1-EXP(-LN(2)/25))/(LN(2)/25)*Calculateur!V115*Calculateur!X115*VLOOKUP('Données projet'!$B$9,Paramètres!$A$1:$I$89,3,0)*0.475*44/12</f>
        <v>5.0431900248835317</v>
      </c>
      <c r="AB115" s="21">
        <f>EXP(-LN(2)/2)*AB114+(1-EXP(-LN(2)/2))/(LN(2)/2)*V115*Y115*VLOOKUP('Données projet'!$B$9,Paramètres!$A$1:$I$89,3,0)*0.475*44/12</f>
        <v>3.6897562050167087E-13</v>
      </c>
      <c r="AC115" s="22">
        <f t="shared" si="57"/>
        <v>78.581288929313828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689</v>
      </c>
      <c r="AJ115" s="13">
        <f>AI115*VLOOKUP('Données projet'!$B$10,Paramètres!$A$1:$I$89,3,0)*VLOOKUP('Données projet'!$B$10,Paramètres!$A$1:$I$89,5,0)</f>
        <v>412.02199999999999</v>
      </c>
      <c r="AK115" s="13">
        <f t="shared" si="89"/>
        <v>94.209724877926391</v>
      </c>
      <c r="AL115" s="20">
        <f t="shared" si="58"/>
        <v>881.686920829055</v>
      </c>
      <c r="AM115" s="59">
        <f t="shared" si="59"/>
        <v>1175.0202541623883</v>
      </c>
      <c r="AN115" s="59">
        <f ca="1">AVERAGE(OFFSET($AM$3,0,0,'Données projet'!$E$10+1,1))-AVERAGE(OFFSET($H$3,0,0,'Données projet'!$E$10+1,1))</f>
        <v>504.81063008331739</v>
      </c>
      <c r="AO115" s="59">
        <f t="shared" si="90"/>
        <v>441.82647565372287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51.931203282309355</v>
      </c>
      <c r="AV115" s="21">
        <f>EXP(-LN(2)/25)*AV114+(1-EXP(-LN(2)/25))/(LN(2)/25)*Calculateur!AQ115*Calculateur!AS115*VLOOKUP('Données projet'!$B$10,Paramètres!$A$1:$I$89,3,0)*0.475*44/12</f>
        <v>6.0615512295426068</v>
      </c>
      <c r="AW115" s="21">
        <f>EXP(-LN(2)/2)*AW114+(1-EXP(-LN(2)/2))/(LN(2)/2)*AQ115*AT115*VLOOKUP('Données projet'!$B$10,Paramètres!$A$1:$I$89,3,0)*0.475*44/12</f>
        <v>2.3812772845367676E-14</v>
      </c>
      <c r="AX115" s="21">
        <f t="shared" si="60"/>
        <v>57.992754511851984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266.99999999999983</v>
      </c>
      <c r="BE115" s="13">
        <f>BD115*VLOOKUP('Données projet'!$B$11,Paramètres!$A$1:$I$89,3,0)*VLOOKUP('Données projet'!$B$11,Paramètres!$A$1:$I$89,5,0)</f>
        <v>233.2511999999999</v>
      </c>
      <c r="BF115" s="13">
        <f t="shared" si="91"/>
        <v>56.985091661350864</v>
      </c>
      <c r="BG115" s="20">
        <f t="shared" si="61"/>
        <v>505.49487464351915</v>
      </c>
      <c r="BH115" s="59">
        <f t="shared" si="62"/>
        <v>798.82820797685247</v>
      </c>
      <c r="BI115" s="59">
        <f ca="1">AVERAGE(OFFSET($BH$3,0,0,'Données projet'!$E$11+1,1))-AVERAGE(OFFSET($H$3,0,0,'Données projet'!$E$11+1,1))</f>
        <v>324.86930206492627</v>
      </c>
      <c r="BJ115" s="59">
        <f t="shared" si="92"/>
        <v>317.03005098025352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25.278297162447533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25.278297162447533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4.8</v>
      </c>
      <c r="BY115" s="12">
        <f>IF('Données projet'!$A$114&gt;35,BY114+BX115-CG114,IF(A115&lt;'Données projet'!$A$114,$BV$205^A115,IF(A115='Données projet'!$A$114,'Données projet'!$B$114,BY114+BX115-CG114)))</f>
        <v>316.59999999999991</v>
      </c>
      <c r="BZ115" s="13">
        <f>BY115*VLOOKUP('Données projet'!$B$12,Paramètres!$A$1:$I$89,3,0)*VLOOKUP('Données projet'!$B$12,Paramètres!$A$1:$I$89,5,0)</f>
        <v>321.03239999999988</v>
      </c>
      <c r="CA115" s="13">
        <f t="shared" si="93"/>
        <v>75.568124274523356</v>
      </c>
      <c r="CB115" s="20">
        <f t="shared" si="64"/>
        <v>690.74591311146139</v>
      </c>
      <c r="CC115" s="59">
        <f t="shared" si="65"/>
        <v>984.07924644479476</v>
      </c>
      <c r="CD115" s="59">
        <f ca="1">AVERAGE(OFFSET($CC$3,0,0,'Données projet'!$E$12+1,1))-AVERAGE(OFFSET($H$3,0,0,'Données projet'!$E$12+1,1))</f>
        <v>487.18832528146936</v>
      </c>
      <c r="CE115" s="59">
        <f t="shared" si="94"/>
        <v>306.61893266146666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106.76847844798974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106.76847844798974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10.118000000000006</v>
      </c>
      <c r="CT115" s="12">
        <f>IF('Données projet'!$A$140&gt;35,CT114+CS115-DB114,IF(A115&lt;'Données projet'!$A$140,$CQ$205^A115,IF(A115='Données projet'!$A$140,'Données projet'!$B$140,CT114+CS115-DB114)))</f>
        <v>484.05599999999953</v>
      </c>
      <c r="CU115" s="17">
        <f>CT115*VLOOKUP('Données projet'!$B$13,Paramètres!$A$1:$I$89,3,0)*VLOOKUP('Données projet'!$B$13,Paramètres!$A$1:$I$89,5,0)</f>
        <v>460.62768959999954</v>
      </c>
      <c r="CV115" s="13">
        <f t="shared" si="95"/>
        <v>103.96524016406698</v>
      </c>
      <c r="CW115" s="20">
        <f t="shared" si="67"/>
        <v>983.33268600574911</v>
      </c>
      <c r="CX115" s="59">
        <f t="shared" si="68"/>
        <v>1276.6660193390824</v>
      </c>
      <c r="CY115" s="59">
        <f ca="1">AVERAGE(OFFSET($CX$3,0,0,'Données projet'!$E$13+1,1))-AVERAGE(OFFSET($H$3,0,0,'Données projet'!$E$13+1,1))</f>
        <v>733.95677909788878</v>
      </c>
      <c r="CZ115" s="59">
        <f t="shared" si="96"/>
        <v>264.63778997972378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147.70017667158186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147.70017667158186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853.00000000000011</v>
      </c>
      <c r="O116" s="13">
        <f>N116*VLOOKUP('Données projet'!$B$9,Paramètres!$A$1:$I$89,3,0)*VLOOKUP('Données projet'!$B$9,Paramètres!$A$1:$I$89,5,0)</f>
        <v>399.20400000000006</v>
      </c>
      <c r="P116" s="13">
        <f t="shared" si="87"/>
        <v>91.615269732888521</v>
      </c>
      <c r="Q116" s="20">
        <f t="shared" si="107"/>
        <v>854.8435614514475</v>
      </c>
      <c r="R116" s="59">
        <f t="shared" si="55"/>
        <v>1148.1768947847809</v>
      </c>
      <c r="S116" s="59">
        <f ca="1">AVERAGE(OFFSET($R$3,0,0,'Données projet'!$E$9+1,1))-AVERAGE(OFFSET($H$3,0,0,'Données projet'!$E$9+1,1))</f>
        <v>488.67934252295686</v>
      </c>
      <c r="T116" s="59">
        <f t="shared" si="88"/>
        <v>424.50324471331095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72.096061638725445</v>
      </c>
      <c r="AA116" s="21">
        <f>EXP(-LN(2)/25)*AA115+(1-EXP(-LN(2)/25))/(LN(2)/25)*Calculateur!V116*Calculateur!X116*VLOOKUP('Données projet'!$B$9,Paramètres!$A$1:$I$89,3,0)*0.475*44/12</f>
        <v>4.9052837284432549</v>
      </c>
      <c r="AB116" s="21">
        <f>EXP(-LN(2)/2)*AB115+(1-EXP(-LN(2)/2))/(LN(2)/2)*V116*Y116*VLOOKUP('Données projet'!$B$9,Paramètres!$A$1:$I$89,3,0)*0.475*44/12</f>
        <v>2.6090516334924558E-13</v>
      </c>
      <c r="AC116" s="22">
        <f t="shared" si="57"/>
        <v>77.001345367168952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689</v>
      </c>
      <c r="AJ116" s="13">
        <f>AI116*VLOOKUP('Données projet'!$B$10,Paramètres!$A$1:$I$89,3,0)*VLOOKUP('Données projet'!$B$10,Paramètres!$A$1:$I$89,5,0)</f>
        <v>412.02199999999999</v>
      </c>
      <c r="AK116" s="13">
        <f t="shared" si="89"/>
        <v>94.209724877926391</v>
      </c>
      <c r="AL116" s="20">
        <f t="shared" si="58"/>
        <v>881.686920829055</v>
      </c>
      <c r="AM116" s="59">
        <f t="shared" si="59"/>
        <v>1175.0202541623883</v>
      </c>
      <c r="AN116" s="59">
        <f ca="1">AVERAGE(OFFSET($AM$3,0,0,'Données projet'!$E$10+1,1))-AVERAGE(OFFSET($H$3,0,0,'Données projet'!$E$10+1,1))</f>
        <v>504.81063008331739</v>
      </c>
      <c r="AO116" s="59">
        <f t="shared" si="90"/>
        <v>441.82647565372287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50.912864060849635</v>
      </c>
      <c r="AV116" s="21">
        <f>EXP(-LN(2)/25)*AV115+(1-EXP(-LN(2)/25))/(LN(2)/25)*Calculateur!AQ116*Calculateur!AS116*VLOOKUP('Données projet'!$B$10,Paramètres!$A$1:$I$89,3,0)*0.475*44/12</f>
        <v>5.895797792407639</v>
      </c>
      <c r="AW116" s="21">
        <f>EXP(-LN(2)/2)*AW115+(1-EXP(-LN(2)/2))/(LN(2)/2)*AQ116*AT116*VLOOKUP('Données projet'!$B$10,Paramètres!$A$1:$I$89,3,0)*0.475*44/12</f>
        <v>1.6838173157814361E-14</v>
      </c>
      <c r="AX116" s="21">
        <f t="shared" si="60"/>
        <v>56.808661853257291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266.99999999999983</v>
      </c>
      <c r="BE116" s="13">
        <f>BD116*VLOOKUP('Données projet'!$B$11,Paramètres!$A$1:$I$89,3,0)*VLOOKUP('Données projet'!$B$11,Paramètres!$A$1:$I$89,5,0)</f>
        <v>233.2511999999999</v>
      </c>
      <c r="BF116" s="13">
        <f t="shared" si="91"/>
        <v>56.985091661350864</v>
      </c>
      <c r="BG116" s="20">
        <f t="shared" si="61"/>
        <v>505.49487464351915</v>
      </c>
      <c r="BH116" s="59">
        <f t="shared" si="62"/>
        <v>798.82820797685247</v>
      </c>
      <c r="BI116" s="59">
        <f ca="1">AVERAGE(OFFSET($BH$3,0,0,'Données projet'!$E$11+1,1))-AVERAGE(OFFSET($H$3,0,0,'Données projet'!$E$11+1,1))</f>
        <v>324.86930206492627</v>
      </c>
      <c r="BJ116" s="59">
        <f t="shared" si="92"/>
        <v>317.03005098025352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24.782605173330783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24.782605173330783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4.8</v>
      </c>
      <c r="BY116" s="12">
        <f>IF('Données projet'!$A$114&gt;35,BY115+BX116-CG115,IF(A116&lt;'Données projet'!$A$114,$BV$205^A116,IF(A116='Données projet'!$A$114,'Données projet'!$B$114,BY115+BX116-CG115)))</f>
        <v>321.39999999999992</v>
      </c>
      <c r="BZ116" s="13">
        <f>BY116*VLOOKUP('Données projet'!$B$12,Paramètres!$A$1:$I$89,3,0)*VLOOKUP('Données projet'!$B$12,Paramètres!$A$1:$I$89,5,0)</f>
        <v>325.89959999999996</v>
      </c>
      <c r="CA116" s="13">
        <f t="shared" si="93"/>
        <v>76.579572003009503</v>
      </c>
      <c r="CB116" s="20">
        <f t="shared" si="64"/>
        <v>700.98455790524133</v>
      </c>
      <c r="CC116" s="59">
        <f t="shared" si="65"/>
        <v>994.3178912385747</v>
      </c>
      <c r="CD116" s="59">
        <f ca="1">AVERAGE(OFFSET($CC$3,0,0,'Données projet'!$E$12+1,1))-AVERAGE(OFFSET($H$3,0,0,'Données projet'!$E$12+1,1))</f>
        <v>487.18832528146936</v>
      </c>
      <c r="CE116" s="59">
        <f t="shared" si="94"/>
        <v>306.61893266146666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104.67481370796621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104.67481370796621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10.118000000000006</v>
      </c>
      <c r="CT116" s="12">
        <f>IF('Données projet'!$A$140&gt;35,CT115+CS116-DB115,IF(A116&lt;'Données projet'!$A$140,$CQ$205^A116,IF(A116='Données projet'!$A$140,'Données projet'!$B$140,CT115+CS116-DB115)))</f>
        <v>494.17399999999952</v>
      </c>
      <c r="CU116" s="17">
        <f>CT116*VLOOKUP('Données projet'!$B$13,Paramètres!$A$1:$I$89,3,0)*VLOOKUP('Données projet'!$B$13,Paramètres!$A$1:$I$89,5,0)</f>
        <v>470.25597839999961</v>
      </c>
      <c r="CV116" s="13">
        <f t="shared" si="95"/>
        <v>105.88310657232535</v>
      </c>
      <c r="CW116" s="20">
        <f t="shared" si="67"/>
        <v>1003.4422396601326</v>
      </c>
      <c r="CX116" s="59">
        <f t="shared" si="68"/>
        <v>1296.7755729934659</v>
      </c>
      <c r="CY116" s="59">
        <f ca="1">AVERAGE(OFFSET($CX$3,0,0,'Données projet'!$E$13+1,1))-AVERAGE(OFFSET($H$3,0,0,'Données projet'!$E$13+1,1))</f>
        <v>733.95677909788878</v>
      </c>
      <c r="CZ116" s="59">
        <f t="shared" si="96"/>
        <v>264.63778997972378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144.80386629526444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144.80386629526444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853.00000000000011</v>
      </c>
      <c r="O117" s="13">
        <f>N117*VLOOKUP('Données projet'!$B$9,Paramètres!$A$1:$I$89,3,0)*VLOOKUP('Données projet'!$B$9,Paramètres!$A$1:$I$89,5,0)</f>
        <v>399.20400000000006</v>
      </c>
      <c r="P117" s="13">
        <f t="shared" si="87"/>
        <v>91.615269732888521</v>
      </c>
      <c r="Q117" s="20">
        <f t="shared" si="107"/>
        <v>854.8435614514475</v>
      </c>
      <c r="R117" s="59">
        <f t="shared" si="55"/>
        <v>1148.1768947847809</v>
      </c>
      <c r="S117" s="59">
        <f ca="1">AVERAGE(OFFSET($R$3,0,0,'Données projet'!$E$9+1,1))-AVERAGE(OFFSET($H$3,0,0,'Données projet'!$E$9+1,1))</f>
        <v>488.67934252295686</v>
      </c>
      <c r="T117" s="59">
        <f t="shared" si="88"/>
        <v>424.50324471331095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70.682301844245544</v>
      </c>
      <c r="AA117" s="21">
        <f>EXP(-LN(2)/25)*AA116+(1-EXP(-LN(2)/25))/(LN(2)/25)*Calculateur!V117*Calculateur!X117*VLOOKUP('Données projet'!$B$9,Paramètres!$A$1:$I$89,3,0)*0.475*44/12</f>
        <v>4.7711484869313141</v>
      </c>
      <c r="AB117" s="21">
        <f>EXP(-LN(2)/2)*AB116+(1-EXP(-LN(2)/2))/(LN(2)/2)*V117*Y117*VLOOKUP('Données projet'!$B$9,Paramètres!$A$1:$I$89,3,0)*0.475*44/12</f>
        <v>1.8448781025083543E-13</v>
      </c>
      <c r="AC117" s="22">
        <f t="shared" si="57"/>
        <v>75.453450331177038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689</v>
      </c>
      <c r="AJ117" s="13">
        <f>AI117*VLOOKUP('Données projet'!$B$10,Paramètres!$A$1:$I$89,3,0)*VLOOKUP('Données projet'!$B$10,Paramètres!$A$1:$I$89,5,0)</f>
        <v>412.02199999999999</v>
      </c>
      <c r="AK117" s="13">
        <f t="shared" si="89"/>
        <v>94.209724877926391</v>
      </c>
      <c r="AL117" s="20">
        <f t="shared" si="58"/>
        <v>881.686920829055</v>
      </c>
      <c r="AM117" s="59">
        <f t="shared" si="59"/>
        <v>1175.0202541623883</v>
      </c>
      <c r="AN117" s="59">
        <f ca="1">AVERAGE(OFFSET($AM$3,0,0,'Données projet'!$E$10+1,1))-AVERAGE(OFFSET($H$3,0,0,'Données projet'!$E$10+1,1))</f>
        <v>504.81063008331739</v>
      </c>
      <c r="AO117" s="59">
        <f t="shared" si="90"/>
        <v>441.82647565372287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49.914493850397143</v>
      </c>
      <c r="AV117" s="21">
        <f>EXP(-LN(2)/25)*AV116+(1-EXP(-LN(2)/25))/(LN(2)/25)*Calculateur!AQ117*Calculateur!AS117*VLOOKUP('Données projet'!$B$10,Paramètres!$A$1:$I$89,3,0)*0.475*44/12</f>
        <v>5.7345768917277216</v>
      </c>
      <c r="AW117" s="21">
        <f>EXP(-LN(2)/2)*AW116+(1-EXP(-LN(2)/2))/(LN(2)/2)*AQ117*AT117*VLOOKUP('Données projet'!$B$10,Paramètres!$A$1:$I$89,3,0)*0.475*44/12</f>
        <v>1.1906386422683838E-14</v>
      </c>
      <c r="AX117" s="21">
        <f t="shared" si="60"/>
        <v>55.649070742124877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266.99999999999983</v>
      </c>
      <c r="BE117" s="13">
        <f>BD117*VLOOKUP('Données projet'!$B$11,Paramètres!$A$1:$I$89,3,0)*VLOOKUP('Données projet'!$B$11,Paramètres!$A$1:$I$89,5,0)</f>
        <v>233.2511999999999</v>
      </c>
      <c r="BF117" s="13">
        <f t="shared" si="91"/>
        <v>56.985091661350864</v>
      </c>
      <c r="BG117" s="20">
        <f t="shared" si="61"/>
        <v>505.49487464351915</v>
      </c>
      <c r="BH117" s="59">
        <f t="shared" si="62"/>
        <v>798.82820797685247</v>
      </c>
      <c r="BI117" s="59">
        <f ca="1">AVERAGE(OFFSET($BH$3,0,0,'Données projet'!$E$11+1,1))-AVERAGE(OFFSET($H$3,0,0,'Données projet'!$E$11+1,1))</f>
        <v>324.86930206492627</v>
      </c>
      <c r="BJ117" s="59">
        <f t="shared" si="92"/>
        <v>317.03005098025352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24.296633401778351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24.296633401778351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4.8</v>
      </c>
      <c r="BY117" s="12">
        <f>IF('Données projet'!$A$114&gt;35,BY116+BX117-CG116,IF(A117&lt;'Données projet'!$A$114,$BV$205^A117,IF(A117='Données projet'!$A$114,'Données projet'!$B$114,BY116+BX117-CG116)))</f>
        <v>326.19999999999993</v>
      </c>
      <c r="BZ117" s="13">
        <f>BY117*VLOOKUP('Données projet'!$B$12,Paramètres!$A$1:$I$89,3,0)*VLOOKUP('Données projet'!$B$12,Paramètres!$A$1:$I$89,5,0)</f>
        <v>330.76679999999999</v>
      </c>
      <c r="CA117" s="13">
        <f t="shared" si="93"/>
        <v>77.589262894669872</v>
      </c>
      <c r="CB117" s="20">
        <f t="shared" si="64"/>
        <v>711.22014287488344</v>
      </c>
      <c r="CC117" s="59">
        <f t="shared" si="65"/>
        <v>1004.5534762082168</v>
      </c>
      <c r="CD117" s="59">
        <f ca="1">AVERAGE(OFFSET($CC$3,0,0,'Données projet'!$E$12+1,1))-AVERAGE(OFFSET($H$3,0,0,'Données projet'!$E$12+1,1))</f>
        <v>487.18832528146936</v>
      </c>
      <c r="CE117" s="59">
        <f t="shared" si="94"/>
        <v>306.61893266146666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102.62220445648515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102.62220445648515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10.118000000000006</v>
      </c>
      <c r="CT117" s="12">
        <f>IF('Données projet'!$A$140&gt;35,CT116+CS117-DB116,IF(A117&lt;'Données projet'!$A$140,$CQ$205^A117,IF(A117='Données projet'!$A$140,'Données projet'!$B$140,CT116+CS117-DB116)))</f>
        <v>504.29199999999952</v>
      </c>
      <c r="CU117" s="17">
        <f>CT117*VLOOKUP('Données projet'!$B$13,Paramètres!$A$1:$I$89,3,0)*VLOOKUP('Données projet'!$B$13,Paramètres!$A$1:$I$89,5,0)</f>
        <v>479.88426719999956</v>
      </c>
      <c r="CV117" s="13">
        <f t="shared" si="95"/>
        <v>107.79640734988138</v>
      </c>
      <c r="CW117" s="20">
        <f t="shared" si="67"/>
        <v>1023.5438415077092</v>
      </c>
      <c r="CX117" s="59">
        <f t="shared" si="68"/>
        <v>1316.8771748410425</v>
      </c>
      <c r="CY117" s="59">
        <f ca="1">AVERAGE(OFFSET($CX$3,0,0,'Données projet'!$E$13+1,1))-AVERAGE(OFFSET($H$3,0,0,'Données projet'!$E$13+1,1))</f>
        <v>733.95677909788878</v>
      </c>
      <c r="CZ117" s="59">
        <f t="shared" si="96"/>
        <v>264.63778997972378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141.96435079885171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141.96435079885171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853.00000000000011</v>
      </c>
      <c r="O118" s="13">
        <f>N118*VLOOKUP('Données projet'!$B$9,Paramètres!$A$1:$I$89,3,0)*VLOOKUP('Données projet'!$B$9,Paramètres!$A$1:$I$89,5,0)</f>
        <v>399.20400000000006</v>
      </c>
      <c r="P118" s="13">
        <f t="shared" si="87"/>
        <v>91.615269732888521</v>
      </c>
      <c r="Q118" s="20">
        <f t="shared" si="107"/>
        <v>854.8435614514475</v>
      </c>
      <c r="R118" s="59">
        <f t="shared" si="55"/>
        <v>1148.1768947847809</v>
      </c>
      <c r="S118" s="59">
        <f ca="1">AVERAGE(OFFSET($R$3,0,0,'Données projet'!$E$9+1,1))-AVERAGE(OFFSET($H$3,0,0,'Données projet'!$E$9+1,1))</f>
        <v>488.67934252295686</v>
      </c>
      <c r="T118" s="59">
        <f t="shared" si="88"/>
        <v>424.50324471331095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69.296265017027068</v>
      </c>
      <c r="AA118" s="21">
        <f>EXP(-LN(2)/25)*AA117+(1-EXP(-LN(2)/25))/(LN(2)/25)*Calculateur!V118*Calculateur!X118*VLOOKUP('Données projet'!$B$9,Paramètres!$A$1:$I$89,3,0)*0.475*44/12</f>
        <v>4.6406811806523827</v>
      </c>
      <c r="AB118" s="21">
        <f>EXP(-LN(2)/2)*AB117+(1-EXP(-LN(2)/2))/(LN(2)/2)*V118*Y118*VLOOKUP('Données projet'!$B$9,Paramètres!$A$1:$I$89,3,0)*0.475*44/12</f>
        <v>1.3045258167462279E-13</v>
      </c>
      <c r="AC118" s="22">
        <f t="shared" si="57"/>
        <v>73.936946197679575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689</v>
      </c>
      <c r="AJ118" s="13">
        <f>AI118*VLOOKUP('Données projet'!$B$10,Paramètres!$A$1:$I$89,3,0)*VLOOKUP('Données projet'!$B$10,Paramètres!$A$1:$I$89,5,0)</f>
        <v>412.02199999999999</v>
      </c>
      <c r="AK118" s="13">
        <f t="shared" si="89"/>
        <v>94.209724877926391</v>
      </c>
      <c r="AL118" s="20">
        <f t="shared" si="58"/>
        <v>881.686920829055</v>
      </c>
      <c r="AM118" s="59">
        <f t="shared" si="59"/>
        <v>1175.0202541623883</v>
      </c>
      <c r="AN118" s="59">
        <f ca="1">AVERAGE(OFFSET($AM$3,0,0,'Données projet'!$E$10+1,1))-AVERAGE(OFFSET($H$3,0,0,'Données projet'!$E$10+1,1))</f>
        <v>504.81063008331739</v>
      </c>
      <c r="AO118" s="59">
        <f t="shared" si="90"/>
        <v>441.82647565372287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48.935701070825928</v>
      </c>
      <c r="AV118" s="21">
        <f>EXP(-LN(2)/25)*AV117+(1-EXP(-LN(2)/25))/(LN(2)/25)*Calculateur!AQ118*Calculateur!AS118*VLOOKUP('Données projet'!$B$10,Paramètres!$A$1:$I$89,3,0)*0.475*44/12</f>
        <v>5.5777645850551352</v>
      </c>
      <c r="AW118" s="21">
        <f>EXP(-LN(2)/2)*AW117+(1-EXP(-LN(2)/2))/(LN(2)/2)*AQ118*AT118*VLOOKUP('Données projet'!$B$10,Paramètres!$A$1:$I$89,3,0)*0.475*44/12</f>
        <v>8.4190865789071807E-15</v>
      </c>
      <c r="AX118" s="21">
        <f t="shared" si="60"/>
        <v>54.51346565588107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266.99999999999983</v>
      </c>
      <c r="BE118" s="13">
        <f>BD118*VLOOKUP('Données projet'!$B$11,Paramètres!$A$1:$I$89,3,0)*VLOOKUP('Données projet'!$B$11,Paramètres!$A$1:$I$89,5,0)</f>
        <v>233.2511999999999</v>
      </c>
      <c r="BF118" s="13">
        <f t="shared" si="91"/>
        <v>56.985091661350864</v>
      </c>
      <c r="BG118" s="20">
        <f t="shared" si="61"/>
        <v>505.49487464351915</v>
      </c>
      <c r="BH118" s="59">
        <f t="shared" si="62"/>
        <v>798.82820797685247</v>
      </c>
      <c r="BI118" s="59">
        <f ca="1">AVERAGE(OFFSET($BH$3,0,0,'Données projet'!$E$11+1,1))-AVERAGE(OFFSET($H$3,0,0,'Données projet'!$E$11+1,1))</f>
        <v>324.86930206492627</v>
      </c>
      <c r="BJ118" s="59">
        <f t="shared" si="92"/>
        <v>317.03005098025352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23.820191240252552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23.820191240252552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331</v>
      </c>
      <c r="BW118" s="12">
        <f>VLOOKUP(A118,'Données projet'!$A$113:$I$133,9,0)</f>
        <v>4.8</v>
      </c>
      <c r="BX118" s="12">
        <f t="array" ref="BX118">INDEX(BW:BW,MIN(IF(ISNUMBER(BW118:BW314),ROW(BW118:BW314),"")))</f>
        <v>4.8</v>
      </c>
      <c r="BY118" s="12">
        <f>IF('Données projet'!$A$114&gt;35,BY117+BX118-CG117,IF(A118&lt;'Données projet'!$A$114,$BV$205^A118,IF(A118='Données projet'!$A$114,'Données projet'!$B$114,BY117+BX118-CG117)))</f>
        <v>330.99999999999994</v>
      </c>
      <c r="BZ118" s="13">
        <f>BY118*VLOOKUP('Données projet'!$B$12,Paramètres!$A$1:$I$89,3,0)*VLOOKUP('Données projet'!$B$12,Paramètres!$A$1:$I$89,5,0)</f>
        <v>335.63399999999996</v>
      </c>
      <c r="CA118" s="13">
        <f t="shared" si="93"/>
        <v>78.597225787708638</v>
      </c>
      <c r="CB118" s="20">
        <f t="shared" si="64"/>
        <v>721.45271824692588</v>
      </c>
      <c r="CC118" s="59">
        <f t="shared" si="65"/>
        <v>1014.7860515802593</v>
      </c>
      <c r="CD118" s="59">
        <f ca="1">AVERAGE(OFFSET($CC$3,0,0,'Données projet'!$E$12+1,1))-AVERAGE(OFFSET($H$3,0,0,'Données projet'!$E$12+1,1))</f>
        <v>487.18832528146936</v>
      </c>
      <c r="CE118" s="59">
        <f t="shared" si="94"/>
        <v>306.61893266146666</v>
      </c>
      <c r="CF118" s="15">
        <f>IF(ISNA(VLOOKUP(A118,'Données projet'!$A$113:$I$133,3,0)),0,VLOOKUP(A118,'Données projet'!$A$113:$I$133,3,0))</f>
        <v>20</v>
      </c>
      <c r="CG118" s="15">
        <f>IF(ISNA(VLOOKUP(A118,'Données projet'!$A$113:$I$133,4,0)),0,VLOOKUP(A118,'Données projet'!$A$113:$I$133,4,0))</f>
        <v>24</v>
      </c>
      <c r="CH118" s="16">
        <f>IF(ISNA(VLOOKUP(A118,'Données projet'!$A$113:$I$133,5,0)),0%,VLOOKUP(A118,'Données projet'!$A$113:$I$133,5,0)*VLOOKUP('Données projet'!$B$12,Paramètres!$A$1:$I$89,7,0))</f>
        <v>0.43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112.17801829767259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112.17801829767259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10.118000000000006</v>
      </c>
      <c r="CT118" s="12">
        <f>IF('Données projet'!$A$140&gt;35,CT117+CS118-DB117,IF(A118&lt;'Données projet'!$A$140,$CQ$205^A118,IF(A118='Données projet'!$A$140,'Données projet'!$B$140,CT117+CS118-DB117)))</f>
        <v>514.40999999999951</v>
      </c>
      <c r="CU118" s="17">
        <f>CT118*VLOOKUP('Données projet'!$B$13,Paramètres!$A$1:$I$89,3,0)*VLOOKUP('Données projet'!$B$13,Paramètres!$A$1:$I$89,5,0)</f>
        <v>489.51255599999956</v>
      </c>
      <c r="CV118" s="13">
        <f t="shared" si="95"/>
        <v>109.70524465770005</v>
      </c>
      <c r="CW118" s="20">
        <f t="shared" si="67"/>
        <v>1043.6376694788269</v>
      </c>
      <c r="CX118" s="59">
        <f t="shared" si="68"/>
        <v>1336.9710028121601</v>
      </c>
      <c r="CY118" s="59">
        <f ca="1">AVERAGE(OFFSET($CX$3,0,0,'Données projet'!$E$13+1,1))-AVERAGE(OFFSET($H$3,0,0,'Données projet'!$E$13+1,1))</f>
        <v>733.95677909788878</v>
      </c>
      <c r="CZ118" s="59">
        <f t="shared" si="96"/>
        <v>264.63778997972378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139.1805164693902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139.1805164693902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853.00000000000011</v>
      </c>
      <c r="O119" s="13">
        <f>N119*VLOOKUP('Données projet'!$B$9,Paramètres!$A$1:$I$89,3,0)*VLOOKUP('Données projet'!$B$9,Paramètres!$A$1:$I$89,5,0)</f>
        <v>399.20400000000006</v>
      </c>
      <c r="P119" s="13">
        <f t="shared" si="87"/>
        <v>91.615269732888521</v>
      </c>
      <c r="Q119" s="20">
        <f t="shared" si="107"/>
        <v>854.8435614514475</v>
      </c>
      <c r="R119" s="59">
        <f t="shared" si="55"/>
        <v>1148.1768947847809</v>
      </c>
      <c r="S119" s="59">
        <f ca="1">AVERAGE(OFFSET($R$3,0,0,'Données projet'!$E$9+1,1))-AVERAGE(OFFSET($H$3,0,0,'Données projet'!$E$9+1,1))</f>
        <v>488.67934252295686</v>
      </c>
      <c r="T119" s="59">
        <f t="shared" si="88"/>
        <v>424.50324471331095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67.937407526591358</v>
      </c>
      <c r="AA119" s="21">
        <f>EXP(-LN(2)/25)*AA118+(1-EXP(-LN(2)/25))/(LN(2)/25)*Calculateur!V119*Calculateur!X119*VLOOKUP('Données projet'!$B$9,Paramètres!$A$1:$I$89,3,0)*0.475*44/12</f>
        <v>4.5137815097246268</v>
      </c>
      <c r="AB119" s="21">
        <f>EXP(-LN(2)/2)*AB118+(1-EXP(-LN(2)/2))/(LN(2)/2)*V119*Y119*VLOOKUP('Données projet'!$B$9,Paramètres!$A$1:$I$89,3,0)*0.475*44/12</f>
        <v>9.2243905125417717E-14</v>
      </c>
      <c r="AC119" s="22">
        <f t="shared" si="57"/>
        <v>72.451189036316066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689</v>
      </c>
      <c r="AJ119" s="13">
        <f>AI119*VLOOKUP('Données projet'!$B$10,Paramètres!$A$1:$I$89,3,0)*VLOOKUP('Données projet'!$B$10,Paramètres!$A$1:$I$89,5,0)</f>
        <v>412.02199999999999</v>
      </c>
      <c r="AK119" s="13">
        <f t="shared" si="89"/>
        <v>94.209724877926391</v>
      </c>
      <c r="AL119" s="20">
        <f t="shared" si="58"/>
        <v>881.686920829055</v>
      </c>
      <c r="AM119" s="59">
        <f t="shared" si="59"/>
        <v>1175.0202541623883</v>
      </c>
      <c r="AN119" s="59">
        <f ca="1">AVERAGE(OFFSET($AM$3,0,0,'Données projet'!$E$10+1,1))-AVERAGE(OFFSET($H$3,0,0,'Données projet'!$E$10+1,1))</f>
        <v>504.81063008331739</v>
      </c>
      <c r="AO119" s="59">
        <f t="shared" si="90"/>
        <v>441.82647565372287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47.976101820657455</v>
      </c>
      <c r="AV119" s="21">
        <f>EXP(-LN(2)/25)*AV118+(1-EXP(-LN(2)/25))/(LN(2)/25)*Calculateur!AQ119*Calculateur!AS119*VLOOKUP('Données projet'!$B$10,Paramètres!$A$1:$I$89,3,0)*0.475*44/12</f>
        <v>5.425240319154911</v>
      </c>
      <c r="AW119" s="21">
        <f>EXP(-LN(2)/2)*AW118+(1-EXP(-LN(2)/2))/(LN(2)/2)*AQ119*AT119*VLOOKUP('Données projet'!$B$10,Paramètres!$A$1:$I$89,3,0)*0.475*44/12</f>
        <v>5.9531932113419189E-15</v>
      </c>
      <c r="AX119" s="21">
        <f t="shared" si="60"/>
        <v>53.401342139812371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266.99999999999983</v>
      </c>
      <c r="BE119" s="13">
        <f>BD119*VLOOKUP('Données projet'!$B$11,Paramètres!$A$1:$I$89,3,0)*VLOOKUP('Données projet'!$B$11,Paramètres!$A$1:$I$89,5,0)</f>
        <v>233.2511999999999</v>
      </c>
      <c r="BF119" s="13">
        <f t="shared" si="91"/>
        <v>56.985091661350864</v>
      </c>
      <c r="BG119" s="20">
        <f t="shared" si="61"/>
        <v>505.49487464351915</v>
      </c>
      <c r="BH119" s="59">
        <f t="shared" si="62"/>
        <v>798.82820797685247</v>
      </c>
      <c r="BI119" s="59">
        <f ca="1">AVERAGE(OFFSET($BH$3,0,0,'Données projet'!$E$11+1,1))-AVERAGE(OFFSET($H$3,0,0,'Données projet'!$E$11+1,1))</f>
        <v>324.86930206492627</v>
      </c>
      <c r="BJ119" s="59">
        <f t="shared" si="92"/>
        <v>317.03005098025352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23.353091818913249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23.353091818913249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306.99999999999994</v>
      </c>
      <c r="BZ119" s="13">
        <f>BY119*VLOOKUP('Données projet'!$B$12,Paramètres!$A$1:$I$89,3,0)*VLOOKUP('Données projet'!$B$12,Paramètres!$A$1:$I$89,5,0)</f>
        <v>311.298</v>
      </c>
      <c r="CA119" s="13">
        <f t="shared" si="93"/>
        <v>73.539838278528748</v>
      </c>
      <c r="CB119" s="20">
        <f t="shared" si="64"/>
        <v>670.25923500177089</v>
      </c>
      <c r="CC119" s="59">
        <f t="shared" si="65"/>
        <v>963.59256833510426</v>
      </c>
      <c r="CD119" s="59">
        <f ca="1">AVERAGE(OFFSET($CC$3,0,0,'Données projet'!$E$12+1,1))-AVERAGE(OFFSET($H$3,0,0,'Données projet'!$E$12+1,1))</f>
        <v>487.18832528146936</v>
      </c>
      <c r="CE119" s="59">
        <f t="shared" si="94"/>
        <v>306.61893266146666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109.9782757806903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109.9782757806903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10.118000000000006</v>
      </c>
      <c r="CT119" s="12">
        <f>IF('Données projet'!$A$140&gt;35,CT118+CS119-DB118,IF(A119&lt;'Données projet'!$A$140,$CQ$205^A119,IF(A119='Données projet'!$A$140,'Données projet'!$B$140,CT118+CS119-DB118)))</f>
        <v>524.52799999999957</v>
      </c>
      <c r="CU119" s="17">
        <f>CT119*VLOOKUP('Données projet'!$B$13,Paramètres!$A$1:$I$89,3,0)*VLOOKUP('Données projet'!$B$13,Paramètres!$A$1:$I$89,5,0)</f>
        <v>499.14084479999957</v>
      </c>
      <c r="CV119" s="13">
        <f t="shared" si="95"/>
        <v>111.60971640805695</v>
      </c>
      <c r="CW119" s="20">
        <f t="shared" si="67"/>
        <v>1063.7238941040316</v>
      </c>
      <c r="CX119" s="59">
        <f t="shared" si="68"/>
        <v>1357.0572274373649</v>
      </c>
      <c r="CY119" s="59">
        <f ca="1">AVERAGE(OFFSET($CX$3,0,0,'Données projet'!$E$13+1,1))-AVERAGE(OFFSET($H$3,0,0,'Données projet'!$E$13+1,1))</f>
        <v>733.95677909788878</v>
      </c>
      <c r="CZ119" s="59">
        <f t="shared" si="96"/>
        <v>264.63778997972378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136.45127143315815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136.45127143315815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853.00000000000011</v>
      </c>
      <c r="O120" s="13">
        <f>N120*VLOOKUP('Données projet'!$B$9,Paramètres!$A$1:$I$89,3,0)*VLOOKUP('Données projet'!$B$9,Paramètres!$A$1:$I$89,5,0)</f>
        <v>399.20400000000006</v>
      </c>
      <c r="P120" s="13">
        <f t="shared" si="87"/>
        <v>91.615269732888521</v>
      </c>
      <c r="Q120" s="20">
        <f t="shared" si="107"/>
        <v>854.8435614514475</v>
      </c>
      <c r="R120" s="59">
        <f t="shared" si="55"/>
        <v>1148.1768947847809</v>
      </c>
      <c r="S120" s="59">
        <f ca="1">AVERAGE(OFFSET($R$3,0,0,'Données projet'!$E$9+1,1))-AVERAGE(OFFSET($H$3,0,0,'Données projet'!$E$9+1,1))</f>
        <v>488.67934252295686</v>
      </c>
      <c r="T120" s="59">
        <f t="shared" si="88"/>
        <v>424.50324471331095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66.605196402721859</v>
      </c>
      <c r="AA120" s="21">
        <f>EXP(-LN(2)/25)*AA119+(1-EXP(-LN(2)/25))/(LN(2)/25)*Calculateur!V120*Calculateur!X120*VLOOKUP('Données projet'!$B$9,Paramètres!$A$1:$I$89,3,0)*0.475*44/12</f>
        <v>4.3903519169717535</v>
      </c>
      <c r="AB120" s="21">
        <f>EXP(-LN(2)/2)*AB119+(1-EXP(-LN(2)/2))/(LN(2)/2)*V120*Y120*VLOOKUP('Données projet'!$B$9,Paramètres!$A$1:$I$89,3,0)*0.475*44/12</f>
        <v>6.5226290837311394E-14</v>
      </c>
      <c r="AC120" s="22">
        <f t="shared" si="57"/>
        <v>70.995548319693683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689</v>
      </c>
      <c r="AJ120" s="13">
        <f>AI120*VLOOKUP('Données projet'!$B$10,Paramètres!$A$1:$I$89,3,0)*VLOOKUP('Données projet'!$B$10,Paramètres!$A$1:$I$89,5,0)</f>
        <v>412.02199999999999</v>
      </c>
      <c r="AK120" s="13">
        <f t="shared" si="89"/>
        <v>94.209724877926391</v>
      </c>
      <c r="AL120" s="20">
        <f t="shared" si="58"/>
        <v>881.686920829055</v>
      </c>
      <c r="AM120" s="59">
        <f t="shared" si="59"/>
        <v>1175.0202541623883</v>
      </c>
      <c r="AN120" s="59">
        <f ca="1">AVERAGE(OFFSET($AM$3,0,0,'Données projet'!$E$10+1,1))-AVERAGE(OFFSET($H$3,0,0,'Données projet'!$E$10+1,1))</f>
        <v>504.81063008331739</v>
      </c>
      <c r="AO120" s="59">
        <f t="shared" si="90"/>
        <v>441.82647565372287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47.035319726487039</v>
      </c>
      <c r="AV120" s="21">
        <f>EXP(-LN(2)/25)*AV119+(1-EXP(-LN(2)/25))/(LN(2)/25)*Calculateur!AQ120*Calculateur!AS120*VLOOKUP('Données projet'!$B$10,Paramètres!$A$1:$I$89,3,0)*0.475*44/12</f>
        <v>5.2768868373266313</v>
      </c>
      <c r="AW120" s="21">
        <f>EXP(-LN(2)/2)*AW119+(1-EXP(-LN(2)/2))/(LN(2)/2)*AQ120*AT120*VLOOKUP('Données projet'!$B$10,Paramètres!$A$1:$I$89,3,0)*0.475*44/12</f>
        <v>4.2095432894535903E-15</v>
      </c>
      <c r="AX120" s="21">
        <f t="shared" si="60"/>
        <v>52.312206563813675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266.99999999999983</v>
      </c>
      <c r="BE120" s="13">
        <f>BD120*VLOOKUP('Données projet'!$B$11,Paramètres!$A$1:$I$89,3,0)*VLOOKUP('Données projet'!$B$11,Paramètres!$A$1:$I$89,5,0)</f>
        <v>233.2511999999999</v>
      </c>
      <c r="BF120" s="13">
        <f t="shared" si="91"/>
        <v>56.985091661350864</v>
      </c>
      <c r="BG120" s="20">
        <f t="shared" si="61"/>
        <v>505.49487464351915</v>
      </c>
      <c r="BH120" s="59">
        <f t="shared" si="62"/>
        <v>798.82820797685247</v>
      </c>
      <c r="BI120" s="59">
        <f ca="1">AVERAGE(OFFSET($BH$3,0,0,'Données projet'!$E$11+1,1))-AVERAGE(OFFSET($H$3,0,0,'Données projet'!$E$11+1,1))</f>
        <v>324.86930206492627</v>
      </c>
      <c r="BJ120" s="59">
        <f t="shared" si="92"/>
        <v>317.03005098025352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22.895151932323895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22.895151932323895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306.99999999999994</v>
      </c>
      <c r="BZ120" s="13">
        <f>BY120*VLOOKUP('Données projet'!$B$12,Paramètres!$A$1:$I$89,3,0)*VLOOKUP('Données projet'!$B$12,Paramètres!$A$1:$I$89,5,0)</f>
        <v>311.298</v>
      </c>
      <c r="CA120" s="13">
        <f t="shared" si="93"/>
        <v>73.539838278528748</v>
      </c>
      <c r="CB120" s="20">
        <f t="shared" si="64"/>
        <v>670.25923500177089</v>
      </c>
      <c r="CC120" s="59">
        <f t="shared" si="65"/>
        <v>963.59256833510426</v>
      </c>
      <c r="CD120" s="59">
        <f ca="1">AVERAGE(OFFSET($CC$3,0,0,'Données projet'!$E$12+1,1))-AVERAGE(OFFSET($H$3,0,0,'Données projet'!$E$12+1,1))</f>
        <v>487.18832528146936</v>
      </c>
      <c r="CE120" s="59">
        <f t="shared" si="94"/>
        <v>306.61893266146666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107.82166887275558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107.82166887275558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10.118000000000006</v>
      </c>
      <c r="CT120" s="12">
        <f>IF('Données projet'!$A$140&gt;35,CT119+CS120-DB119,IF(A120&lt;'Données projet'!$A$140,$CQ$205^A120,IF(A120='Données projet'!$A$140,'Données projet'!$B$140,CT119+CS120-DB119)))</f>
        <v>534.64599999999962</v>
      </c>
      <c r="CU120" s="17">
        <f>CT120*VLOOKUP('Données projet'!$B$13,Paramètres!$A$1:$I$89,3,0)*VLOOKUP('Données projet'!$B$13,Paramètres!$A$1:$I$89,5,0)</f>
        <v>508.76913359999963</v>
      </c>
      <c r="CV120" s="13">
        <f t="shared" si="95"/>
        <v>113.50991651972407</v>
      </c>
      <c r="CW120" s="20">
        <f t="shared" si="67"/>
        <v>1083.802678958519</v>
      </c>
      <c r="CX120" s="59">
        <f t="shared" si="68"/>
        <v>1377.1360122918522</v>
      </c>
      <c r="CY120" s="59">
        <f ca="1">AVERAGE(OFFSET($CX$3,0,0,'Données projet'!$E$13+1,1))-AVERAGE(OFFSET($H$3,0,0,'Données projet'!$E$13+1,1))</f>
        <v>733.95677909788878</v>
      </c>
      <c r="CZ120" s="59">
        <f t="shared" si="96"/>
        <v>264.63778997972378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133.7755452274115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133.7755452274115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853.00000000000011</v>
      </c>
      <c r="O121" s="13">
        <f>N121*VLOOKUP('Données projet'!$B$9,Paramètres!$A$1:$I$89,3,0)*VLOOKUP('Données projet'!$B$9,Paramètres!$A$1:$I$89,5,0)</f>
        <v>399.20400000000006</v>
      </c>
      <c r="P121" s="13">
        <f t="shared" si="87"/>
        <v>91.615269732888521</v>
      </c>
      <c r="Q121" s="20">
        <f t="shared" si="107"/>
        <v>854.8435614514475</v>
      </c>
      <c r="R121" s="59">
        <f t="shared" si="55"/>
        <v>1148.1768947847809</v>
      </c>
      <c r="S121" s="59">
        <f ca="1">AVERAGE(OFFSET($R$3,0,0,'Données projet'!$E$9+1,1))-AVERAGE(OFFSET($H$3,0,0,'Données projet'!$E$9+1,1))</f>
        <v>488.67934252295686</v>
      </c>
      <c r="T121" s="59">
        <f t="shared" si="88"/>
        <v>424.50324471331095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65.299109126422891</v>
      </c>
      <c r="AA121" s="21">
        <f>EXP(-LN(2)/25)*AA120+(1-EXP(-LN(2)/25))/(LN(2)/25)*Calculateur!V121*Calculateur!X121*VLOOKUP('Données projet'!$B$9,Paramètres!$A$1:$I$89,3,0)*0.475*44/12</f>
        <v>4.2702975129235883</v>
      </c>
      <c r="AB121" s="21">
        <f>EXP(-LN(2)/2)*AB120+(1-EXP(-LN(2)/2))/(LN(2)/2)*V121*Y121*VLOOKUP('Données projet'!$B$9,Paramètres!$A$1:$I$89,3,0)*0.475*44/12</f>
        <v>4.6121952562708859E-14</v>
      </c>
      <c r="AC121" s="22">
        <f t="shared" si="57"/>
        <v>69.569406639346525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689</v>
      </c>
      <c r="AJ121" s="13">
        <f>AI121*VLOOKUP('Données projet'!$B$10,Paramètres!$A$1:$I$89,3,0)*VLOOKUP('Données projet'!$B$10,Paramètres!$A$1:$I$89,5,0)</f>
        <v>412.02199999999999</v>
      </c>
      <c r="AK121" s="13">
        <f t="shared" si="89"/>
        <v>94.209724877926391</v>
      </c>
      <c r="AL121" s="20">
        <f t="shared" si="58"/>
        <v>881.686920829055</v>
      </c>
      <c r="AM121" s="59">
        <f t="shared" si="59"/>
        <v>1175.0202541623883</v>
      </c>
      <c r="AN121" s="59">
        <f ca="1">AVERAGE(OFFSET($AM$3,0,0,'Données projet'!$E$10+1,1))-AVERAGE(OFFSET($H$3,0,0,'Données projet'!$E$10+1,1))</f>
        <v>504.81063008331739</v>
      </c>
      <c r="AO121" s="59">
        <f t="shared" si="90"/>
        <v>441.82647565372287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46.112985795362889</v>
      </c>
      <c r="AV121" s="21">
        <f>EXP(-LN(2)/25)*AV120+(1-EXP(-LN(2)/25))/(LN(2)/25)*Calculateur!AQ121*Calculateur!AS121*VLOOKUP('Données projet'!$B$10,Paramètres!$A$1:$I$89,3,0)*0.475*44/12</f>
        <v>5.1325900892605167</v>
      </c>
      <c r="AW121" s="21">
        <f>EXP(-LN(2)/2)*AW120+(1-EXP(-LN(2)/2))/(LN(2)/2)*AQ121*AT121*VLOOKUP('Données projet'!$B$10,Paramètres!$A$1:$I$89,3,0)*0.475*44/12</f>
        <v>2.9765966056709594E-15</v>
      </c>
      <c r="AX121" s="21">
        <f t="shared" si="60"/>
        <v>51.245575884623406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266.99999999999983</v>
      </c>
      <c r="BE121" s="13">
        <f>BD121*VLOOKUP('Données projet'!$B$11,Paramètres!$A$1:$I$89,3,0)*VLOOKUP('Données projet'!$B$11,Paramètres!$A$1:$I$89,5,0)</f>
        <v>233.2511999999999</v>
      </c>
      <c r="BF121" s="13">
        <f t="shared" si="91"/>
        <v>56.985091661350864</v>
      </c>
      <c r="BG121" s="20">
        <f t="shared" si="61"/>
        <v>505.49487464351915</v>
      </c>
      <c r="BH121" s="59">
        <f t="shared" si="62"/>
        <v>798.82820797685247</v>
      </c>
      <c r="BI121" s="59">
        <f ca="1">AVERAGE(OFFSET($BH$3,0,0,'Données projet'!$E$11+1,1))-AVERAGE(OFFSET($H$3,0,0,'Données projet'!$E$11+1,1))</f>
        <v>324.86930206492627</v>
      </c>
      <c r="BJ121" s="59">
        <f t="shared" si="92"/>
        <v>317.03005098025352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22.446191967594807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22.446191967594807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306.99999999999994</v>
      </c>
      <c r="BZ121" s="13">
        <f>BY121*VLOOKUP('Données projet'!$B$12,Paramètres!$A$1:$I$89,3,0)*VLOOKUP('Données projet'!$B$12,Paramètres!$A$1:$I$89,5,0)</f>
        <v>311.298</v>
      </c>
      <c r="CA121" s="13">
        <f t="shared" si="93"/>
        <v>73.539838278528748</v>
      </c>
      <c r="CB121" s="20">
        <f t="shared" si="64"/>
        <v>670.25923500177089</v>
      </c>
      <c r="CC121" s="59">
        <f t="shared" si="65"/>
        <v>963.59256833510426</v>
      </c>
      <c r="CD121" s="59">
        <f ca="1">AVERAGE(OFFSET($CC$3,0,0,'Données projet'!$E$12+1,1))-AVERAGE(OFFSET($H$3,0,0,'Données projet'!$E$12+1,1))</f>
        <v>487.18832528146936</v>
      </c>
      <c r="CE121" s="59">
        <f t="shared" si="94"/>
        <v>306.61893266146666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105.70735171088513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105.70735171088513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10.118000000000006</v>
      </c>
      <c r="CT121" s="12">
        <f>IF('Données projet'!$A$140&gt;35,CT120+CS121-DB120,IF(A121&lt;'Données projet'!$A$140,$CQ$205^A121,IF(A121='Données projet'!$A$140,'Données projet'!$B$140,CT120+CS121-DB120)))</f>
        <v>544.76399999999967</v>
      </c>
      <c r="CU121" s="17">
        <f>CT121*VLOOKUP('Données projet'!$B$13,Paramètres!$A$1:$I$89,3,0)*VLOOKUP('Données projet'!$B$13,Paramètres!$A$1:$I$89,5,0)</f>
        <v>518.39742239999964</v>
      </c>
      <c r="CV121" s="13">
        <f t="shared" si="95"/>
        <v>115.40593515328962</v>
      </c>
      <c r="CW121" s="20">
        <f t="shared" si="67"/>
        <v>1103.8741810719787</v>
      </c>
      <c r="CX121" s="59">
        <f t="shared" si="68"/>
        <v>1397.2075144053119</v>
      </c>
      <c r="CY121" s="59">
        <f ca="1">AVERAGE(OFFSET($CX$3,0,0,'Données projet'!$E$13+1,1))-AVERAGE(OFFSET($H$3,0,0,'Données projet'!$E$13+1,1))</f>
        <v>733.95677909788878</v>
      </c>
      <c r="CZ121" s="59">
        <f t="shared" si="96"/>
        <v>264.63778997972378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131.15228838052772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131.15228838052772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853.00000000000011</v>
      </c>
      <c r="O122" s="13">
        <f>N122*VLOOKUP('Données projet'!$B$9,Paramètres!$A$1:$I$89,3,0)*VLOOKUP('Données projet'!$B$9,Paramètres!$A$1:$I$89,5,0)</f>
        <v>399.20400000000006</v>
      </c>
      <c r="P122" s="13">
        <f t="shared" si="87"/>
        <v>91.615269732888521</v>
      </c>
      <c r="Q122" s="20">
        <f t="shared" si="107"/>
        <v>854.8435614514475</v>
      </c>
      <c r="R122" s="59">
        <f t="shared" si="55"/>
        <v>1148.1768947847809</v>
      </c>
      <c r="S122" s="59">
        <f ca="1">AVERAGE(OFFSET($R$3,0,0,'Données projet'!$E$9+1,1))-AVERAGE(OFFSET($H$3,0,0,'Données projet'!$E$9+1,1))</f>
        <v>488.67934252295686</v>
      </c>
      <c r="T122" s="59">
        <f t="shared" si="88"/>
        <v>424.50324471331095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64.018633424977565</v>
      </c>
      <c r="AA122" s="21">
        <f>EXP(-LN(2)/25)*AA121+(1-EXP(-LN(2)/25))/(LN(2)/25)*Calculateur!V122*Calculateur!X122*VLOOKUP('Données projet'!$B$9,Paramètres!$A$1:$I$89,3,0)*0.475*44/12</f>
        <v>4.1535260028675065</v>
      </c>
      <c r="AB122" s="21">
        <f>EXP(-LN(2)/2)*AB121+(1-EXP(-LN(2)/2))/(LN(2)/2)*V122*Y122*VLOOKUP('Données projet'!$B$9,Paramètres!$A$1:$I$89,3,0)*0.475*44/12</f>
        <v>3.2613145418655697E-14</v>
      </c>
      <c r="AC122" s="22">
        <f t="shared" si="57"/>
        <v>68.172159427845102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689</v>
      </c>
      <c r="AJ122" s="13">
        <f>AI122*VLOOKUP('Données projet'!$B$10,Paramètres!$A$1:$I$89,3,0)*VLOOKUP('Données projet'!$B$10,Paramètres!$A$1:$I$89,5,0)</f>
        <v>412.02199999999999</v>
      </c>
      <c r="AK122" s="13">
        <f t="shared" si="89"/>
        <v>94.209724877926391</v>
      </c>
      <c r="AL122" s="20">
        <f t="shared" si="58"/>
        <v>881.686920829055</v>
      </c>
      <c r="AM122" s="59">
        <f t="shared" si="59"/>
        <v>1175.0202541623883</v>
      </c>
      <c r="AN122" s="59">
        <f ca="1">AVERAGE(OFFSET($AM$3,0,0,'Données projet'!$E$10+1,1))-AVERAGE(OFFSET($H$3,0,0,'Données projet'!$E$10+1,1))</f>
        <v>504.81063008331739</v>
      </c>
      <c r="AO122" s="59">
        <f t="shared" si="90"/>
        <v>441.82647565372287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45.208738270059932</v>
      </c>
      <c r="AV122" s="21">
        <f>EXP(-LN(2)/25)*AV121+(1-EXP(-LN(2)/25))/(LN(2)/25)*Calculateur!AQ122*Calculateur!AS122*VLOOKUP('Données projet'!$B$10,Paramètres!$A$1:$I$89,3,0)*0.475*44/12</f>
        <v>4.992239143358506</v>
      </c>
      <c r="AW122" s="21">
        <f>EXP(-LN(2)/2)*AW121+(1-EXP(-LN(2)/2))/(LN(2)/2)*AQ122*AT122*VLOOKUP('Données projet'!$B$10,Paramètres!$A$1:$I$89,3,0)*0.475*44/12</f>
        <v>2.1047716447267952E-15</v>
      </c>
      <c r="AX122" s="21">
        <f t="shared" si="60"/>
        <v>50.200977413418435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266.99999999999983</v>
      </c>
      <c r="BE122" s="13">
        <f>BD122*VLOOKUP('Données projet'!$B$11,Paramètres!$A$1:$I$89,3,0)*VLOOKUP('Données projet'!$B$11,Paramètres!$A$1:$I$89,5,0)</f>
        <v>233.2511999999999</v>
      </c>
      <c r="BF122" s="13">
        <f t="shared" si="91"/>
        <v>56.985091661350864</v>
      </c>
      <c r="BG122" s="20">
        <f t="shared" si="61"/>
        <v>505.49487464351915</v>
      </c>
      <c r="BH122" s="59">
        <f t="shared" si="62"/>
        <v>798.82820797685247</v>
      </c>
      <c r="BI122" s="59">
        <f ca="1">AVERAGE(OFFSET($BH$3,0,0,'Données projet'!$E$11+1,1))-AVERAGE(OFFSET($H$3,0,0,'Données projet'!$E$11+1,1))</f>
        <v>324.86930206492627</v>
      </c>
      <c r="BJ122" s="59">
        <f t="shared" si="92"/>
        <v>317.03005098025352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22.006035833935517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22.006035833935517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306.99999999999994</v>
      </c>
      <c r="BZ122" s="13">
        <f>BY122*VLOOKUP('Données projet'!$B$12,Paramètres!$A$1:$I$89,3,0)*VLOOKUP('Données projet'!$B$12,Paramètres!$A$1:$I$89,5,0)</f>
        <v>311.298</v>
      </c>
      <c r="CA122" s="13">
        <f t="shared" si="93"/>
        <v>73.539838278528748</v>
      </c>
      <c r="CB122" s="20">
        <f t="shared" si="64"/>
        <v>670.25923500177089</v>
      </c>
      <c r="CC122" s="59">
        <f t="shared" si="65"/>
        <v>963.59256833510426</v>
      </c>
      <c r="CD122" s="59">
        <f ca="1">AVERAGE(OFFSET($CC$3,0,0,'Données projet'!$E$12+1,1))-AVERAGE(OFFSET($H$3,0,0,'Données projet'!$E$12+1,1))</f>
        <v>487.18832528146936</v>
      </c>
      <c r="CE122" s="59">
        <f t="shared" si="94"/>
        <v>306.61893266146666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103.63449501895283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103.63449501895283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10.118000000000006</v>
      </c>
      <c r="CT122" s="12">
        <f>IF('Données projet'!$A$140&gt;35,CT121+CS122-DB121,IF(A122&lt;'Données projet'!$A$140,$CQ$205^A122,IF(A122='Données projet'!$A$140,'Données projet'!$B$140,CT121+CS122-DB121)))</f>
        <v>554.88199999999972</v>
      </c>
      <c r="CU122" s="17">
        <f>CT122*VLOOKUP('Données projet'!$B$13,Paramètres!$A$1:$I$89,3,0)*VLOOKUP('Données projet'!$B$13,Paramètres!$A$1:$I$89,5,0)</f>
        <v>528.02571119999982</v>
      </c>
      <c r="CV122" s="13">
        <f t="shared" si="95"/>
        <v>117.29785892850319</v>
      </c>
      <c r="CW122" s="20">
        <f t="shared" si="67"/>
        <v>1123.9385513071427</v>
      </c>
      <c r="CX122" s="59">
        <f t="shared" si="68"/>
        <v>1417.2718846404759</v>
      </c>
      <c r="CY122" s="59">
        <f ca="1">AVERAGE(OFFSET($CX$3,0,0,'Données projet'!$E$13+1,1))-AVERAGE(OFFSET($H$3,0,0,'Données projet'!$E$13+1,1))</f>
        <v>733.95677909788878</v>
      </c>
      <c r="CZ122" s="59">
        <f t="shared" si="96"/>
        <v>264.63778997972378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128.58047200038263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128.58047200038263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853.00000000000011</v>
      </c>
      <c r="O123" s="13">
        <f>N123*VLOOKUP('Données projet'!$B$9,Paramètres!$A$1:$I$89,3,0)*VLOOKUP('Données projet'!$B$9,Paramètres!$A$1:$I$89,5,0)</f>
        <v>399.20400000000006</v>
      </c>
      <c r="P123" s="13">
        <f t="shared" si="87"/>
        <v>91.615269732888521</v>
      </c>
      <c r="Q123" s="20">
        <f t="shared" si="107"/>
        <v>854.8435614514475</v>
      </c>
      <c r="R123" s="59">
        <f t="shared" si="55"/>
        <v>1148.1768947847809</v>
      </c>
      <c r="S123" s="59">
        <f ca="1">AVERAGE(OFFSET($R$3,0,0,'Données projet'!$E$9+1,1))-AVERAGE(OFFSET($H$3,0,0,'Données projet'!$E$9+1,1))</f>
        <v>488.67934252295686</v>
      </c>
      <c r="T123" s="59">
        <f t="shared" si="88"/>
        <v>424.50324471331095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62.763267071024522</v>
      </c>
      <c r="AA123" s="21">
        <f>EXP(-LN(2)/25)*AA122+(1-EXP(-LN(2)/25))/(LN(2)/25)*Calculateur!V123*Calculateur!X123*VLOOKUP('Données projet'!$B$9,Paramètres!$A$1:$I$89,3,0)*0.475*44/12</f>
        <v>4.039947615894655</v>
      </c>
      <c r="AB123" s="21">
        <f>EXP(-LN(2)/2)*AB122+(1-EXP(-LN(2)/2))/(LN(2)/2)*V123*Y123*VLOOKUP('Données projet'!$B$9,Paramètres!$A$1:$I$89,3,0)*0.475*44/12</f>
        <v>2.3060976281354429E-14</v>
      </c>
      <c r="AC123" s="22">
        <f t="shared" si="57"/>
        <v>66.803214686919205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689</v>
      </c>
      <c r="AJ123" s="13">
        <f>AI123*VLOOKUP('Données projet'!$B$10,Paramètres!$A$1:$I$89,3,0)*VLOOKUP('Données projet'!$B$10,Paramètres!$A$1:$I$89,5,0)</f>
        <v>412.02199999999999</v>
      </c>
      <c r="AK123" s="13">
        <f t="shared" si="89"/>
        <v>94.209724877926391</v>
      </c>
      <c r="AL123" s="20">
        <f t="shared" si="58"/>
        <v>881.686920829055</v>
      </c>
      <c r="AM123" s="59">
        <f t="shared" si="59"/>
        <v>1175.0202541623883</v>
      </c>
      <c r="AN123" s="59">
        <f ca="1">AVERAGE(OFFSET($AM$3,0,0,'Données projet'!$E$10+1,1))-AVERAGE(OFFSET($H$3,0,0,'Données projet'!$E$10+1,1))</f>
        <v>504.81063008331739</v>
      </c>
      <c r="AO123" s="59">
        <f t="shared" si="90"/>
        <v>441.82647565372287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44.322222487191638</v>
      </c>
      <c r="AV123" s="21">
        <f>EXP(-LN(2)/25)*AV122+(1-EXP(-LN(2)/25))/(LN(2)/25)*Calculateur!AQ123*Calculateur!AS123*VLOOKUP('Données projet'!$B$10,Paramètres!$A$1:$I$89,3,0)*0.475*44/12</f>
        <v>4.8557261014529214</v>
      </c>
      <c r="AW123" s="21">
        <f>EXP(-LN(2)/2)*AW122+(1-EXP(-LN(2)/2))/(LN(2)/2)*AQ123*AT123*VLOOKUP('Données projet'!$B$10,Paramètres!$A$1:$I$89,3,0)*0.475*44/12</f>
        <v>1.4882983028354797E-15</v>
      </c>
      <c r="AX123" s="21">
        <f t="shared" si="60"/>
        <v>49.177948588644561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266.99999999999983</v>
      </c>
      <c r="BE123" s="13">
        <f>BD123*VLOOKUP('Données projet'!$B$11,Paramètres!$A$1:$I$89,3,0)*VLOOKUP('Données projet'!$B$11,Paramètres!$A$1:$I$89,5,0)</f>
        <v>233.2511999999999</v>
      </c>
      <c r="BF123" s="13">
        <f t="shared" si="91"/>
        <v>56.985091661350864</v>
      </c>
      <c r="BG123" s="20">
        <f t="shared" si="61"/>
        <v>505.49487464351915</v>
      </c>
      <c r="BH123" s="59">
        <f t="shared" si="62"/>
        <v>798.82820797685247</v>
      </c>
      <c r="BI123" s="59">
        <f ca="1">AVERAGE(OFFSET($BH$3,0,0,'Données projet'!$E$11+1,1))-AVERAGE(OFFSET($H$3,0,0,'Données projet'!$E$11+1,1))</f>
        <v>324.86930206492627</v>
      </c>
      <c r="BJ123" s="59">
        <f t="shared" si="92"/>
        <v>317.03005098025352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21.574510893588553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21.574510893588553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306.99999999999994</v>
      </c>
      <c r="BZ123" s="13">
        <f>BY123*VLOOKUP('Données projet'!$B$12,Paramètres!$A$1:$I$89,3,0)*VLOOKUP('Données projet'!$B$12,Paramètres!$A$1:$I$89,5,0)</f>
        <v>311.298</v>
      </c>
      <c r="CA123" s="13">
        <f t="shared" si="93"/>
        <v>73.539838278528748</v>
      </c>
      <c r="CB123" s="20">
        <f t="shared" si="64"/>
        <v>670.25923500177089</v>
      </c>
      <c r="CC123" s="59">
        <f t="shared" si="65"/>
        <v>963.59256833510426</v>
      </c>
      <c r="CD123" s="59">
        <f ca="1">AVERAGE(OFFSET($CC$3,0,0,'Données projet'!$E$12+1,1))-AVERAGE(OFFSET($H$3,0,0,'Données projet'!$E$12+1,1))</f>
        <v>487.18832528146936</v>
      </c>
      <c r="CE123" s="59">
        <f t="shared" si="94"/>
        <v>306.61893266146666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101.60228578243158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101.60228578243158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565</v>
      </c>
      <c r="CR123" s="12">
        <f>VLOOKUP(A123,'Données projet'!$A$139:$I$159,9,0)</f>
        <v>10.118000000000006</v>
      </c>
      <c r="CS123" s="12">
        <f t="array" ref="CS123">INDEX(CR:CR,MIN(IF(ISNUMBER(CR123:CR319),ROW(CR123:CR319),"")))</f>
        <v>10.118000000000006</v>
      </c>
      <c r="CT123" s="12">
        <f>IF('Données projet'!$A$140&gt;35,CT122+CS123-DB122,IF(A123&lt;'Données projet'!$A$140,$CQ$205^A123,IF(A123='Données projet'!$A$140,'Données projet'!$B$140,CT122+CS123-DB122)))</f>
        <v>564.99999999999977</v>
      </c>
      <c r="CU123" s="17">
        <f>CT123*VLOOKUP('Données projet'!$B$13,Paramètres!$A$1:$I$89,3,0)*VLOOKUP('Données projet'!$B$13,Paramètres!$A$1:$I$89,5,0)</f>
        <v>537.65399999999977</v>
      </c>
      <c r="CV123" s="13">
        <f t="shared" si="95"/>
        <v>119.18577112531787</v>
      </c>
      <c r="CW123" s="20">
        <f t="shared" si="67"/>
        <v>1143.9959347099282</v>
      </c>
      <c r="CX123" s="59">
        <f t="shared" si="68"/>
        <v>1437.3292680432614</v>
      </c>
      <c r="CY123" s="59">
        <f ca="1">AVERAGE(OFFSET($CX$3,0,0,'Données projet'!$E$13+1,1))-AVERAGE(OFFSET($H$3,0,0,'Données projet'!$E$13+1,1))</f>
        <v>733.95677909788878</v>
      </c>
      <c r="CZ123" s="59">
        <f t="shared" si="96"/>
        <v>264.63778997972378</v>
      </c>
      <c r="DA123" s="15">
        <f>IF(ISNA(VLOOKUP(A123,'Données projet'!$A$139:$I$159,3,0)),0,VLOOKUP(A123,'Données projet'!$A$139:$I$159,3,0))</f>
        <v>11</v>
      </c>
      <c r="DB123" s="15">
        <f>IF(ISNA(VLOOKUP(A123,'Données projet'!$A$139:$I$159,4,0)),0,VLOOKUP(A123,'Données projet'!$A$139:$I$159,4,0))</f>
        <v>60.46</v>
      </c>
      <c r="DC123" s="16">
        <f>IF(ISNA(VLOOKUP(A123,'Données projet'!$A$139:$I$159,5,0)),0%,VLOOKUP(A123,'Données projet'!$A$139:$I$159,5,0)*VLOOKUP('Données projet'!$B$13,Paramètres!$A$1:$I$89,7,0))</f>
        <v>0.43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153.40787898870258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153.40787898870258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853.00000000000011</v>
      </c>
      <c r="O124" s="13">
        <f>N124*VLOOKUP('Données projet'!$B$9,Paramètres!$A$1:$I$89,3,0)*VLOOKUP('Données projet'!$B$9,Paramètres!$A$1:$I$89,5,0)</f>
        <v>399.20400000000006</v>
      </c>
      <c r="P124" s="13">
        <f t="shared" si="87"/>
        <v>91.615269732888521</v>
      </c>
      <c r="Q124" s="20">
        <f t="shared" si="107"/>
        <v>854.8435614514475</v>
      </c>
      <c r="R124" s="59">
        <f t="shared" si="55"/>
        <v>1148.1768947847809</v>
      </c>
      <c r="S124" s="59">
        <f ca="1">AVERAGE(OFFSET($R$3,0,0,'Données projet'!$E$9+1,1))-AVERAGE(OFFSET($H$3,0,0,'Données projet'!$E$9+1,1))</f>
        <v>488.67934252295686</v>
      </c>
      <c r="T124" s="59">
        <f t="shared" si="88"/>
        <v>424.50324471331095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61.532517685574632</v>
      </c>
      <c r="AA124" s="21">
        <f>EXP(-LN(2)/25)*AA123+(1-EXP(-LN(2)/25))/(LN(2)/25)*Calculateur!V124*Calculateur!X124*VLOOKUP('Données projet'!$B$9,Paramètres!$A$1:$I$89,3,0)*0.475*44/12</f>
        <v>3.9294750358864041</v>
      </c>
      <c r="AB124" s="21">
        <f>EXP(-LN(2)/2)*AB123+(1-EXP(-LN(2)/2))/(LN(2)/2)*V124*Y124*VLOOKUP('Données projet'!$B$9,Paramètres!$A$1:$I$89,3,0)*0.475*44/12</f>
        <v>1.6306572709327848E-14</v>
      </c>
      <c r="AC124" s="22">
        <f t="shared" si="57"/>
        <v>65.461992721461044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689</v>
      </c>
      <c r="AJ124" s="13">
        <f>AI124*VLOOKUP('Données projet'!$B$10,Paramètres!$A$1:$I$89,3,0)*VLOOKUP('Données projet'!$B$10,Paramètres!$A$1:$I$89,5,0)</f>
        <v>412.02199999999999</v>
      </c>
      <c r="AK124" s="13">
        <f t="shared" si="89"/>
        <v>94.209724877926391</v>
      </c>
      <c r="AL124" s="20">
        <f t="shared" si="58"/>
        <v>881.686920829055</v>
      </c>
      <c r="AM124" s="59">
        <f t="shared" si="59"/>
        <v>1175.0202541623883</v>
      </c>
      <c r="AN124" s="59">
        <f ca="1">AVERAGE(OFFSET($AM$3,0,0,'Données projet'!$E$10+1,1))-AVERAGE(OFFSET($H$3,0,0,'Données projet'!$E$10+1,1))</f>
        <v>504.81063008331739</v>
      </c>
      <c r="AO124" s="59">
        <f t="shared" si="90"/>
        <v>441.82647565372287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43.453090738104152</v>
      </c>
      <c r="AV124" s="21">
        <f>EXP(-LN(2)/25)*AV123+(1-EXP(-LN(2)/25))/(LN(2)/25)*Calculateur!AQ124*Calculateur!AS124*VLOOKUP('Données projet'!$B$10,Paramètres!$A$1:$I$89,3,0)*0.475*44/12</f>
        <v>4.7229460158571532</v>
      </c>
      <c r="AW124" s="21">
        <f>EXP(-LN(2)/2)*AW123+(1-EXP(-LN(2)/2))/(LN(2)/2)*AQ124*AT124*VLOOKUP('Données projet'!$B$10,Paramètres!$A$1:$I$89,3,0)*0.475*44/12</f>
        <v>1.0523858223633976E-15</v>
      </c>
      <c r="AX124" s="21">
        <f t="shared" si="60"/>
        <v>48.176036753961306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266.99999999999983</v>
      </c>
      <c r="BE124" s="13">
        <f>BD124*VLOOKUP('Données projet'!$B$11,Paramètres!$A$1:$I$89,3,0)*VLOOKUP('Données projet'!$B$11,Paramètres!$A$1:$I$89,5,0)</f>
        <v>233.2511999999999</v>
      </c>
      <c r="BF124" s="13">
        <f t="shared" si="91"/>
        <v>56.985091661350864</v>
      </c>
      <c r="BG124" s="20">
        <f t="shared" si="61"/>
        <v>505.49487464351915</v>
      </c>
      <c r="BH124" s="59">
        <f t="shared" si="62"/>
        <v>798.82820797685247</v>
      </c>
      <c r="BI124" s="59">
        <f ca="1">AVERAGE(OFFSET($BH$3,0,0,'Données projet'!$E$11+1,1))-AVERAGE(OFFSET($H$3,0,0,'Données projet'!$E$11+1,1))</f>
        <v>324.86930206492627</v>
      </c>
      <c r="BJ124" s="59">
        <f t="shared" si="92"/>
        <v>317.03005098025352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21.151447894117567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21.151447894117567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306.99999999999994</v>
      </c>
      <c r="BZ124" s="13">
        <f>BY124*VLOOKUP('Données projet'!$B$12,Paramètres!$A$1:$I$89,3,0)*VLOOKUP('Données projet'!$B$12,Paramètres!$A$1:$I$89,5,0)</f>
        <v>311.298</v>
      </c>
      <c r="CA124" s="13">
        <f t="shared" si="93"/>
        <v>73.539838278528748</v>
      </c>
      <c r="CB124" s="20">
        <f t="shared" si="64"/>
        <v>670.25923500177089</v>
      </c>
      <c r="CC124" s="59">
        <f t="shared" si="65"/>
        <v>963.59256833510426</v>
      </c>
      <c r="CD124" s="59">
        <f ca="1">AVERAGE(OFFSET($CC$3,0,0,'Données projet'!$E$12+1,1))-AVERAGE(OFFSET($H$3,0,0,'Données projet'!$E$12+1,1))</f>
        <v>487.18832528146936</v>
      </c>
      <c r="CE124" s="59">
        <f t="shared" si="94"/>
        <v>306.61893266146666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99.609926929513264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99.609926929513264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10.186999999999994</v>
      </c>
      <c r="CT124" s="12">
        <f>IF('Données projet'!$A$140&gt;35,CT123+CS124-DB123,IF(A124&lt;'Données projet'!$A$140,$CQ$205^A124,IF(A124='Données projet'!$A$140,'Données projet'!$B$140,CT123+CS124-DB123)))</f>
        <v>514.72699999999975</v>
      </c>
      <c r="CU124" s="17">
        <f>CT124*VLOOKUP('Données projet'!$B$13,Paramètres!$A$1:$I$89,3,0)*VLOOKUP('Données projet'!$B$13,Paramètres!$A$1:$I$89,5,0)</f>
        <v>489.81421319999976</v>
      </c>
      <c r="CV124" s="13">
        <f t="shared" si="95"/>
        <v>109.76497807820563</v>
      </c>
      <c r="CW124" s="20">
        <f t="shared" si="67"/>
        <v>1044.2670914762077</v>
      </c>
      <c r="CX124" s="59">
        <f t="shared" si="68"/>
        <v>1337.600424809541</v>
      </c>
      <c r="CY124" s="59">
        <f ca="1">AVERAGE(OFFSET($CX$3,0,0,'Données projet'!$E$13+1,1))-AVERAGE(OFFSET($H$3,0,0,'Données projet'!$E$13+1,1))</f>
        <v>733.95677909788878</v>
      </c>
      <c r="CZ124" s="59">
        <f t="shared" si="96"/>
        <v>264.63778997972378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150.39964405130107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150.39964405130107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853.00000000000011</v>
      </c>
      <c r="O125" s="13">
        <f>N125*VLOOKUP('Données projet'!$B$9,Paramètres!$A$1:$I$89,3,0)*VLOOKUP('Données projet'!$B$9,Paramètres!$A$1:$I$89,5,0)</f>
        <v>399.20400000000006</v>
      </c>
      <c r="P125" s="13">
        <f t="shared" si="87"/>
        <v>91.615269732888521</v>
      </c>
      <c r="Q125" s="20">
        <f t="shared" si="107"/>
        <v>854.8435614514475</v>
      </c>
      <c r="R125" s="59">
        <f t="shared" si="55"/>
        <v>1148.1768947847809</v>
      </c>
      <c r="S125" s="59">
        <f ca="1">AVERAGE(OFFSET($R$3,0,0,'Données projet'!$E$9+1,1))-AVERAGE(OFFSET($H$3,0,0,'Données projet'!$E$9+1,1))</f>
        <v>488.67934252295686</v>
      </c>
      <c r="T125" s="59">
        <f t="shared" si="88"/>
        <v>424.50324471331095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60.325902544890411</v>
      </c>
      <c r="AA125" s="21">
        <f>EXP(-LN(2)/25)*AA124+(1-EXP(-LN(2)/25))/(LN(2)/25)*Calculateur!V125*Calculateur!X125*VLOOKUP('Données projet'!$B$9,Paramètres!$A$1:$I$89,3,0)*0.475*44/12</f>
        <v>3.8220233343879793</v>
      </c>
      <c r="AB125" s="21">
        <f>EXP(-LN(2)/2)*AB124+(1-EXP(-LN(2)/2))/(LN(2)/2)*V125*Y125*VLOOKUP('Données projet'!$B$9,Paramètres!$A$1:$I$89,3,0)*0.475*44/12</f>
        <v>1.1530488140677215E-14</v>
      </c>
      <c r="AC125" s="22">
        <f t="shared" si="57"/>
        <v>64.147925879278404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689</v>
      </c>
      <c r="AJ125" s="13">
        <f>AI125*VLOOKUP('Données projet'!$B$10,Paramètres!$A$1:$I$89,3,0)*VLOOKUP('Données projet'!$B$10,Paramètres!$A$1:$I$89,5,0)</f>
        <v>412.02199999999999</v>
      </c>
      <c r="AK125" s="13">
        <f t="shared" si="89"/>
        <v>94.209724877926391</v>
      </c>
      <c r="AL125" s="20">
        <f t="shared" si="58"/>
        <v>881.686920829055</v>
      </c>
      <c r="AM125" s="59">
        <f t="shared" si="59"/>
        <v>1175.0202541623883</v>
      </c>
      <c r="AN125" s="59">
        <f ca="1">AVERAGE(OFFSET($AM$3,0,0,'Données projet'!$E$10+1,1))-AVERAGE(OFFSET($H$3,0,0,'Données projet'!$E$10+1,1))</f>
        <v>504.81063008331739</v>
      </c>
      <c r="AO125" s="59">
        <f t="shared" si="90"/>
        <v>441.82647565372287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42.601002132498252</v>
      </c>
      <c r="AV125" s="21">
        <f>EXP(-LN(2)/25)*AV124+(1-EXP(-LN(2)/25))/(LN(2)/25)*Calculateur!AQ125*Calculateur!AS125*VLOOKUP('Données projet'!$B$10,Paramètres!$A$1:$I$89,3,0)*0.475*44/12</f>
        <v>4.5937968086846031</v>
      </c>
      <c r="AW125" s="21">
        <f>EXP(-LN(2)/2)*AW124+(1-EXP(-LN(2)/2))/(LN(2)/2)*AQ125*AT125*VLOOKUP('Données projet'!$B$10,Paramètres!$A$1:$I$89,3,0)*0.475*44/12</f>
        <v>7.4414915141773986E-16</v>
      </c>
      <c r="AX125" s="21">
        <f t="shared" si="60"/>
        <v>47.194798941182853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266.99999999999983</v>
      </c>
      <c r="BE125" s="13">
        <f>BD125*VLOOKUP('Données projet'!$B$11,Paramètres!$A$1:$I$89,3,0)*VLOOKUP('Données projet'!$B$11,Paramètres!$A$1:$I$89,5,0)</f>
        <v>233.2511999999999</v>
      </c>
      <c r="BF125" s="13">
        <f t="shared" si="91"/>
        <v>56.985091661350864</v>
      </c>
      <c r="BG125" s="20">
        <f t="shared" si="61"/>
        <v>505.49487464351915</v>
      </c>
      <c r="BH125" s="59">
        <f t="shared" si="62"/>
        <v>798.82820797685247</v>
      </c>
      <c r="BI125" s="59">
        <f ca="1">AVERAGE(OFFSET($BH$3,0,0,'Données projet'!$E$11+1,1))-AVERAGE(OFFSET($H$3,0,0,'Données projet'!$E$11+1,1))</f>
        <v>324.86930206492627</v>
      </c>
      <c r="BJ125" s="59">
        <f t="shared" si="92"/>
        <v>317.03005098025352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20.736680902023259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20.736680902023259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306.99999999999994</v>
      </c>
      <c r="BZ125" s="13">
        <f>BY125*VLOOKUP('Données projet'!$B$12,Paramètres!$A$1:$I$89,3,0)*VLOOKUP('Données projet'!$B$12,Paramètres!$A$1:$I$89,5,0)</f>
        <v>311.298</v>
      </c>
      <c r="CA125" s="13">
        <f t="shared" si="93"/>
        <v>73.539838278528748</v>
      </c>
      <c r="CB125" s="20">
        <f t="shared" si="64"/>
        <v>670.25923500177089</v>
      </c>
      <c r="CC125" s="59">
        <f t="shared" si="65"/>
        <v>963.59256833510426</v>
      </c>
      <c r="CD125" s="59">
        <f ca="1">AVERAGE(OFFSET($CC$3,0,0,'Données projet'!$E$12+1,1))-AVERAGE(OFFSET($H$3,0,0,'Données projet'!$E$12+1,1))</f>
        <v>487.18832528146936</v>
      </c>
      <c r="CE125" s="59">
        <f t="shared" si="94"/>
        <v>306.61893266146666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97.656637018481774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97.656637018481774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10.186999999999994</v>
      </c>
      <c r="CT125" s="12">
        <f>IF('Données projet'!$A$140&gt;35,CT124+CS125-DB124,IF(A125&lt;'Données projet'!$A$140,$CQ$205^A125,IF(A125='Données projet'!$A$140,'Données projet'!$B$140,CT124+CS125-DB124)))</f>
        <v>524.91399999999976</v>
      </c>
      <c r="CU125" s="17">
        <f>CT125*VLOOKUP('Données projet'!$B$13,Paramètres!$A$1:$I$89,3,0)*VLOOKUP('Données projet'!$B$13,Paramètres!$A$1:$I$89,5,0)</f>
        <v>499.50816239999978</v>
      </c>
      <c r="CV125" s="13">
        <f t="shared" si="95"/>
        <v>111.68228651185701</v>
      </c>
      <c r="CW125" s="20">
        <f t="shared" si="67"/>
        <v>1064.4900318548173</v>
      </c>
      <c r="CX125" s="59">
        <f t="shared" si="68"/>
        <v>1357.8233651881505</v>
      </c>
      <c r="CY125" s="59">
        <f ca="1">AVERAGE(OFFSET($CX$3,0,0,'Données projet'!$E$13+1,1))-AVERAGE(OFFSET($H$3,0,0,'Données projet'!$E$13+1,1))</f>
        <v>733.95677909788878</v>
      </c>
      <c r="CZ125" s="59">
        <f t="shared" si="96"/>
        <v>264.63778997972378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147.45039876617986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147.45039876617986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853.00000000000011</v>
      </c>
      <c r="O126" s="13">
        <f>N126*VLOOKUP('Données projet'!$B$9,Paramètres!$A$1:$I$89,3,0)*VLOOKUP('Données projet'!$B$9,Paramètres!$A$1:$I$89,5,0)</f>
        <v>399.20400000000006</v>
      </c>
      <c r="P126" s="13">
        <f t="shared" si="87"/>
        <v>91.615269732888521</v>
      </c>
      <c r="Q126" s="20">
        <f t="shared" si="107"/>
        <v>854.8435614514475</v>
      </c>
      <c r="R126" s="59">
        <f t="shared" si="55"/>
        <v>1148.1768947847809</v>
      </c>
      <c r="S126" s="59">
        <f ca="1">AVERAGE(OFFSET($R$3,0,0,'Données projet'!$E$9+1,1))-AVERAGE(OFFSET($H$3,0,0,'Données projet'!$E$9+1,1))</f>
        <v>488.67934252295686</v>
      </c>
      <c r="T126" s="59">
        <f t="shared" si="88"/>
        <v>424.50324471331095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59.142948391152444</v>
      </c>
      <c r="AA126" s="21">
        <f>EXP(-LN(2)/25)*AA125+(1-EXP(-LN(2)/25))/(LN(2)/25)*Calculateur!V126*Calculateur!X126*VLOOKUP('Données projet'!$B$9,Paramètres!$A$1:$I$89,3,0)*0.475*44/12</f>
        <v>3.7175099053176681</v>
      </c>
      <c r="AB126" s="21">
        <f>EXP(-LN(2)/2)*AB125+(1-EXP(-LN(2)/2))/(LN(2)/2)*V126*Y126*VLOOKUP('Données projet'!$B$9,Paramètres!$A$1:$I$89,3,0)*0.475*44/12</f>
        <v>8.1532863546639242E-15</v>
      </c>
      <c r="AC126" s="22">
        <f t="shared" si="57"/>
        <v>62.860458296470121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689</v>
      </c>
      <c r="AJ126" s="13">
        <f>AI126*VLOOKUP('Données projet'!$B$10,Paramètres!$A$1:$I$89,3,0)*VLOOKUP('Données projet'!$B$10,Paramètres!$A$1:$I$89,5,0)</f>
        <v>412.02199999999999</v>
      </c>
      <c r="AK126" s="13">
        <f t="shared" si="89"/>
        <v>94.209724877926391</v>
      </c>
      <c r="AL126" s="20">
        <f t="shared" si="58"/>
        <v>881.686920829055</v>
      </c>
      <c r="AM126" s="59">
        <f t="shared" si="59"/>
        <v>1175.0202541623883</v>
      </c>
      <c r="AN126" s="59">
        <f ca="1">AVERAGE(OFFSET($AM$3,0,0,'Données projet'!$E$10+1,1))-AVERAGE(OFFSET($H$3,0,0,'Données projet'!$E$10+1,1))</f>
        <v>504.81063008331739</v>
      </c>
      <c r="AO126" s="59">
        <f t="shared" si="90"/>
        <v>441.82647565372287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41.765622464725553</v>
      </c>
      <c r="AV126" s="21">
        <f>EXP(-LN(2)/25)*AV125+(1-EXP(-LN(2)/25))/(LN(2)/25)*Calculateur!AQ126*Calculateur!AS126*VLOOKUP('Données projet'!$B$10,Paramètres!$A$1:$I$89,3,0)*0.475*44/12</f>
        <v>4.4681791933738477</v>
      </c>
      <c r="AW126" s="21">
        <f>EXP(-LN(2)/2)*AW125+(1-EXP(-LN(2)/2))/(LN(2)/2)*AQ126*AT126*VLOOKUP('Données projet'!$B$10,Paramètres!$A$1:$I$89,3,0)*0.475*44/12</f>
        <v>5.2619291118169879E-16</v>
      </c>
      <c r="AX126" s="21">
        <f t="shared" si="60"/>
        <v>46.233801658099402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266.99999999999983</v>
      </c>
      <c r="BE126" s="13">
        <f>BD126*VLOOKUP('Données projet'!$B$11,Paramètres!$A$1:$I$89,3,0)*VLOOKUP('Données projet'!$B$11,Paramètres!$A$1:$I$89,5,0)</f>
        <v>233.2511999999999</v>
      </c>
      <c r="BF126" s="13">
        <f t="shared" si="91"/>
        <v>56.985091661350864</v>
      </c>
      <c r="BG126" s="20">
        <f t="shared" si="61"/>
        <v>505.49487464351915</v>
      </c>
      <c r="BH126" s="59">
        <f t="shared" si="62"/>
        <v>798.82820797685247</v>
      </c>
      <c r="BI126" s="59">
        <f ca="1">AVERAGE(OFFSET($BH$3,0,0,'Données projet'!$E$11+1,1))-AVERAGE(OFFSET($H$3,0,0,'Données projet'!$E$11+1,1))</f>
        <v>324.86930206492627</v>
      </c>
      <c r="BJ126" s="59">
        <f t="shared" si="92"/>
        <v>317.03005098025352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20.330047237661034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20.330047237661034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306.99999999999994</v>
      </c>
      <c r="BZ126" s="13">
        <f>BY126*VLOOKUP('Données projet'!$B$12,Paramètres!$A$1:$I$89,3,0)*VLOOKUP('Données projet'!$B$12,Paramètres!$A$1:$I$89,5,0)</f>
        <v>311.298</v>
      </c>
      <c r="CA126" s="13">
        <f t="shared" si="93"/>
        <v>73.539838278528748</v>
      </c>
      <c r="CB126" s="20">
        <f t="shared" si="64"/>
        <v>670.25923500177089</v>
      </c>
      <c r="CC126" s="59">
        <f t="shared" si="65"/>
        <v>963.59256833510426</v>
      </c>
      <c r="CD126" s="59">
        <f ca="1">AVERAGE(OFFSET($CC$3,0,0,'Données projet'!$E$12+1,1))-AVERAGE(OFFSET($H$3,0,0,'Données projet'!$E$12+1,1))</f>
        <v>487.18832528146936</v>
      </c>
      <c r="CE126" s="59">
        <f t="shared" si="94"/>
        <v>306.61893266146666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95.741649931216401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95.741649931216401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10.186999999999994</v>
      </c>
      <c r="CT126" s="12">
        <f>IF('Données projet'!$A$140&gt;35,CT125+CS126-DB125,IF(A126&lt;'Données projet'!$A$140,$CQ$205^A126,IF(A126='Données projet'!$A$140,'Données projet'!$B$140,CT125+CS126-DB125)))</f>
        <v>535.10099999999977</v>
      </c>
      <c r="CU126" s="17">
        <f>CT126*VLOOKUP('Données projet'!$B$13,Paramètres!$A$1:$I$89,3,0)*VLOOKUP('Données projet'!$B$13,Paramètres!$A$1:$I$89,5,0)</f>
        <v>509.20211159999974</v>
      </c>
      <c r="CV126" s="13">
        <f t="shared" si="95"/>
        <v>113.59526839782332</v>
      </c>
      <c r="CW126" s="20">
        <f t="shared" si="67"/>
        <v>1084.7054368295419</v>
      </c>
      <c r="CX126" s="59">
        <f t="shared" si="68"/>
        <v>1378.0387701628752</v>
      </c>
      <c r="CY126" s="59">
        <f ca="1">AVERAGE(OFFSET($CX$3,0,0,'Données projet'!$E$13+1,1))-AVERAGE(OFFSET($H$3,0,0,'Données projet'!$E$13+1,1))</f>
        <v>733.95677909788878</v>
      </c>
      <c r="CZ126" s="59">
        <f t="shared" si="96"/>
        <v>264.63778997972378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144.55898638223789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144.55898638223789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853.00000000000011</v>
      </c>
      <c r="O127" s="13">
        <f>N127*VLOOKUP('Données projet'!$B$9,Paramètres!$A$1:$I$89,3,0)*VLOOKUP('Données projet'!$B$9,Paramètres!$A$1:$I$89,5,0)</f>
        <v>399.20400000000006</v>
      </c>
      <c r="P127" s="13">
        <f t="shared" si="87"/>
        <v>91.615269732888521</v>
      </c>
      <c r="Q127" s="20">
        <f t="shared" si="107"/>
        <v>854.8435614514475</v>
      </c>
      <c r="R127" s="59">
        <f t="shared" si="55"/>
        <v>1148.1768947847809</v>
      </c>
      <c r="S127" s="59">
        <f ca="1">AVERAGE(OFFSET($R$3,0,0,'Données projet'!$E$9+1,1))-AVERAGE(OFFSET($H$3,0,0,'Données projet'!$E$9+1,1))</f>
        <v>488.67934252295686</v>
      </c>
      <c r="T127" s="59">
        <f t="shared" si="88"/>
        <v>424.50324471331095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57.983191246838487</v>
      </c>
      <c r="AA127" s="21">
        <f>EXP(-LN(2)/25)*AA126+(1-EXP(-LN(2)/25))/(LN(2)/25)*Calculateur!V127*Calculateur!X127*VLOOKUP('Données projet'!$B$9,Paramètres!$A$1:$I$89,3,0)*0.475*44/12</f>
        <v>3.6158544014614069</v>
      </c>
      <c r="AB127" s="21">
        <f>EXP(-LN(2)/2)*AB126+(1-EXP(-LN(2)/2))/(LN(2)/2)*V127*Y127*VLOOKUP('Données projet'!$B$9,Paramètres!$A$1:$I$89,3,0)*0.475*44/12</f>
        <v>5.7652440703386073E-15</v>
      </c>
      <c r="AC127" s="22">
        <f t="shared" si="57"/>
        <v>61.599045648299899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689</v>
      </c>
      <c r="AJ127" s="13">
        <f>AI127*VLOOKUP('Données projet'!$B$10,Paramètres!$A$1:$I$89,3,0)*VLOOKUP('Données projet'!$B$10,Paramètres!$A$1:$I$89,5,0)</f>
        <v>412.02199999999999</v>
      </c>
      <c r="AK127" s="13">
        <f t="shared" si="89"/>
        <v>94.209724877926391</v>
      </c>
      <c r="AL127" s="20">
        <f t="shared" si="58"/>
        <v>881.686920829055</v>
      </c>
      <c r="AM127" s="59">
        <f t="shared" si="59"/>
        <v>1175.0202541623883</v>
      </c>
      <c r="AN127" s="59">
        <f ca="1">AVERAGE(OFFSET($AM$3,0,0,'Données projet'!$E$10+1,1))-AVERAGE(OFFSET($H$3,0,0,'Données projet'!$E$10+1,1))</f>
        <v>504.81063008331739</v>
      </c>
      <c r="AO127" s="59">
        <f t="shared" si="90"/>
        <v>441.82647565372287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40.946624082706592</v>
      </c>
      <c r="AV127" s="21">
        <f>EXP(-LN(2)/25)*AV126+(1-EXP(-LN(2)/25))/(LN(2)/25)*Calculateur!AQ127*Calculateur!AS127*VLOOKUP('Données projet'!$B$10,Paramètres!$A$1:$I$89,3,0)*0.475*44/12</f>
        <v>4.345996598359708</v>
      </c>
      <c r="AW127" s="21">
        <f>EXP(-LN(2)/2)*AW126+(1-EXP(-LN(2)/2))/(LN(2)/2)*AQ127*AT127*VLOOKUP('Données projet'!$B$10,Paramètres!$A$1:$I$89,3,0)*0.475*44/12</f>
        <v>3.7207457570886993E-16</v>
      </c>
      <c r="AX127" s="21">
        <f t="shared" si="60"/>
        <v>45.292620681066296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266.99999999999983</v>
      </c>
      <c r="BE127" s="13">
        <f>BD127*VLOOKUP('Données projet'!$B$11,Paramètres!$A$1:$I$89,3,0)*VLOOKUP('Données projet'!$B$11,Paramètres!$A$1:$I$89,5,0)</f>
        <v>233.2511999999999</v>
      </c>
      <c r="BF127" s="13">
        <f t="shared" si="91"/>
        <v>56.985091661350864</v>
      </c>
      <c r="BG127" s="20">
        <f t="shared" si="61"/>
        <v>505.49487464351915</v>
      </c>
      <c r="BH127" s="59">
        <f t="shared" si="62"/>
        <v>798.82820797685247</v>
      </c>
      <c r="BI127" s="59">
        <f ca="1">AVERAGE(OFFSET($BH$3,0,0,'Données projet'!$E$11+1,1))-AVERAGE(OFFSET($H$3,0,0,'Données projet'!$E$11+1,1))</f>
        <v>324.86930206492627</v>
      </c>
      <c r="BJ127" s="59">
        <f t="shared" si="92"/>
        <v>317.03005098025352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19.931387411434908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19.931387411434908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306.99999999999994</v>
      </c>
      <c r="BZ127" s="13">
        <f>BY127*VLOOKUP('Données projet'!$B$12,Paramètres!$A$1:$I$89,3,0)*VLOOKUP('Données projet'!$B$12,Paramètres!$A$1:$I$89,5,0)</f>
        <v>311.298</v>
      </c>
      <c r="CA127" s="13">
        <f t="shared" si="93"/>
        <v>73.539838278528748</v>
      </c>
      <c r="CB127" s="20">
        <f t="shared" si="64"/>
        <v>670.25923500177089</v>
      </c>
      <c r="CC127" s="59">
        <f t="shared" si="65"/>
        <v>963.59256833510426</v>
      </c>
      <c r="CD127" s="59">
        <f ca="1">AVERAGE(OFFSET($CC$3,0,0,'Données projet'!$E$12+1,1))-AVERAGE(OFFSET($H$3,0,0,'Données projet'!$E$12+1,1))</f>
        <v>487.18832528146936</v>
      </c>
      <c r="CE127" s="59">
        <f t="shared" si="94"/>
        <v>306.61893266146666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93.864214572705521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93.864214572705521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10.186999999999994</v>
      </c>
      <c r="CT127" s="12">
        <f>IF('Données projet'!$A$140&gt;35,CT126+CS127-DB126,IF(A127&lt;'Données projet'!$A$140,$CQ$205^A127,IF(A127='Données projet'!$A$140,'Données projet'!$B$140,CT126+CS127-DB126)))</f>
        <v>545.28799999999978</v>
      </c>
      <c r="CU127" s="17">
        <f>CT127*VLOOKUP('Données projet'!$B$13,Paramètres!$A$1:$I$89,3,0)*VLOOKUP('Données projet'!$B$13,Paramètres!$A$1:$I$89,5,0)</f>
        <v>518.89606079999987</v>
      </c>
      <c r="CV127" s="13">
        <f t="shared" si="95"/>
        <v>115.50401559975271</v>
      </c>
      <c r="CW127" s="20">
        <f t="shared" si="67"/>
        <v>1104.9134663962357</v>
      </c>
      <c r="CX127" s="59">
        <f t="shared" si="68"/>
        <v>1398.2467997295689</v>
      </c>
      <c r="CY127" s="59">
        <f ca="1">AVERAGE(OFFSET($CX$3,0,0,'Données projet'!$E$13+1,1))-AVERAGE(OFFSET($H$3,0,0,'Données projet'!$E$13+1,1))</f>
        <v>733.95677909788878</v>
      </c>
      <c r="CZ127" s="59">
        <f t="shared" si="96"/>
        <v>264.63778997972378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141.72427283155761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141.72427283155761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853.00000000000011</v>
      </c>
      <c r="O128" s="13">
        <f>N128*VLOOKUP('Données projet'!$B$9,Paramètres!$A$1:$I$89,3,0)*VLOOKUP('Données projet'!$B$9,Paramètres!$A$1:$I$89,5,0)</f>
        <v>399.20400000000006</v>
      </c>
      <c r="P128" s="13">
        <f t="shared" si="87"/>
        <v>91.615269732888521</v>
      </c>
      <c r="Q128" s="20">
        <f t="shared" si="107"/>
        <v>854.8435614514475</v>
      </c>
      <c r="R128" s="59">
        <f t="shared" si="55"/>
        <v>1148.1768947847809</v>
      </c>
      <c r="S128" s="59">
        <f ca="1">AVERAGE(OFFSET($R$3,0,0,'Données projet'!$E$9+1,1))-AVERAGE(OFFSET($H$3,0,0,'Données projet'!$E$9+1,1))</f>
        <v>488.67934252295686</v>
      </c>
      <c r="T128" s="59">
        <f t="shared" si="88"/>
        <v>424.50324471331095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56.846176232742515</v>
      </c>
      <c r="AA128" s="21">
        <f>EXP(-LN(2)/25)*AA127+(1-EXP(-LN(2)/25))/(LN(2)/25)*Calculateur!V128*Calculateur!X128*VLOOKUP('Données projet'!$B$9,Paramètres!$A$1:$I$89,3,0)*0.475*44/12</f>
        <v>3.5169786727039258</v>
      </c>
      <c r="AB128" s="21">
        <f>EXP(-LN(2)/2)*AB127+(1-EXP(-LN(2)/2))/(LN(2)/2)*V128*Y128*VLOOKUP('Données projet'!$B$9,Paramètres!$A$1:$I$89,3,0)*0.475*44/12</f>
        <v>4.0766431773319621E-15</v>
      </c>
      <c r="AC128" s="22">
        <f t="shared" si="57"/>
        <v>60.36315490544645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689</v>
      </c>
      <c r="AJ128" s="13">
        <f>AI128*VLOOKUP('Données projet'!$B$10,Paramètres!$A$1:$I$89,3,0)*VLOOKUP('Données projet'!$B$10,Paramètres!$A$1:$I$89,5,0)</f>
        <v>412.02199999999999</v>
      </c>
      <c r="AK128" s="13">
        <f t="shared" si="89"/>
        <v>94.209724877926391</v>
      </c>
      <c r="AL128" s="20">
        <f t="shared" si="58"/>
        <v>881.686920829055</v>
      </c>
      <c r="AM128" s="59">
        <f t="shared" si="59"/>
        <v>1175.0202541623883</v>
      </c>
      <c r="AN128" s="59">
        <f ca="1">AVERAGE(OFFSET($AM$3,0,0,'Données projet'!$E$10+1,1))-AVERAGE(OFFSET($H$3,0,0,'Données projet'!$E$10+1,1))</f>
        <v>504.81063008331739</v>
      </c>
      <c r="AO128" s="59">
        <f t="shared" si="90"/>
        <v>441.82647565372287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40.143685759419334</v>
      </c>
      <c r="AV128" s="21">
        <f>EXP(-LN(2)/25)*AV127+(1-EXP(-LN(2)/25))/(LN(2)/25)*Calculateur!AQ128*Calculateur!AS128*VLOOKUP('Données projet'!$B$10,Paramètres!$A$1:$I$89,3,0)*0.475*44/12</f>
        <v>4.2271550928315333</v>
      </c>
      <c r="AW128" s="21">
        <f>EXP(-LN(2)/2)*AW127+(1-EXP(-LN(2)/2))/(LN(2)/2)*AQ128*AT128*VLOOKUP('Données projet'!$B$10,Paramètres!$A$1:$I$89,3,0)*0.475*44/12</f>
        <v>2.630964555908494E-16</v>
      </c>
      <c r="AX128" s="21">
        <f t="shared" si="60"/>
        <v>44.370840852250865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266.99999999999983</v>
      </c>
      <c r="BE128" s="13">
        <f>BD128*VLOOKUP('Données projet'!$B$11,Paramètres!$A$1:$I$89,3,0)*VLOOKUP('Données projet'!$B$11,Paramètres!$A$1:$I$89,5,0)</f>
        <v>233.2511999999999</v>
      </c>
      <c r="BF128" s="13">
        <f t="shared" si="91"/>
        <v>56.985091661350864</v>
      </c>
      <c r="BG128" s="20">
        <f t="shared" si="61"/>
        <v>505.49487464351915</v>
      </c>
      <c r="BH128" s="59">
        <f t="shared" si="62"/>
        <v>798.82820797685247</v>
      </c>
      <c r="BI128" s="59">
        <f ca="1">AVERAGE(OFFSET($BH$3,0,0,'Données projet'!$E$11+1,1))-AVERAGE(OFFSET($H$3,0,0,'Données projet'!$E$11+1,1))</f>
        <v>324.86930206492627</v>
      </c>
      <c r="BJ128" s="59">
        <f t="shared" si="92"/>
        <v>317.03005098025352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19.540545061242593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19.540545061242593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306.99999999999994</v>
      </c>
      <c r="BZ128" s="13">
        <f>BY128*VLOOKUP('Données projet'!$B$12,Paramètres!$A$1:$I$89,3,0)*VLOOKUP('Données projet'!$B$12,Paramètres!$A$1:$I$89,5,0)</f>
        <v>311.298</v>
      </c>
      <c r="CA128" s="13">
        <f t="shared" si="93"/>
        <v>73.539838278528748</v>
      </c>
      <c r="CB128" s="20">
        <f t="shared" si="64"/>
        <v>670.25923500177089</v>
      </c>
      <c r="CC128" s="59">
        <f t="shared" si="65"/>
        <v>963.59256833510426</v>
      </c>
      <c r="CD128" s="59">
        <f ca="1">AVERAGE(OFFSET($CC$3,0,0,'Données projet'!$E$12+1,1))-AVERAGE(OFFSET($H$3,0,0,'Données projet'!$E$12+1,1))</f>
        <v>487.18832528146936</v>
      </c>
      <c r="CE128" s="59">
        <f t="shared" si="94"/>
        <v>306.61893266146666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92.023594576452538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92.023594576452538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10.186999999999994</v>
      </c>
      <c r="CT128" s="12">
        <f>IF('Données projet'!$A$140&gt;35,CT127+CS128-DB127,IF(A128&lt;'Données projet'!$A$140,$CQ$205^A128,IF(A128='Données projet'!$A$140,'Données projet'!$B$140,CT127+CS128-DB127)))</f>
        <v>555.4749999999998</v>
      </c>
      <c r="CU128" s="17">
        <f>CT128*VLOOKUP('Données projet'!$B$13,Paramètres!$A$1:$I$89,3,0)*VLOOKUP('Données projet'!$B$13,Paramètres!$A$1:$I$89,5,0)</f>
        <v>528.59000999999978</v>
      </c>
      <c r="CV128" s="13">
        <f t="shared" si="95"/>
        <v>117.40861635247373</v>
      </c>
      <c r="CW128" s="20">
        <f t="shared" si="67"/>
        <v>1125.1142742305578</v>
      </c>
      <c r="CX128" s="59">
        <f t="shared" si="68"/>
        <v>1418.4476075638911</v>
      </c>
      <c r="CY128" s="59">
        <f ca="1">AVERAGE(OFFSET($CX$3,0,0,'Données projet'!$E$13+1,1))-AVERAGE(OFFSET($H$3,0,0,'Données projet'!$E$13+1,1))</f>
        <v>733.95677909788878</v>
      </c>
      <c r="CZ128" s="59">
        <f t="shared" si="96"/>
        <v>264.63778997972378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138.94514628460163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138.94514628460163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853.00000000000011</v>
      </c>
      <c r="O129" s="13">
        <f>N129*VLOOKUP('Données projet'!$B$9,Paramètres!$A$1:$I$89,3,0)*VLOOKUP('Données projet'!$B$9,Paramètres!$A$1:$I$89,5,0)</f>
        <v>399.20400000000006</v>
      </c>
      <c r="P129" s="13">
        <f t="shared" si="87"/>
        <v>91.615269732888521</v>
      </c>
      <c r="Q129" s="20">
        <f t="shared" si="107"/>
        <v>854.8435614514475</v>
      </c>
      <c r="R129" s="59">
        <f t="shared" si="55"/>
        <v>1148.1768947847809</v>
      </c>
      <c r="S129" s="59">
        <f ca="1">AVERAGE(OFFSET($R$3,0,0,'Données projet'!$E$9+1,1))-AVERAGE(OFFSET($H$3,0,0,'Données projet'!$E$9+1,1))</f>
        <v>488.67934252295686</v>
      </c>
      <c r="T129" s="59">
        <f t="shared" si="88"/>
        <v>424.50324471331095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55.731457389562287</v>
      </c>
      <c r="AA129" s="21">
        <f>EXP(-LN(2)/25)*AA128+(1-EXP(-LN(2)/25))/(LN(2)/25)*Calculateur!V129*Calculateur!X129*VLOOKUP('Données projet'!$B$9,Paramètres!$A$1:$I$89,3,0)*0.475*44/12</f>
        <v>3.4208067059489666</v>
      </c>
      <c r="AB129" s="21">
        <f>EXP(-LN(2)/2)*AB128+(1-EXP(-LN(2)/2))/(LN(2)/2)*V129*Y129*VLOOKUP('Données projet'!$B$9,Paramètres!$A$1:$I$89,3,0)*0.475*44/12</f>
        <v>2.8826220351693037E-15</v>
      </c>
      <c r="AC129" s="22">
        <f t="shared" si="57"/>
        <v>59.152264095511256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689</v>
      </c>
      <c r="AJ129" s="13">
        <f>AI129*VLOOKUP('Données projet'!$B$10,Paramètres!$A$1:$I$89,3,0)*VLOOKUP('Données projet'!$B$10,Paramètres!$A$1:$I$89,5,0)</f>
        <v>412.02199999999999</v>
      </c>
      <c r="AK129" s="13">
        <f t="shared" si="89"/>
        <v>94.209724877926391</v>
      </c>
      <c r="AL129" s="20">
        <f t="shared" si="58"/>
        <v>881.686920829055</v>
      </c>
      <c r="AM129" s="59">
        <f t="shared" si="59"/>
        <v>1175.0202541623883</v>
      </c>
      <c r="AN129" s="59">
        <f ca="1">AVERAGE(OFFSET($AM$3,0,0,'Données projet'!$E$10+1,1))-AVERAGE(OFFSET($H$3,0,0,'Données projet'!$E$10+1,1))</f>
        <v>504.81063008331739</v>
      </c>
      <c r="AO129" s="59">
        <f t="shared" si="90"/>
        <v>441.82647565372287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39.356492566907718</v>
      </c>
      <c r="AV129" s="21">
        <f>EXP(-LN(2)/25)*AV128+(1-EXP(-LN(2)/25))/(LN(2)/25)*Calculateur!AQ129*Calculateur!AS129*VLOOKUP('Données projet'!$B$10,Paramètres!$A$1:$I$89,3,0)*0.475*44/12</f>
        <v>4.1115633145216304</v>
      </c>
      <c r="AW129" s="21">
        <f>EXP(-LN(2)/2)*AW128+(1-EXP(-LN(2)/2))/(LN(2)/2)*AQ129*AT129*VLOOKUP('Données projet'!$B$10,Paramètres!$A$1:$I$89,3,0)*0.475*44/12</f>
        <v>1.8603728785443497E-16</v>
      </c>
      <c r="AX129" s="21">
        <f t="shared" si="60"/>
        <v>43.468055881429351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266.99999999999983</v>
      </c>
      <c r="BE129" s="13">
        <f>BD129*VLOOKUP('Données projet'!$B$11,Paramètres!$A$1:$I$89,3,0)*VLOOKUP('Données projet'!$B$11,Paramètres!$A$1:$I$89,5,0)</f>
        <v>233.2511999999999</v>
      </c>
      <c r="BF129" s="13">
        <f t="shared" si="91"/>
        <v>56.985091661350864</v>
      </c>
      <c r="BG129" s="20">
        <f t="shared" si="61"/>
        <v>505.49487464351915</v>
      </c>
      <c r="BH129" s="59">
        <f t="shared" si="62"/>
        <v>798.82820797685247</v>
      </c>
      <c r="BI129" s="59">
        <f ca="1">AVERAGE(OFFSET($BH$3,0,0,'Données projet'!$E$11+1,1))-AVERAGE(OFFSET($H$3,0,0,'Données projet'!$E$11+1,1))</f>
        <v>324.86930206492627</v>
      </c>
      <c r="BJ129" s="59">
        <f t="shared" si="92"/>
        <v>317.03005098025352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19.157366891147255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19.157366891147255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306.99999999999994</v>
      </c>
      <c r="BZ129" s="13">
        <f>BY129*VLOOKUP('Données projet'!$B$12,Paramètres!$A$1:$I$89,3,0)*VLOOKUP('Données projet'!$B$12,Paramètres!$A$1:$I$89,5,0)</f>
        <v>311.298</v>
      </c>
      <c r="CA129" s="13">
        <f t="shared" si="93"/>
        <v>73.539838278528748</v>
      </c>
      <c r="CB129" s="20">
        <f t="shared" si="64"/>
        <v>670.25923500177089</v>
      </c>
      <c r="CC129" s="59">
        <f t="shared" si="65"/>
        <v>963.59256833510426</v>
      </c>
      <c r="CD129" s="59">
        <f ca="1">AVERAGE(OFFSET($CC$3,0,0,'Données projet'!$E$12+1,1))-AVERAGE(OFFSET($H$3,0,0,'Données projet'!$E$12+1,1))</f>
        <v>487.18832528146936</v>
      </c>
      <c r="CE129" s="59">
        <f t="shared" si="94"/>
        <v>306.61893266146666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90.219068015658735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90.219068015658735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10.186999999999994</v>
      </c>
      <c r="CT129" s="12">
        <f>IF('Données projet'!$A$140&gt;35,CT128+CS129-DB128,IF(A129&lt;'Données projet'!$A$140,$CQ$205^A129,IF(A129='Données projet'!$A$140,'Données projet'!$B$140,CT128+CS129-DB128)))</f>
        <v>565.66199999999981</v>
      </c>
      <c r="CU129" s="17">
        <f>CT129*VLOOKUP('Données projet'!$B$13,Paramètres!$A$1:$I$89,3,0)*VLOOKUP('Données projet'!$B$13,Paramètres!$A$1:$I$89,5,0)</f>
        <v>538.2839591999998</v>
      </c>
      <c r="CV129" s="13">
        <f t="shared" si="95"/>
        <v>119.30915546921653</v>
      </c>
      <c r="CW129" s="20">
        <f t="shared" si="67"/>
        <v>1145.3080080488851</v>
      </c>
      <c r="CX129" s="59">
        <f t="shared" si="68"/>
        <v>1438.6413413822183</v>
      </c>
      <c r="CY129" s="59">
        <f ca="1">AVERAGE(OFFSET($CX$3,0,0,'Données projet'!$E$13+1,1))-AVERAGE(OFFSET($H$3,0,0,'Données projet'!$E$13+1,1))</f>
        <v>733.95677909788878</v>
      </c>
      <c r="CZ129" s="59">
        <f t="shared" si="96"/>
        <v>264.63778997972378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136.22051671413163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136.22051671413163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853.00000000000011</v>
      </c>
      <c r="O130" s="13">
        <f>N130*VLOOKUP('Données projet'!$B$9,Paramètres!$A$1:$I$89,3,0)*VLOOKUP('Données projet'!$B$9,Paramètres!$A$1:$I$89,5,0)</f>
        <v>399.20400000000006</v>
      </c>
      <c r="P130" s="13">
        <f t="shared" si="87"/>
        <v>91.615269732888521</v>
      </c>
      <c r="Q130" s="20">
        <f t="shared" si="107"/>
        <v>854.8435614514475</v>
      </c>
      <c r="R130" s="59">
        <f t="shared" si="55"/>
        <v>1148.1768947847809</v>
      </c>
      <c r="S130" s="59">
        <f ca="1">AVERAGE(OFFSET($R$3,0,0,'Données projet'!$E$9+1,1))-AVERAGE(OFFSET($H$3,0,0,'Données projet'!$E$9+1,1))</f>
        <v>488.67934252295686</v>
      </c>
      <c r="T130" s="59">
        <f t="shared" si="88"/>
        <v>424.50324471331095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54.638597502985462</v>
      </c>
      <c r="AA130" s="21">
        <f>EXP(-LN(2)/25)*AA129+(1-EXP(-LN(2)/25))/(LN(2)/25)*Calculateur!V130*Calculateur!X130*VLOOKUP('Données projet'!$B$9,Paramètres!$A$1:$I$89,3,0)*0.475*44/12</f>
        <v>3.3272645666823859</v>
      </c>
      <c r="AB130" s="21">
        <f>EXP(-LN(2)/2)*AB129+(1-EXP(-LN(2)/2))/(LN(2)/2)*V130*Y130*VLOOKUP('Données projet'!$B$9,Paramètres!$A$1:$I$89,3,0)*0.475*44/12</f>
        <v>2.0383215886659811E-15</v>
      </c>
      <c r="AC130" s="22">
        <f t="shared" si="57"/>
        <v>57.96586206966785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689</v>
      </c>
      <c r="AJ130" s="13">
        <f>AI130*VLOOKUP('Données projet'!$B$10,Paramètres!$A$1:$I$89,3,0)*VLOOKUP('Données projet'!$B$10,Paramètres!$A$1:$I$89,5,0)</f>
        <v>412.02199999999999</v>
      </c>
      <c r="AK130" s="13">
        <f t="shared" si="89"/>
        <v>94.209724877926391</v>
      </c>
      <c r="AL130" s="20">
        <f t="shared" si="58"/>
        <v>881.686920829055</v>
      </c>
      <c r="AM130" s="59">
        <f t="shared" si="59"/>
        <v>1175.0202541623883</v>
      </c>
      <c r="AN130" s="59">
        <f ca="1">AVERAGE(OFFSET($AM$3,0,0,'Données projet'!$E$10+1,1))-AVERAGE(OFFSET($H$3,0,0,'Données projet'!$E$10+1,1))</f>
        <v>504.81063008331739</v>
      </c>
      <c r="AO130" s="59">
        <f t="shared" si="90"/>
        <v>441.82647565372287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38.584735752760821</v>
      </c>
      <c r="AV130" s="21">
        <f>EXP(-LN(2)/25)*AV129+(1-EXP(-LN(2)/25))/(LN(2)/25)*Calculateur!AQ130*Calculateur!AS130*VLOOKUP('Données projet'!$B$10,Paramètres!$A$1:$I$89,3,0)*0.475*44/12</f>
        <v>3.9991323994683188</v>
      </c>
      <c r="AW130" s="21">
        <f>EXP(-LN(2)/2)*AW129+(1-EXP(-LN(2)/2))/(LN(2)/2)*AQ130*AT130*VLOOKUP('Données projet'!$B$10,Paramètres!$A$1:$I$89,3,0)*0.475*44/12</f>
        <v>1.315482277954247E-16</v>
      </c>
      <c r="AX130" s="21">
        <f t="shared" si="60"/>
        <v>42.583868152229137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266.99999999999983</v>
      </c>
      <c r="BE130" s="13">
        <f>BD130*VLOOKUP('Données projet'!$B$11,Paramètres!$A$1:$I$89,3,0)*VLOOKUP('Données projet'!$B$11,Paramètres!$A$1:$I$89,5,0)</f>
        <v>233.2511999999999</v>
      </c>
      <c r="BF130" s="13">
        <f t="shared" si="91"/>
        <v>56.985091661350864</v>
      </c>
      <c r="BG130" s="20">
        <f t="shared" si="61"/>
        <v>505.49487464351915</v>
      </c>
      <c r="BH130" s="59">
        <f t="shared" si="62"/>
        <v>798.82820797685247</v>
      </c>
      <c r="BI130" s="59">
        <f ca="1">AVERAGE(OFFSET($BH$3,0,0,'Données projet'!$E$11+1,1))-AVERAGE(OFFSET($H$3,0,0,'Données projet'!$E$11+1,1))</f>
        <v>324.86930206492627</v>
      </c>
      <c r="BJ130" s="59">
        <f t="shared" si="92"/>
        <v>317.03005098025352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18.78170261125188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18.78170261125188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306.99999999999994</v>
      </c>
      <c r="BZ130" s="13">
        <f>BY130*VLOOKUP('Données projet'!$B$12,Paramètres!$A$1:$I$89,3,0)*VLOOKUP('Données projet'!$B$12,Paramètres!$A$1:$I$89,5,0)</f>
        <v>311.298</v>
      </c>
      <c r="CA130" s="13">
        <f t="shared" si="93"/>
        <v>73.539838278528748</v>
      </c>
      <c r="CB130" s="20">
        <f t="shared" si="64"/>
        <v>670.25923500177089</v>
      </c>
      <c r="CC130" s="59">
        <f t="shared" si="65"/>
        <v>963.59256833510426</v>
      </c>
      <c r="CD130" s="59">
        <f ca="1">AVERAGE(OFFSET($CC$3,0,0,'Données projet'!$E$12+1,1))-AVERAGE(OFFSET($H$3,0,0,'Données projet'!$E$12+1,1))</f>
        <v>487.18832528146936</v>
      </c>
      <c r="CE130" s="59">
        <f t="shared" si="94"/>
        <v>306.61893266146666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88.449927120069574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88.449927120069574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10.186999999999994</v>
      </c>
      <c r="CT130" s="12">
        <f>IF('Données projet'!$A$140&gt;35,CT129+CS130-DB129,IF(A130&lt;'Données projet'!$A$140,$CQ$205^A130,IF(A130='Données projet'!$A$140,'Données projet'!$B$140,CT129+CS130-DB129)))</f>
        <v>575.84899999999982</v>
      </c>
      <c r="CU130" s="17">
        <f>CT130*VLOOKUP('Données projet'!$B$13,Paramètres!$A$1:$I$89,3,0)*VLOOKUP('Données projet'!$B$13,Paramètres!$A$1:$I$89,5,0)</f>
        <v>547.97790839999993</v>
      </c>
      <c r="CV130" s="13">
        <f t="shared" si="95"/>
        <v>121.20571453348434</v>
      </c>
      <c r="CW130" s="20">
        <f t="shared" si="67"/>
        <v>1165.4948099424848</v>
      </c>
      <c r="CX130" s="59">
        <f t="shared" si="68"/>
        <v>1458.8281432758181</v>
      </c>
      <c r="CY130" s="59">
        <f ca="1">AVERAGE(OFFSET($CX$3,0,0,'Données projet'!$E$13+1,1))-AVERAGE(OFFSET($H$3,0,0,'Données projet'!$E$13+1,1))</f>
        <v>733.95677909788878</v>
      </c>
      <c r="CZ130" s="59">
        <f t="shared" si="96"/>
        <v>264.63778997972378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133.54931546767861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133.54931546767861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853.00000000000011</v>
      </c>
      <c r="O131" s="13">
        <f>N131*VLOOKUP('Données projet'!$B$9,Paramètres!$A$1:$I$89,3,0)*VLOOKUP('Données projet'!$B$9,Paramètres!$A$1:$I$89,5,0)</f>
        <v>399.20400000000006</v>
      </c>
      <c r="P131" s="13">
        <f t="shared" si="87"/>
        <v>91.615269732888521</v>
      </c>
      <c r="Q131" s="20">
        <f t="shared" ref="Q131:Q153" si="108">(O131+P131)*0.475*44/12</f>
        <v>854.8435614514475</v>
      </c>
      <c r="R131" s="59">
        <f t="shared" ref="R131:R194" si="109">Q131+(I131+J131)*44/12</f>
        <v>1148.1768947847809</v>
      </c>
      <c r="S131" s="59">
        <f ca="1">AVERAGE(OFFSET($R$3,0,0,'Données projet'!$E$9+1,1))-AVERAGE(OFFSET($H$3,0,0,'Données projet'!$E$9+1,1))</f>
        <v>488.67934252295686</v>
      </c>
      <c r="T131" s="59">
        <f t="shared" si="88"/>
        <v>424.50324471331095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53.567167932205699</v>
      </c>
      <c r="AA131" s="21">
        <f>EXP(-LN(2)/25)*AA130+(1-EXP(-LN(2)/25))/(LN(2)/25)*Calculateur!V131*Calculateur!X131*VLOOKUP('Données projet'!$B$9,Paramètres!$A$1:$I$89,3,0)*0.475*44/12</f>
        <v>3.2362803421332171</v>
      </c>
      <c r="AB131" s="21">
        <f>EXP(-LN(2)/2)*AB130+(1-EXP(-LN(2)/2))/(LN(2)/2)*V131*Y131*VLOOKUP('Données projet'!$B$9,Paramètres!$A$1:$I$89,3,0)*0.475*44/12</f>
        <v>1.4413110175846518E-15</v>
      </c>
      <c r="AC131" s="22">
        <f t="shared" si="57"/>
        <v>56.803448274338919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689</v>
      </c>
      <c r="AJ131" s="13">
        <f>AI131*VLOOKUP('Données projet'!$B$10,Paramètres!$A$1:$I$89,3,0)*VLOOKUP('Données projet'!$B$10,Paramètres!$A$1:$I$89,5,0)</f>
        <v>412.02199999999999</v>
      </c>
      <c r="AK131" s="13">
        <f t="shared" si="89"/>
        <v>94.209724877926391</v>
      </c>
      <c r="AL131" s="20">
        <f t="shared" si="58"/>
        <v>881.686920829055</v>
      </c>
      <c r="AM131" s="59">
        <f t="shared" si="59"/>
        <v>1175.0202541623883</v>
      </c>
      <c r="AN131" s="59">
        <f ca="1">AVERAGE(OFFSET($AM$3,0,0,'Données projet'!$E$10+1,1))-AVERAGE(OFFSET($H$3,0,0,'Données projet'!$E$10+1,1))</f>
        <v>504.81063008331739</v>
      </c>
      <c r="AO131" s="59">
        <f t="shared" si="90"/>
        <v>441.82647565372287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37.828112619014163</v>
      </c>
      <c r="AV131" s="21">
        <f>EXP(-LN(2)/25)*AV130+(1-EXP(-LN(2)/25))/(LN(2)/25)*Calculateur!AQ131*Calculateur!AS131*VLOOKUP('Données projet'!$B$10,Paramètres!$A$1:$I$89,3,0)*0.475*44/12</f>
        <v>3.8897759136996251</v>
      </c>
      <c r="AW131" s="21">
        <f>EXP(-LN(2)/2)*AW130+(1-EXP(-LN(2)/2))/(LN(2)/2)*AQ131*AT131*VLOOKUP('Données projet'!$B$10,Paramètres!$A$1:$I$89,3,0)*0.475*44/12</f>
        <v>9.3018643927217483E-17</v>
      </c>
      <c r="AX131" s="21">
        <f t="shared" si="60"/>
        <v>41.717888532713786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266.99999999999983</v>
      </c>
      <c r="BE131" s="13">
        <f>BD131*VLOOKUP('Données projet'!$B$11,Paramètres!$A$1:$I$89,3,0)*VLOOKUP('Données projet'!$B$11,Paramètres!$A$1:$I$89,5,0)</f>
        <v>233.2511999999999</v>
      </c>
      <c r="BF131" s="13">
        <f t="shared" si="91"/>
        <v>56.985091661350864</v>
      </c>
      <c r="BG131" s="20">
        <f t="shared" si="61"/>
        <v>505.49487464351915</v>
      </c>
      <c r="BH131" s="59">
        <f t="shared" si="62"/>
        <v>798.82820797685247</v>
      </c>
      <c r="BI131" s="59">
        <f ca="1">AVERAGE(OFFSET($BH$3,0,0,'Données projet'!$E$11+1,1))-AVERAGE(OFFSET($H$3,0,0,'Données projet'!$E$11+1,1))</f>
        <v>324.86930206492627</v>
      </c>
      <c r="BJ131" s="59">
        <f t="shared" si="92"/>
        <v>317.03005098025352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18.413404878752665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18.413404878752665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306.99999999999994</v>
      </c>
      <c r="BZ131" s="13">
        <f>BY131*VLOOKUP('Données projet'!$B$12,Paramètres!$A$1:$I$89,3,0)*VLOOKUP('Données projet'!$B$12,Paramètres!$A$1:$I$89,5,0)</f>
        <v>311.298</v>
      </c>
      <c r="CA131" s="13">
        <f t="shared" si="93"/>
        <v>73.539838278528748</v>
      </c>
      <c r="CB131" s="20">
        <f t="shared" si="64"/>
        <v>670.25923500177089</v>
      </c>
      <c r="CC131" s="59">
        <f t="shared" si="65"/>
        <v>963.59256833510426</v>
      </c>
      <c r="CD131" s="59">
        <f ca="1">AVERAGE(OFFSET($CC$3,0,0,'Données projet'!$E$12+1,1))-AVERAGE(OFFSET($H$3,0,0,'Données projet'!$E$12+1,1))</f>
        <v>487.18832528146936</v>
      </c>
      <c r="CE131" s="59">
        <f t="shared" si="94"/>
        <v>306.61893266146666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86.715477998373515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86.715477998373515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10.186999999999994</v>
      </c>
      <c r="CT131" s="12">
        <f>IF('Données projet'!$A$140&gt;35,CT130+CS131-DB130,IF(A131&lt;'Données projet'!$A$140,$CQ$205^A131,IF(A131='Données projet'!$A$140,'Données projet'!$B$140,CT130+CS131-DB130)))</f>
        <v>586.03599999999983</v>
      </c>
      <c r="CU131" s="17">
        <f>CT131*VLOOKUP('Données projet'!$B$13,Paramètres!$A$1:$I$89,3,0)*VLOOKUP('Données projet'!$B$13,Paramètres!$A$1:$I$89,5,0)</f>
        <v>557.67185759999984</v>
      </c>
      <c r="CV131" s="13">
        <f t="shared" si="95"/>
        <v>123.09837207696302</v>
      </c>
      <c r="CW131" s="20">
        <f t="shared" si="67"/>
        <v>1185.6748166873767</v>
      </c>
      <c r="CX131" s="59">
        <f t="shared" si="68"/>
        <v>1479.00815002071</v>
      </c>
      <c r="CY131" s="59">
        <f ca="1">AVERAGE(OFFSET($CX$3,0,0,'Données projet'!$E$13+1,1))-AVERAGE(OFFSET($H$3,0,0,'Données projet'!$E$13+1,1))</f>
        <v>733.95677909788878</v>
      </c>
      <c r="CZ131" s="59">
        <f t="shared" si="96"/>
        <v>264.63778997972378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130.93049484839665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130.93049484839665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853.00000000000011</v>
      </c>
      <c r="O132" s="13">
        <f>N132*VLOOKUP('Données projet'!$B$9,Paramètres!$A$1:$I$89,3,0)*VLOOKUP('Données projet'!$B$9,Paramètres!$A$1:$I$89,5,0)</f>
        <v>399.20400000000006</v>
      </c>
      <c r="P132" s="13">
        <f t="shared" si="87"/>
        <v>91.615269732888521</v>
      </c>
      <c r="Q132" s="20">
        <f t="shared" si="108"/>
        <v>854.8435614514475</v>
      </c>
      <c r="R132" s="59">
        <f t="shared" si="109"/>
        <v>1148.1768947847809</v>
      </c>
      <c r="S132" s="59">
        <f ca="1">AVERAGE(OFFSET($R$3,0,0,'Données projet'!$E$9+1,1))-AVERAGE(OFFSET($H$3,0,0,'Données projet'!$E$9+1,1))</f>
        <v>488.67934252295686</v>
      </c>
      <c r="T132" s="59">
        <f t="shared" si="88"/>
        <v>424.50324471331095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52.516748441801418</v>
      </c>
      <c r="AA132" s="21">
        <f>EXP(-LN(2)/25)*AA131+(1-EXP(-LN(2)/25))/(LN(2)/25)*Calculateur!V132*Calculateur!X132*VLOOKUP('Données projet'!$B$9,Paramètres!$A$1:$I$89,3,0)*0.475*44/12</f>
        <v>3.1477840859889978</v>
      </c>
      <c r="AB132" s="21">
        <f>EXP(-LN(2)/2)*AB131+(1-EXP(-LN(2)/2))/(LN(2)/2)*V132*Y132*VLOOKUP('Données projet'!$B$9,Paramètres!$A$1:$I$89,3,0)*0.475*44/12</f>
        <v>1.0191607943329905E-15</v>
      </c>
      <c r="AC132" s="22">
        <f t="shared" ref="AC132:AC153" si="111">SUM(Z132:AB132)</f>
        <v>55.664532527790413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689</v>
      </c>
      <c r="AJ132" s="13">
        <f>AI132*VLOOKUP('Données projet'!$B$10,Paramètres!$A$1:$I$89,3,0)*VLOOKUP('Données projet'!$B$10,Paramètres!$A$1:$I$89,5,0)</f>
        <v>412.02199999999999</v>
      </c>
      <c r="AK132" s="13">
        <f t="shared" si="89"/>
        <v>94.209724877926391</v>
      </c>
      <c r="AL132" s="20">
        <f t="shared" ref="AL132:AL153" si="112">(AJ132+AK132)*0.475*44/12</f>
        <v>881.686920829055</v>
      </c>
      <c r="AM132" s="59">
        <f t="shared" ref="AM132:AM195" si="113">AL132+(AD132+AE132)*44/12</f>
        <v>1175.0202541623883</v>
      </c>
      <c r="AN132" s="59">
        <f ca="1">AVERAGE(OFFSET($AM$3,0,0,'Données projet'!$E$10+1,1))-AVERAGE(OFFSET($H$3,0,0,'Données projet'!$E$10+1,1))</f>
        <v>504.81063008331739</v>
      </c>
      <c r="AO132" s="59">
        <f t="shared" si="90"/>
        <v>441.82647565372287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37.086326403425737</v>
      </c>
      <c r="AV132" s="21">
        <f>EXP(-LN(2)/25)*AV131+(1-EXP(-LN(2)/25))/(LN(2)/25)*Calculateur!AQ132*Calculateur!AS132*VLOOKUP('Données projet'!$B$10,Paramètres!$A$1:$I$89,3,0)*0.475*44/12</f>
        <v>3.7834097867850836</v>
      </c>
      <c r="AW132" s="21">
        <f>EXP(-LN(2)/2)*AW131+(1-EXP(-LN(2)/2))/(LN(2)/2)*AQ132*AT132*VLOOKUP('Données projet'!$B$10,Paramètres!$A$1:$I$89,3,0)*0.475*44/12</f>
        <v>6.5774113897712349E-17</v>
      </c>
      <c r="AX132" s="21">
        <f t="shared" ref="AX132:AX153" si="114">SUM(AU132:AW132)</f>
        <v>40.869736190210823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266.99999999999983</v>
      </c>
      <c r="BE132" s="13">
        <f>BD132*VLOOKUP('Données projet'!$B$11,Paramètres!$A$1:$I$89,3,0)*VLOOKUP('Données projet'!$B$11,Paramètres!$A$1:$I$89,5,0)</f>
        <v>233.2511999999999</v>
      </c>
      <c r="BF132" s="13">
        <f t="shared" si="91"/>
        <v>56.985091661350864</v>
      </c>
      <c r="BG132" s="20">
        <f t="shared" ref="BG132:BG153" si="115">(BE132+BF132)*0.475*44/12</f>
        <v>505.49487464351915</v>
      </c>
      <c r="BH132" s="59">
        <f t="shared" ref="BH132:BH195" si="116">BG132+(AY132+AZ132)*44/12</f>
        <v>798.82820797685247</v>
      </c>
      <c r="BI132" s="59">
        <f ca="1">AVERAGE(OFFSET($BH$3,0,0,'Données projet'!$E$11+1,1))-AVERAGE(OFFSET($H$3,0,0,'Données projet'!$E$11+1,1))</f>
        <v>324.86930206492627</v>
      </c>
      <c r="BJ132" s="59">
        <f t="shared" si="92"/>
        <v>317.03005098025352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18.052329240148325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18.052329240148325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306.99999999999994</v>
      </c>
      <c r="BZ132" s="13">
        <f>BY132*VLOOKUP('Données projet'!$B$12,Paramètres!$A$1:$I$89,3,0)*VLOOKUP('Données projet'!$B$12,Paramètres!$A$1:$I$89,5,0)</f>
        <v>311.298</v>
      </c>
      <c r="CA132" s="13">
        <f t="shared" si="93"/>
        <v>73.539838278528748</v>
      </c>
      <c r="CB132" s="20">
        <f t="shared" ref="CB132:CB153" si="118">(BZ132+CA132)*0.475*44/12</f>
        <v>670.25923500177089</v>
      </c>
      <c r="CC132" s="59">
        <f t="shared" ref="CC132:CC195" si="119">CB132+(BT132+BU132)*44/12</f>
        <v>963.59256833510426</v>
      </c>
      <c r="CD132" s="59">
        <f ca="1">AVERAGE(OFFSET($CC$3,0,0,'Données projet'!$E$12+1,1))-AVERAGE(OFFSET($H$3,0,0,'Données projet'!$E$12+1,1))</f>
        <v>487.18832528146936</v>
      </c>
      <c r="CE132" s="59">
        <f t="shared" si="94"/>
        <v>306.61893266146666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85.015040366044417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85.015040366044417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10.186999999999994</v>
      </c>
      <c r="CT132" s="12">
        <f>IF('Données projet'!$A$140&gt;35,CT131+CS132-DB131,IF(A132&lt;'Données projet'!$A$140,$CQ$205^A132,IF(A132='Données projet'!$A$140,'Données projet'!$B$140,CT131+CS132-DB131)))</f>
        <v>596.22299999999984</v>
      </c>
      <c r="CU132" s="17">
        <f>CT132*VLOOKUP('Données projet'!$B$13,Paramètres!$A$1:$I$89,3,0)*VLOOKUP('Données projet'!$B$13,Paramètres!$A$1:$I$89,5,0)</f>
        <v>567.36580679999986</v>
      </c>
      <c r="CV132" s="13">
        <f t="shared" si="95"/>
        <v>124.98720374471048</v>
      </c>
      <c r="CW132" s="20">
        <f t="shared" ref="CW132:CW153" si="121">(CU132+CV132)*0.475*44/12</f>
        <v>1205.848160032037</v>
      </c>
      <c r="CX132" s="59">
        <f t="shared" ref="CX132:CX195" si="122">CW132+(CO132+CP132)*44/12</f>
        <v>1499.1814933653702</v>
      </c>
      <c r="CY132" s="59">
        <f ca="1">AVERAGE(OFFSET($CX$3,0,0,'Données projet'!$E$13+1,1))-AVERAGE(OFFSET($H$3,0,0,'Données projet'!$E$13+1,1))</f>
        <v>733.95677909788878</v>
      </c>
      <c r="CZ132" s="59">
        <f t="shared" si="96"/>
        <v>264.63778997972378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128.36302770413596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128.36302770413596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853.00000000000011</v>
      </c>
      <c r="O133" s="13">
        <f>N133*VLOOKUP('Données projet'!$B$9,Paramètres!$A$1:$I$89,3,0)*VLOOKUP('Données projet'!$B$9,Paramètres!$A$1:$I$89,5,0)</f>
        <v>399.20400000000006</v>
      </c>
      <c r="P133" s="13">
        <f t="shared" ref="P133:P196" si="141">EXP(-1.0587+0.8836*LN(O133)+0.284)</f>
        <v>91.615269732888521</v>
      </c>
      <c r="Q133" s="20">
        <f t="shared" si="108"/>
        <v>854.8435614514475</v>
      </c>
      <c r="R133" s="59">
        <f t="shared" si="109"/>
        <v>1148.1768947847809</v>
      </c>
      <c r="S133" s="59">
        <f ca="1">AVERAGE(OFFSET($R$3,0,0,'Données projet'!$E$9+1,1))-AVERAGE(OFFSET($H$3,0,0,'Données projet'!$E$9+1,1))</f>
        <v>488.67934252295686</v>
      </c>
      <c r="T133" s="59">
        <f t="shared" ref="T133:T196" si="142">$T$3</f>
        <v>424.50324471331095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51.486927036911339</v>
      </c>
      <c r="AA133" s="21">
        <f>EXP(-LN(2)/25)*AA132+(1-EXP(-LN(2)/25))/(LN(2)/25)*Calculateur!V133*Calculateur!X133*VLOOKUP('Données projet'!$B$9,Paramètres!$A$1:$I$89,3,0)*0.475*44/12</f>
        <v>3.0617077646228581</v>
      </c>
      <c r="AB133" s="21">
        <f>EXP(-LN(2)/2)*AB132+(1-EXP(-LN(2)/2))/(LN(2)/2)*V133*Y133*VLOOKUP('Données projet'!$B$9,Paramètres!$A$1:$I$89,3,0)*0.475*44/12</f>
        <v>7.2065550879232592E-16</v>
      </c>
      <c r="AC133" s="22">
        <f t="shared" si="111"/>
        <v>54.548634801534199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689</v>
      </c>
      <c r="AJ133" s="13">
        <f>AI133*VLOOKUP('Données projet'!$B$10,Paramètres!$A$1:$I$89,3,0)*VLOOKUP('Données projet'!$B$10,Paramètres!$A$1:$I$89,5,0)</f>
        <v>412.02199999999999</v>
      </c>
      <c r="AK133" s="13">
        <f t="shared" ref="AK133:AK153" si="143">EXP(-1.0587+0.8836*LN(AJ133)+0.284)</f>
        <v>94.209724877926391</v>
      </c>
      <c r="AL133" s="20">
        <f t="shared" si="112"/>
        <v>881.686920829055</v>
      </c>
      <c r="AM133" s="59">
        <f t="shared" si="113"/>
        <v>1175.0202541623883</v>
      </c>
      <c r="AN133" s="59">
        <f ca="1">AVERAGE(OFFSET($AM$3,0,0,'Données projet'!$E$10+1,1))-AVERAGE(OFFSET($H$3,0,0,'Données projet'!$E$10+1,1))</f>
        <v>504.81063008331739</v>
      </c>
      <c r="AO133" s="59">
        <f t="shared" ref="AO133:AO196" si="144">$AO$3</f>
        <v>441.82647565372287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36.359086163080086</v>
      </c>
      <c r="AV133" s="21">
        <f>EXP(-LN(2)/25)*AV132+(1-EXP(-LN(2)/25))/(LN(2)/25)*Calculateur!AQ133*Calculateur!AS133*VLOOKUP('Données projet'!$B$10,Paramètres!$A$1:$I$89,3,0)*0.475*44/12</f>
        <v>3.679952247204572</v>
      </c>
      <c r="AW133" s="21">
        <f>EXP(-LN(2)/2)*AW132+(1-EXP(-LN(2)/2))/(LN(2)/2)*AQ133*AT133*VLOOKUP('Données projet'!$B$10,Paramètres!$A$1:$I$89,3,0)*0.475*44/12</f>
        <v>4.6509321963608741E-17</v>
      </c>
      <c r="AX133" s="21">
        <f t="shared" si="114"/>
        <v>40.039038410284661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266.99999999999983</v>
      </c>
      <c r="BE133" s="13">
        <f>BD133*VLOOKUP('Données projet'!$B$11,Paramètres!$A$1:$I$89,3,0)*VLOOKUP('Données projet'!$B$11,Paramètres!$A$1:$I$89,5,0)</f>
        <v>233.2511999999999</v>
      </c>
      <c r="BF133" s="13">
        <f t="shared" ref="BF133:BF153" si="145">EXP(-1.0587+0.8836*LN(BE133)+0.284)</f>
        <v>56.985091661350864</v>
      </c>
      <c r="BG133" s="20">
        <f t="shared" si="115"/>
        <v>505.49487464351915</v>
      </c>
      <c r="BH133" s="59">
        <f t="shared" si="116"/>
        <v>798.82820797685247</v>
      </c>
      <c r="BI133" s="59">
        <f ca="1">AVERAGE(OFFSET($BH$3,0,0,'Données projet'!$E$11+1,1))-AVERAGE(OFFSET($H$3,0,0,'Données projet'!$E$11+1,1))</f>
        <v>324.86930206492627</v>
      </c>
      <c r="BJ133" s="59">
        <f t="shared" ref="BJ133:BJ196" si="146">$BJ$3</f>
        <v>317.03005098025352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17.698334074582622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17.698334074582622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306.99999999999994</v>
      </c>
      <c r="BZ133" s="13">
        <f>BY133*VLOOKUP('Données projet'!$B$12,Paramètres!$A$1:$I$89,3,0)*VLOOKUP('Données projet'!$B$12,Paramètres!$A$1:$I$89,5,0)</f>
        <v>311.298</v>
      </c>
      <c r="CA133" s="13">
        <f t="shared" ref="CA133:CA153" si="147">EXP(-1.0587+0.8836*LN(BZ133)+0.284)</f>
        <v>73.539838278528748</v>
      </c>
      <c r="CB133" s="20">
        <f t="shared" si="118"/>
        <v>670.25923500177089</v>
      </c>
      <c r="CC133" s="59">
        <f t="shared" si="119"/>
        <v>963.59256833510426</v>
      </c>
      <c r="CD133" s="59">
        <f ca="1">AVERAGE(OFFSET($CC$3,0,0,'Données projet'!$E$12+1,1))-AVERAGE(OFFSET($H$3,0,0,'Données projet'!$E$12+1,1))</f>
        <v>487.18832528146936</v>
      </c>
      <c r="CE133" s="59">
        <f t="shared" ref="CE133:CE196" si="148">$CE$3</f>
        <v>306.61893266146666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83.347947278520749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83.347947278520749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606.41</v>
      </c>
      <c r="CR133" s="12">
        <f>VLOOKUP(A133,'Données projet'!$A$139:$I$159,9,0)</f>
        <v>10.186999999999994</v>
      </c>
      <c r="CS133" s="12">
        <f t="array" ref="CS133">INDEX(CR:CR,MIN(IF(ISNUMBER(CR133:CR329),ROW(CR133:CR329),"")))</f>
        <v>10.186999999999994</v>
      </c>
      <c r="CT133" s="12">
        <f>IF('Données projet'!$A$140&gt;35,CT132+CS133-DB132,IF(A133&lt;'Données projet'!$A$140,$CQ$205^A133,IF(A133='Données projet'!$A$140,'Données projet'!$B$140,CT132+CS133-DB132)))</f>
        <v>606.40999999999985</v>
      </c>
      <c r="CU133" s="17">
        <f>CT133*VLOOKUP('Données projet'!$B$13,Paramètres!$A$1:$I$89,3,0)*VLOOKUP('Données projet'!$B$13,Paramètres!$A$1:$I$89,5,0)</f>
        <v>577.05975599999988</v>
      </c>
      <c r="CV133" s="13">
        <f t="shared" ref="CV133:CV153" si="149">EXP(-1.0587+0.8836*LN(CU133)+0.284)</f>
        <v>126.87228244873639</v>
      </c>
      <c r="CW133" s="20">
        <f t="shared" si="121"/>
        <v>1226.0149669648824</v>
      </c>
      <c r="CX133" s="59">
        <f t="shared" si="122"/>
        <v>1519.3483002982157</v>
      </c>
      <c r="CY133" s="59">
        <f ca="1">AVERAGE(OFFSET($CX$3,0,0,'Données projet'!$E$13+1,1))-AVERAGE(OFFSET($H$3,0,0,'Données projet'!$E$13+1,1))</f>
        <v>733.95677909788878</v>
      </c>
      <c r="CZ133" s="59">
        <f t="shared" ref="CZ133:CZ196" si="150">$CZ$3</f>
        <v>264.63778997972378</v>
      </c>
      <c r="DA133" s="15">
        <f>IF(ISNA(VLOOKUP(A133,'Données projet'!$A$139:$I$159,3,0)),0,VLOOKUP(A133,'Données projet'!$A$139:$I$159,3,0))</f>
        <v>12</v>
      </c>
      <c r="DB133" s="15">
        <f>IF(ISNA(VLOOKUP(A133,'Données projet'!$A$139:$I$159,4,0)),0,VLOOKUP(A133,'Données projet'!$A$139:$I$159,4,0))</f>
        <v>69</v>
      </c>
      <c r="DC133" s="16">
        <f>IF(ISNA(VLOOKUP(A133,'Données projet'!$A$139:$I$159,5,0)),0%,VLOOKUP(A133,'Données projet'!$A$139:$I$159,5,0)*VLOOKUP('Données projet'!$B$13,Paramètres!$A$1:$I$89,7,0))</f>
        <v>0.43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157.05772676713659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157.05772676713659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853.00000000000011</v>
      </c>
      <c r="O134" s="13">
        <f>N134*VLOOKUP('Données projet'!$B$9,Paramètres!$A$1:$I$89,3,0)*VLOOKUP('Données projet'!$B$9,Paramètres!$A$1:$I$89,5,0)</f>
        <v>399.20400000000006</v>
      </c>
      <c r="P134" s="13">
        <f t="shared" si="141"/>
        <v>91.615269732888521</v>
      </c>
      <c r="Q134" s="20">
        <f t="shared" si="108"/>
        <v>854.8435614514475</v>
      </c>
      <c r="R134" s="59">
        <f t="shared" si="109"/>
        <v>1148.1768947847809</v>
      </c>
      <c r="S134" s="59">
        <f ca="1">AVERAGE(OFFSET($R$3,0,0,'Données projet'!$E$9+1,1))-AVERAGE(OFFSET($H$3,0,0,'Données projet'!$E$9+1,1))</f>
        <v>488.67934252295686</v>
      </c>
      <c r="T134" s="59">
        <f t="shared" si="142"/>
        <v>424.50324471331095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50.477299801642118</v>
      </c>
      <c r="AA134" s="21">
        <f>EXP(-LN(2)/25)*AA133+(1-EXP(-LN(2)/25))/(LN(2)/25)*Calculateur!V134*Calculateur!X134*VLOOKUP('Données projet'!$B$9,Paramètres!$A$1:$I$89,3,0)*0.475*44/12</f>
        <v>2.9779852047910325</v>
      </c>
      <c r="AB134" s="21">
        <f>EXP(-LN(2)/2)*AB133+(1-EXP(-LN(2)/2))/(LN(2)/2)*V134*Y134*VLOOKUP('Données projet'!$B$9,Paramètres!$A$1:$I$89,3,0)*0.475*44/12</f>
        <v>5.0958039716649526E-16</v>
      </c>
      <c r="AC134" s="22">
        <f t="shared" si="111"/>
        <v>53.455285006433151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689</v>
      </c>
      <c r="AJ134" s="13">
        <f>AI134*VLOOKUP('Données projet'!$B$10,Paramètres!$A$1:$I$89,3,0)*VLOOKUP('Données projet'!$B$10,Paramètres!$A$1:$I$89,5,0)</f>
        <v>412.02199999999999</v>
      </c>
      <c r="AK134" s="13">
        <f t="shared" si="143"/>
        <v>94.209724877926391</v>
      </c>
      <c r="AL134" s="20">
        <f t="shared" si="112"/>
        <v>881.686920829055</v>
      </c>
      <c r="AM134" s="59">
        <f t="shared" si="113"/>
        <v>1175.0202541623883</v>
      </c>
      <c r="AN134" s="59">
        <f ca="1">AVERAGE(OFFSET($AM$3,0,0,'Données projet'!$E$10+1,1))-AVERAGE(OFFSET($H$3,0,0,'Données projet'!$E$10+1,1))</f>
        <v>504.81063008331739</v>
      </c>
      <c r="AO134" s="59">
        <f t="shared" si="144"/>
        <v>441.82647565372287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35.64610666027486</v>
      </c>
      <c r="AV134" s="21">
        <f>EXP(-LN(2)/25)*AV133+(1-EXP(-LN(2)/25))/(LN(2)/25)*Calculateur!AQ134*Calculateur!AS134*VLOOKUP('Données projet'!$B$10,Paramètres!$A$1:$I$89,3,0)*0.475*44/12</f>
        <v>3.5793237594844851</v>
      </c>
      <c r="AW134" s="21">
        <f>EXP(-LN(2)/2)*AW133+(1-EXP(-LN(2)/2))/(LN(2)/2)*AQ134*AT134*VLOOKUP('Données projet'!$B$10,Paramètres!$A$1:$I$89,3,0)*0.475*44/12</f>
        <v>3.2887056948856174E-17</v>
      </c>
      <c r="AX134" s="21">
        <f t="shared" si="114"/>
        <v>39.225430419759348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266.99999999999983</v>
      </c>
      <c r="BE134" s="13">
        <f>BD134*VLOOKUP('Données projet'!$B$11,Paramètres!$A$1:$I$89,3,0)*VLOOKUP('Données projet'!$B$11,Paramètres!$A$1:$I$89,5,0)</f>
        <v>233.2511999999999</v>
      </c>
      <c r="BF134" s="13">
        <f t="shared" si="145"/>
        <v>56.985091661350864</v>
      </c>
      <c r="BG134" s="20">
        <f t="shared" si="115"/>
        <v>505.49487464351915</v>
      </c>
      <c r="BH134" s="59">
        <f t="shared" si="116"/>
        <v>798.82820797685247</v>
      </c>
      <c r="BI134" s="59">
        <f ca="1">AVERAGE(OFFSET($BH$3,0,0,'Données projet'!$E$11+1,1))-AVERAGE(OFFSET($H$3,0,0,'Données projet'!$E$11+1,1))</f>
        <v>324.86930206492627</v>
      </c>
      <c r="BJ134" s="59">
        <f t="shared" si="146"/>
        <v>317.03005098025352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17.351280538297932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17.351280538297932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306.99999999999994</v>
      </c>
      <c r="BZ134" s="13">
        <f>BY134*VLOOKUP('Données projet'!$B$12,Paramètres!$A$1:$I$89,3,0)*VLOOKUP('Données projet'!$B$12,Paramètres!$A$1:$I$89,5,0)</f>
        <v>311.298</v>
      </c>
      <c r="CA134" s="13">
        <f t="shared" si="147"/>
        <v>73.539838278528748</v>
      </c>
      <c r="CB134" s="20">
        <f t="shared" si="118"/>
        <v>670.25923500177089</v>
      </c>
      <c r="CC134" s="59">
        <f t="shared" si="119"/>
        <v>963.59256833510426</v>
      </c>
      <c r="CD134" s="59">
        <f ca="1">AVERAGE(OFFSET($CC$3,0,0,'Données projet'!$E$12+1,1))-AVERAGE(OFFSET($H$3,0,0,'Données projet'!$E$12+1,1))</f>
        <v>487.18832528146936</v>
      </c>
      <c r="CE134" s="59">
        <f t="shared" si="148"/>
        <v>306.61893266146666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81.713544869617039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81.713544869617039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10.163999999999998</v>
      </c>
      <c r="CT134" s="12">
        <f>IF('Données projet'!$A$140&gt;35,CT133+CS134-DB133,IF(A134&lt;'Données projet'!$A$140,$CQ$205^A134,IF(A134='Données projet'!$A$140,'Données projet'!$B$140,CT133+CS134-DB133)))</f>
        <v>547.57399999999984</v>
      </c>
      <c r="CU134" s="17">
        <f>CT134*VLOOKUP('Données projet'!$B$13,Paramètres!$A$1:$I$89,3,0)*VLOOKUP('Données projet'!$B$13,Paramètres!$A$1:$I$89,5,0)</f>
        <v>521.07141839999986</v>
      </c>
      <c r="CV134" s="13">
        <f t="shared" si="149"/>
        <v>115.93177273663909</v>
      </c>
      <c r="CW134" s="20">
        <f t="shared" si="121"/>
        <v>1109.4472245629795</v>
      </c>
      <c r="CX134" s="59">
        <f t="shared" si="122"/>
        <v>1402.7805578963128</v>
      </c>
      <c r="CY134" s="59">
        <f ca="1">AVERAGE(OFFSET($CX$3,0,0,'Données projet'!$E$13+1,1))-AVERAGE(OFFSET($H$3,0,0,'Données projet'!$E$13+1,1))</f>
        <v>733.95677909788878</v>
      </c>
      <c r="CZ134" s="59">
        <f t="shared" si="150"/>
        <v>264.63778997972378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153.97792054098733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153.97792054098733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853.00000000000011</v>
      </c>
      <c r="O135" s="13">
        <f>N135*VLOOKUP('Données projet'!$B$9,Paramètres!$A$1:$I$89,3,0)*VLOOKUP('Données projet'!$B$9,Paramètres!$A$1:$I$89,5,0)</f>
        <v>399.20400000000006</v>
      </c>
      <c r="P135" s="13">
        <f t="shared" si="141"/>
        <v>91.615269732888521</v>
      </c>
      <c r="Q135" s="20">
        <f t="shared" si="108"/>
        <v>854.8435614514475</v>
      </c>
      <c r="R135" s="59">
        <f t="shared" si="109"/>
        <v>1148.1768947847809</v>
      </c>
      <c r="S135" s="59">
        <f ca="1">AVERAGE(OFFSET($R$3,0,0,'Données projet'!$E$9+1,1))-AVERAGE(OFFSET($H$3,0,0,'Données projet'!$E$9+1,1))</f>
        <v>488.67934252295686</v>
      </c>
      <c r="T135" s="59">
        <f t="shared" si="142"/>
        <v>424.50324471331095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49.487470740644724</v>
      </c>
      <c r="AA135" s="21">
        <f>EXP(-LN(2)/25)*AA134+(1-EXP(-LN(2)/25))/(LN(2)/25)*Calculateur!V135*Calculateur!X135*VLOOKUP('Données projet'!$B$9,Paramètres!$A$1:$I$89,3,0)*0.475*44/12</f>
        <v>2.896552042760586</v>
      </c>
      <c r="AB135" s="21">
        <f>EXP(-LN(2)/2)*AB134+(1-EXP(-LN(2)/2))/(LN(2)/2)*V135*Y135*VLOOKUP('Données projet'!$B$9,Paramètres!$A$1:$I$89,3,0)*0.475*44/12</f>
        <v>3.6032775439616296E-16</v>
      </c>
      <c r="AC135" s="22">
        <f t="shared" si="111"/>
        <v>52.384022783405314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689</v>
      </c>
      <c r="AJ135" s="13">
        <f>AI135*VLOOKUP('Données projet'!$B$10,Paramètres!$A$1:$I$89,3,0)*VLOOKUP('Données projet'!$B$10,Paramètres!$A$1:$I$89,5,0)</f>
        <v>412.02199999999999</v>
      </c>
      <c r="AK135" s="13">
        <f t="shared" si="143"/>
        <v>94.209724877926391</v>
      </c>
      <c r="AL135" s="20">
        <f t="shared" si="112"/>
        <v>881.686920829055</v>
      </c>
      <c r="AM135" s="59">
        <f t="shared" si="113"/>
        <v>1175.0202541623883</v>
      </c>
      <c r="AN135" s="59">
        <f ca="1">AVERAGE(OFFSET($AM$3,0,0,'Données projet'!$E$10+1,1))-AVERAGE(OFFSET($H$3,0,0,'Données projet'!$E$10+1,1))</f>
        <v>504.81063008331739</v>
      </c>
      <c r="AO135" s="59">
        <f t="shared" si="144"/>
        <v>441.82647565372287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34.947108250645094</v>
      </c>
      <c r="AV135" s="21">
        <f>EXP(-LN(2)/25)*AV134+(1-EXP(-LN(2)/25))/(LN(2)/25)*Calculateur!AQ135*Calculateur!AS135*VLOOKUP('Données projet'!$B$10,Paramètres!$A$1:$I$89,3,0)*0.475*44/12</f>
        <v>3.4814469630529259</v>
      </c>
      <c r="AW135" s="21">
        <f>EXP(-LN(2)/2)*AW134+(1-EXP(-LN(2)/2))/(LN(2)/2)*AQ135*AT135*VLOOKUP('Données projet'!$B$10,Paramètres!$A$1:$I$89,3,0)*0.475*44/12</f>
        <v>2.3254660981804371E-17</v>
      </c>
      <c r="AX135" s="21">
        <f t="shared" si="114"/>
        <v>38.428555213698019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266.99999999999983</v>
      </c>
      <c r="BE135" s="13">
        <f>BD135*VLOOKUP('Données projet'!$B$11,Paramètres!$A$1:$I$89,3,0)*VLOOKUP('Données projet'!$B$11,Paramètres!$A$1:$I$89,5,0)</f>
        <v>233.2511999999999</v>
      </c>
      <c r="BF135" s="13">
        <f t="shared" si="145"/>
        <v>56.985091661350864</v>
      </c>
      <c r="BG135" s="20">
        <f t="shared" si="115"/>
        <v>505.49487464351915</v>
      </c>
      <c r="BH135" s="59">
        <f t="shared" si="116"/>
        <v>798.82820797685247</v>
      </c>
      <c r="BI135" s="59">
        <f ca="1">AVERAGE(OFFSET($BH$3,0,0,'Données projet'!$E$11+1,1))-AVERAGE(OFFSET($H$3,0,0,'Données projet'!$E$11+1,1))</f>
        <v>324.86930206492627</v>
      </c>
      <c r="BJ135" s="59">
        <f t="shared" si="146"/>
        <v>317.03005098025352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17.01103251017803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17.01103251017803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306.99999999999994</v>
      </c>
      <c r="BZ135" s="13">
        <f>BY135*VLOOKUP('Données projet'!$B$12,Paramètres!$A$1:$I$89,3,0)*VLOOKUP('Données projet'!$B$12,Paramètres!$A$1:$I$89,5,0)</f>
        <v>311.298</v>
      </c>
      <c r="CA135" s="13">
        <f t="shared" si="147"/>
        <v>73.539838278528748</v>
      </c>
      <c r="CB135" s="20">
        <f t="shared" si="118"/>
        <v>670.25923500177089</v>
      </c>
      <c r="CC135" s="59">
        <f t="shared" si="119"/>
        <v>963.59256833510426</v>
      </c>
      <c r="CD135" s="59">
        <f ca="1">AVERAGE(OFFSET($CC$3,0,0,'Données projet'!$E$12+1,1))-AVERAGE(OFFSET($H$3,0,0,'Données projet'!$E$12+1,1))</f>
        <v>487.18832528146936</v>
      </c>
      <c r="CE135" s="59">
        <f t="shared" si="148"/>
        <v>306.61893266146666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80.111192095064894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80.111192095064894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10.163999999999998</v>
      </c>
      <c r="CT135" s="12">
        <f>IF('Données projet'!$A$140&gt;35,CT134+CS135-DB134,IF(A135&lt;'Données projet'!$A$140,$CQ$205^A135,IF(A135='Données projet'!$A$140,'Données projet'!$B$140,CT134+CS135-DB134)))</f>
        <v>557.73799999999983</v>
      </c>
      <c r="CU135" s="17">
        <f>CT135*VLOOKUP('Données projet'!$B$13,Paramètres!$A$1:$I$89,3,0)*VLOOKUP('Données projet'!$B$13,Paramètres!$A$1:$I$89,5,0)</f>
        <v>530.74348079999993</v>
      </c>
      <c r="CV135" s="13">
        <f t="shared" si="149"/>
        <v>117.83116127086282</v>
      </c>
      <c r="CW135" s="20">
        <f t="shared" si="121"/>
        <v>1129.6008349400859</v>
      </c>
      <c r="CX135" s="59">
        <f t="shared" si="122"/>
        <v>1422.9341682734191</v>
      </c>
      <c r="CY135" s="59">
        <f ca="1">AVERAGE(OFFSET($CX$3,0,0,'Données projet'!$E$13+1,1))-AVERAGE(OFFSET($H$3,0,0,'Données projet'!$E$13+1,1))</f>
        <v>733.95677909788878</v>
      </c>
      <c r="CZ135" s="59">
        <f t="shared" si="150"/>
        <v>264.63778997972378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150.95850743643655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150.95850743643655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853.00000000000011</v>
      </c>
      <c r="O136" s="13">
        <f>N136*VLOOKUP('Données projet'!$B$9,Paramètres!$A$1:$I$89,3,0)*VLOOKUP('Données projet'!$B$9,Paramètres!$A$1:$I$89,5,0)</f>
        <v>399.20400000000006</v>
      </c>
      <c r="P136" s="13">
        <f t="shared" si="141"/>
        <v>91.615269732888521</v>
      </c>
      <c r="Q136" s="20">
        <f t="shared" si="108"/>
        <v>854.8435614514475</v>
      </c>
      <c r="R136" s="59">
        <f t="shared" si="109"/>
        <v>1148.1768947847809</v>
      </c>
      <c r="S136" s="59">
        <f ca="1">AVERAGE(OFFSET($R$3,0,0,'Données projet'!$E$9+1,1))-AVERAGE(OFFSET($H$3,0,0,'Données projet'!$E$9+1,1))</f>
        <v>488.67934252295686</v>
      </c>
      <c r="T136" s="59">
        <f t="shared" si="142"/>
        <v>424.50324471331095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48.517051623797371</v>
      </c>
      <c r="AA136" s="21">
        <f>EXP(-LN(2)/25)*AA135+(1-EXP(-LN(2)/25))/(LN(2)/25)*Calculateur!V136*Calculateur!X136*VLOOKUP('Données projet'!$B$9,Paramètres!$A$1:$I$89,3,0)*0.475*44/12</f>
        <v>2.8173456748282462</v>
      </c>
      <c r="AB136" s="21">
        <f>EXP(-LN(2)/2)*AB135+(1-EXP(-LN(2)/2))/(LN(2)/2)*V136*Y136*VLOOKUP('Données projet'!$B$9,Paramètres!$A$1:$I$89,3,0)*0.475*44/12</f>
        <v>2.5479019858324763E-16</v>
      </c>
      <c r="AC136" s="22">
        <f t="shared" si="111"/>
        <v>51.334397298625618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689</v>
      </c>
      <c r="AJ136" s="13">
        <f>AI136*VLOOKUP('Données projet'!$B$10,Paramètres!$A$1:$I$89,3,0)*VLOOKUP('Données projet'!$B$10,Paramètres!$A$1:$I$89,5,0)</f>
        <v>412.02199999999999</v>
      </c>
      <c r="AK136" s="13">
        <f t="shared" si="143"/>
        <v>94.209724877926391</v>
      </c>
      <c r="AL136" s="20">
        <f t="shared" si="112"/>
        <v>881.686920829055</v>
      </c>
      <c r="AM136" s="59">
        <f t="shared" si="113"/>
        <v>1175.0202541623883</v>
      </c>
      <c r="AN136" s="59">
        <f ca="1">AVERAGE(OFFSET($AM$3,0,0,'Données projet'!$E$10+1,1))-AVERAGE(OFFSET($H$3,0,0,'Données projet'!$E$10+1,1))</f>
        <v>504.81063008331739</v>
      </c>
      <c r="AO136" s="59">
        <f t="shared" si="144"/>
        <v>441.82647565372287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34.261816773481236</v>
      </c>
      <c r="AV136" s="21">
        <f>EXP(-LN(2)/25)*AV135+(1-EXP(-LN(2)/25))/(LN(2)/25)*Calculateur!AQ136*Calculateur!AS136*VLOOKUP('Données projet'!$B$10,Paramètres!$A$1:$I$89,3,0)*0.475*44/12</f>
        <v>3.3862466127669046</v>
      </c>
      <c r="AW136" s="21">
        <f>EXP(-LN(2)/2)*AW135+(1-EXP(-LN(2)/2))/(LN(2)/2)*AQ136*AT136*VLOOKUP('Données projet'!$B$10,Paramètres!$A$1:$I$89,3,0)*0.475*44/12</f>
        <v>1.6443528474428087E-17</v>
      </c>
      <c r="AX136" s="21">
        <f t="shared" si="114"/>
        <v>37.64806338624814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266.99999999999983</v>
      </c>
      <c r="BE136" s="13">
        <f>BD136*VLOOKUP('Données projet'!$B$11,Paramètres!$A$1:$I$89,3,0)*VLOOKUP('Données projet'!$B$11,Paramètres!$A$1:$I$89,5,0)</f>
        <v>233.2511999999999</v>
      </c>
      <c r="BF136" s="13">
        <f t="shared" si="145"/>
        <v>56.985091661350864</v>
      </c>
      <c r="BG136" s="20">
        <f t="shared" si="115"/>
        <v>505.49487464351915</v>
      </c>
      <c r="BH136" s="59">
        <f t="shared" si="116"/>
        <v>798.82820797685247</v>
      </c>
      <c r="BI136" s="59">
        <f ca="1">AVERAGE(OFFSET($BH$3,0,0,'Données projet'!$E$11+1,1))-AVERAGE(OFFSET($H$3,0,0,'Données projet'!$E$11+1,1))</f>
        <v>324.86930206492627</v>
      </c>
      <c r="BJ136" s="59">
        <f t="shared" si="146"/>
        <v>317.03005098025352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16.677456538358754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16.677456538358754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306.99999999999994</v>
      </c>
      <c r="BZ136" s="13">
        <f>BY136*VLOOKUP('Données projet'!$B$12,Paramètres!$A$1:$I$89,3,0)*VLOOKUP('Données projet'!$B$12,Paramètres!$A$1:$I$89,5,0)</f>
        <v>311.298</v>
      </c>
      <c r="CA136" s="13">
        <f t="shared" si="147"/>
        <v>73.539838278528748</v>
      </c>
      <c r="CB136" s="20">
        <f t="shared" si="118"/>
        <v>670.25923500177089</v>
      </c>
      <c r="CC136" s="59">
        <f t="shared" si="119"/>
        <v>963.59256833510426</v>
      </c>
      <c r="CD136" s="59">
        <f ca="1">AVERAGE(OFFSET($CC$3,0,0,'Données projet'!$E$12+1,1))-AVERAGE(OFFSET($H$3,0,0,'Données projet'!$E$12+1,1))</f>
        <v>487.18832528146936</v>
      </c>
      <c r="CE136" s="59">
        <f t="shared" si="148"/>
        <v>306.61893266146666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78.540260481083024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78.540260481083024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10.163999999999998</v>
      </c>
      <c r="CT136" s="12">
        <f>IF('Données projet'!$A$140&gt;35,CT135+CS136-DB135,IF(A136&lt;'Données projet'!$A$140,$CQ$205^A136,IF(A136='Données projet'!$A$140,'Données projet'!$B$140,CT135+CS136-DB135)))</f>
        <v>567.90199999999982</v>
      </c>
      <c r="CU136" s="17">
        <f>CT136*VLOOKUP('Données projet'!$B$13,Paramètres!$A$1:$I$89,3,0)*VLOOKUP('Données projet'!$B$13,Paramètres!$A$1:$I$89,5,0)</f>
        <v>540.41554319999977</v>
      </c>
      <c r="CV136" s="13">
        <f t="shared" si="149"/>
        <v>119.72652480319019</v>
      </c>
      <c r="CW136" s="20">
        <f t="shared" si="121"/>
        <v>1149.7474351055557</v>
      </c>
      <c r="CX136" s="59">
        <f t="shared" si="122"/>
        <v>1443.080768438889</v>
      </c>
      <c r="CY136" s="59">
        <f ca="1">AVERAGE(OFFSET($CX$3,0,0,'Données projet'!$E$13+1,1))-AVERAGE(OFFSET($H$3,0,0,'Données projet'!$E$13+1,1))</f>
        <v>733.95677909788878</v>
      </c>
      <c r="CZ136" s="59">
        <f t="shared" si="150"/>
        <v>264.63778997972378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147.99830318120584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147.99830318120584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853.00000000000011</v>
      </c>
      <c r="O137" s="13">
        <f>N137*VLOOKUP('Données projet'!$B$9,Paramètres!$A$1:$I$89,3,0)*VLOOKUP('Données projet'!$B$9,Paramètres!$A$1:$I$89,5,0)</f>
        <v>399.20400000000006</v>
      </c>
      <c r="P137" s="13">
        <f t="shared" si="141"/>
        <v>91.615269732888521</v>
      </c>
      <c r="Q137" s="20">
        <f t="shared" si="108"/>
        <v>854.8435614514475</v>
      </c>
      <c r="R137" s="59">
        <f t="shared" si="109"/>
        <v>1148.1768947847809</v>
      </c>
      <c r="S137" s="59">
        <f ca="1">AVERAGE(OFFSET($R$3,0,0,'Données projet'!$E$9+1,1))-AVERAGE(OFFSET($H$3,0,0,'Données projet'!$E$9+1,1))</f>
        <v>488.67934252295686</v>
      </c>
      <c r="T137" s="59">
        <f t="shared" si="142"/>
        <v>424.50324471331095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47.565661833934179</v>
      </c>
      <c r="AA137" s="21">
        <f>EXP(-LN(2)/25)*AA136+(1-EXP(-LN(2)/25))/(LN(2)/25)*Calculateur!V137*Calculateur!X137*VLOOKUP('Données projet'!$B$9,Paramètres!$A$1:$I$89,3,0)*0.475*44/12</f>
        <v>2.7403052091922979</v>
      </c>
      <c r="AB137" s="21">
        <f>EXP(-LN(2)/2)*AB136+(1-EXP(-LN(2)/2))/(LN(2)/2)*V137*Y137*VLOOKUP('Données projet'!$B$9,Paramètres!$A$1:$I$89,3,0)*0.475*44/12</f>
        <v>1.8016387719808148E-16</v>
      </c>
      <c r="AC137" s="22">
        <f t="shared" si="111"/>
        <v>50.305967043126479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689</v>
      </c>
      <c r="AJ137" s="13">
        <f>AI137*VLOOKUP('Données projet'!$B$10,Paramètres!$A$1:$I$89,3,0)*VLOOKUP('Données projet'!$B$10,Paramètres!$A$1:$I$89,5,0)</f>
        <v>412.02199999999999</v>
      </c>
      <c r="AK137" s="13">
        <f t="shared" si="143"/>
        <v>94.209724877926391</v>
      </c>
      <c r="AL137" s="20">
        <f t="shared" si="112"/>
        <v>881.686920829055</v>
      </c>
      <c r="AM137" s="59">
        <f t="shared" si="113"/>
        <v>1175.0202541623883</v>
      </c>
      <c r="AN137" s="59">
        <f ca="1">AVERAGE(OFFSET($AM$3,0,0,'Données projet'!$E$10+1,1))-AVERAGE(OFFSET($H$3,0,0,'Données projet'!$E$10+1,1))</f>
        <v>504.81063008331739</v>
      </c>
      <c r="AO137" s="59">
        <f t="shared" si="144"/>
        <v>441.82647565372287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33.589963444198027</v>
      </c>
      <c r="AV137" s="21">
        <f>EXP(-LN(2)/25)*AV136+(1-EXP(-LN(2)/25))/(LN(2)/25)*Calculateur!AQ137*Calculateur!AS137*VLOOKUP('Données projet'!$B$10,Paramètres!$A$1:$I$89,3,0)*0.475*44/12</f>
        <v>3.2936495210658236</v>
      </c>
      <c r="AW137" s="21">
        <f>EXP(-LN(2)/2)*AW136+(1-EXP(-LN(2)/2))/(LN(2)/2)*AQ137*AT137*VLOOKUP('Données projet'!$B$10,Paramètres!$A$1:$I$89,3,0)*0.475*44/12</f>
        <v>1.1627330490902185E-17</v>
      </c>
      <c r="AX137" s="21">
        <f t="shared" si="114"/>
        <v>36.88361296526385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266.99999999999983</v>
      </c>
      <c r="BE137" s="13">
        <f>BD137*VLOOKUP('Données projet'!$B$11,Paramètres!$A$1:$I$89,3,0)*VLOOKUP('Données projet'!$B$11,Paramètres!$A$1:$I$89,5,0)</f>
        <v>233.2511999999999</v>
      </c>
      <c r="BF137" s="13">
        <f t="shared" si="145"/>
        <v>56.985091661350864</v>
      </c>
      <c r="BG137" s="20">
        <f t="shared" si="115"/>
        <v>505.49487464351915</v>
      </c>
      <c r="BH137" s="59">
        <f t="shared" si="116"/>
        <v>798.82820797685247</v>
      </c>
      <c r="BI137" s="59">
        <f ca="1">AVERAGE(OFFSET($BH$3,0,0,'Données projet'!$E$11+1,1))-AVERAGE(OFFSET($H$3,0,0,'Données projet'!$E$11+1,1))</f>
        <v>324.86930206492627</v>
      </c>
      <c r="BJ137" s="59">
        <f t="shared" si="146"/>
        <v>317.03005098025352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16.350421787885601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16.350421787885601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306.99999999999994</v>
      </c>
      <c r="BZ137" s="13">
        <f>BY137*VLOOKUP('Données projet'!$B$12,Paramètres!$A$1:$I$89,3,0)*VLOOKUP('Données projet'!$B$12,Paramètres!$A$1:$I$89,5,0)</f>
        <v>311.298</v>
      </c>
      <c r="CA137" s="13">
        <f t="shared" si="147"/>
        <v>73.539838278528748</v>
      </c>
      <c r="CB137" s="20">
        <f t="shared" si="118"/>
        <v>670.25923500177089</v>
      </c>
      <c r="CC137" s="59">
        <f t="shared" si="119"/>
        <v>963.59256833510426</v>
      </c>
      <c r="CD137" s="59">
        <f ca="1">AVERAGE(OFFSET($CC$3,0,0,'Données projet'!$E$12+1,1))-AVERAGE(OFFSET($H$3,0,0,'Données projet'!$E$12+1,1))</f>
        <v>487.18832528146936</v>
      </c>
      <c r="CE137" s="59">
        <f t="shared" si="148"/>
        <v>306.61893266146666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77.000133877877673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77.000133877877673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10.163999999999998</v>
      </c>
      <c r="CT137" s="12">
        <f>IF('Données projet'!$A$140&gt;35,CT136+CS137-DB136,IF(A137&lt;'Données projet'!$A$140,$CQ$205^A137,IF(A137='Données projet'!$A$140,'Données projet'!$B$140,CT136+CS137-DB136)))</f>
        <v>578.0659999999998</v>
      </c>
      <c r="CU137" s="17">
        <f>CT137*VLOOKUP('Données projet'!$B$13,Paramètres!$A$1:$I$89,3,0)*VLOOKUP('Données projet'!$B$13,Paramètres!$A$1:$I$89,5,0)</f>
        <v>550.08760559999985</v>
      </c>
      <c r="CV137" s="13">
        <f t="shared" si="149"/>
        <v>121.6179436809846</v>
      </c>
      <c r="CW137" s="20">
        <f t="shared" si="121"/>
        <v>1169.8871649977145</v>
      </c>
      <c r="CX137" s="59">
        <f t="shared" si="122"/>
        <v>1463.2204983310478</v>
      </c>
      <c r="CY137" s="59">
        <f ca="1">AVERAGE(OFFSET($CX$3,0,0,'Données projet'!$E$13+1,1))-AVERAGE(OFFSET($H$3,0,0,'Données projet'!$E$13+1,1))</f>
        <v>733.95677909788878</v>
      </c>
      <c r="CZ137" s="59">
        <f t="shared" si="150"/>
        <v>264.63778997972378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145.09614672587392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145.09614672587392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853.00000000000011</v>
      </c>
      <c r="O138" s="13">
        <f>N138*VLOOKUP('Données projet'!$B$9,Paramètres!$A$1:$I$89,3,0)*VLOOKUP('Données projet'!$B$9,Paramètres!$A$1:$I$89,5,0)</f>
        <v>399.20400000000006</v>
      </c>
      <c r="P138" s="13">
        <f t="shared" si="141"/>
        <v>91.615269732888521</v>
      </c>
      <c r="Q138" s="20">
        <f t="shared" si="108"/>
        <v>854.8435614514475</v>
      </c>
      <c r="R138" s="59">
        <f t="shared" si="109"/>
        <v>1148.1768947847809</v>
      </c>
      <c r="S138" s="59">
        <f ca="1">AVERAGE(OFFSET($R$3,0,0,'Données projet'!$E$9+1,1))-AVERAGE(OFFSET($H$3,0,0,'Données projet'!$E$9+1,1))</f>
        <v>488.67934252295686</v>
      </c>
      <c r="T138" s="59">
        <f t="shared" si="142"/>
        <v>424.50324471331095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46.63292821755973</v>
      </c>
      <c r="AA138" s="21">
        <f>EXP(-LN(2)/25)*AA137+(1-EXP(-LN(2)/25))/(LN(2)/25)*Calculateur!V138*Calculateur!X138*VLOOKUP('Données projet'!$B$9,Paramètres!$A$1:$I$89,3,0)*0.475*44/12</f>
        <v>2.6653714191405466</v>
      </c>
      <c r="AB138" s="21">
        <f>EXP(-LN(2)/2)*AB137+(1-EXP(-LN(2)/2))/(LN(2)/2)*V138*Y138*VLOOKUP('Données projet'!$B$9,Paramètres!$A$1:$I$89,3,0)*0.475*44/12</f>
        <v>1.2739509929162382E-16</v>
      </c>
      <c r="AC138" s="22">
        <f t="shared" si="111"/>
        <v>49.298299636700278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689</v>
      </c>
      <c r="AJ138" s="13">
        <f>AI138*VLOOKUP('Données projet'!$B$10,Paramètres!$A$1:$I$89,3,0)*VLOOKUP('Données projet'!$B$10,Paramètres!$A$1:$I$89,5,0)</f>
        <v>412.02199999999999</v>
      </c>
      <c r="AK138" s="13">
        <f t="shared" si="143"/>
        <v>94.209724877926391</v>
      </c>
      <c r="AL138" s="20">
        <f t="shared" si="112"/>
        <v>881.686920829055</v>
      </c>
      <c r="AM138" s="59">
        <f t="shared" si="113"/>
        <v>1175.0202541623883</v>
      </c>
      <c r="AN138" s="59">
        <f ca="1">AVERAGE(OFFSET($AM$3,0,0,'Données projet'!$E$10+1,1))-AVERAGE(OFFSET($H$3,0,0,'Données projet'!$E$10+1,1))</f>
        <v>504.81063008331739</v>
      </c>
      <c r="AO138" s="59">
        <f t="shared" si="144"/>
        <v>441.82647565372287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32.931284748911999</v>
      </c>
      <c r="AV138" s="21">
        <f>EXP(-LN(2)/25)*AV137+(1-EXP(-LN(2)/25))/(LN(2)/25)*Calculateur!AQ138*Calculateur!AS138*VLOOKUP('Données projet'!$B$10,Paramètres!$A$1:$I$89,3,0)*0.475*44/12</f>
        <v>3.2035845017067781</v>
      </c>
      <c r="AW138" s="21">
        <f>EXP(-LN(2)/2)*AW137+(1-EXP(-LN(2)/2))/(LN(2)/2)*AQ138*AT138*VLOOKUP('Données projet'!$B$10,Paramètres!$A$1:$I$89,3,0)*0.475*44/12</f>
        <v>8.2217642372140436E-18</v>
      </c>
      <c r="AX138" s="21">
        <f t="shared" si="114"/>
        <v>36.134869250618777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266.99999999999983</v>
      </c>
      <c r="BE138" s="13">
        <f>BD138*VLOOKUP('Données projet'!$B$11,Paramètres!$A$1:$I$89,3,0)*VLOOKUP('Données projet'!$B$11,Paramètres!$A$1:$I$89,5,0)</f>
        <v>233.2511999999999</v>
      </c>
      <c r="BF138" s="13">
        <f t="shared" si="145"/>
        <v>56.985091661350864</v>
      </c>
      <c r="BG138" s="20">
        <f t="shared" si="115"/>
        <v>505.49487464351915</v>
      </c>
      <c r="BH138" s="59">
        <f t="shared" si="116"/>
        <v>798.82820797685247</v>
      </c>
      <c r="BI138" s="59">
        <f ca="1">AVERAGE(OFFSET($BH$3,0,0,'Données projet'!$E$11+1,1))-AVERAGE(OFFSET($H$3,0,0,'Données projet'!$E$11+1,1))</f>
        <v>324.86930206492627</v>
      </c>
      <c r="BJ138" s="59">
        <f t="shared" si="146"/>
        <v>317.03005098025352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16.029799989397727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16.029799989397727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306.99999999999994</v>
      </c>
      <c r="BZ138" s="13">
        <f>BY138*VLOOKUP('Données projet'!$B$12,Paramètres!$A$1:$I$89,3,0)*VLOOKUP('Données projet'!$B$12,Paramètres!$A$1:$I$89,5,0)</f>
        <v>311.298</v>
      </c>
      <c r="CA138" s="13">
        <f t="shared" si="147"/>
        <v>73.539838278528748</v>
      </c>
      <c r="CB138" s="20">
        <f t="shared" si="118"/>
        <v>670.25923500177089</v>
      </c>
      <c r="CC138" s="59">
        <f t="shared" si="119"/>
        <v>963.59256833510426</v>
      </c>
      <c r="CD138" s="59">
        <f ca="1">AVERAGE(OFFSET($CC$3,0,0,'Données projet'!$E$12+1,1))-AVERAGE(OFFSET($H$3,0,0,'Données projet'!$E$12+1,1))</f>
        <v>487.18832528146936</v>
      </c>
      <c r="CE138" s="59">
        <f t="shared" si="148"/>
        <v>306.61893266146666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75.490208217976701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75.490208217976701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10.163999999999998</v>
      </c>
      <c r="CT138" s="12">
        <f>IF('Données projet'!$A$140&gt;35,CT137+CS138-DB137,IF(A138&lt;'Données projet'!$A$140,$CQ$205^A138,IF(A138='Données projet'!$A$140,'Données projet'!$B$140,CT137+CS138-DB137)))</f>
        <v>588.22999999999979</v>
      </c>
      <c r="CU138" s="17">
        <f>CT138*VLOOKUP('Données projet'!$B$13,Paramètres!$A$1:$I$89,3,0)*VLOOKUP('Données projet'!$B$13,Paramètres!$A$1:$I$89,5,0)</f>
        <v>559.75966799999981</v>
      </c>
      <c r="CV138" s="13">
        <f t="shared" si="149"/>
        <v>123.50549526430649</v>
      </c>
      <c r="CW138" s="20">
        <f t="shared" si="121"/>
        <v>1190.0201593519998</v>
      </c>
      <c r="CX138" s="59">
        <f t="shared" si="122"/>
        <v>1483.3534926853331</v>
      </c>
      <c r="CY138" s="59">
        <f ca="1">AVERAGE(OFFSET($CX$3,0,0,'Données projet'!$E$13+1,1))-AVERAGE(OFFSET($H$3,0,0,'Données projet'!$E$13+1,1))</f>
        <v>733.95677909788878</v>
      </c>
      <c r="CZ138" s="59">
        <f t="shared" si="150"/>
        <v>264.63778997972378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142.25089978849039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142.25089978849039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853.00000000000011</v>
      </c>
      <c r="O139" s="13">
        <f>N139*VLOOKUP('Données projet'!$B$9,Paramètres!$A$1:$I$89,3,0)*VLOOKUP('Données projet'!$B$9,Paramètres!$A$1:$I$89,5,0)</f>
        <v>399.20400000000006</v>
      </c>
      <c r="P139" s="13">
        <f t="shared" si="141"/>
        <v>91.615269732888521</v>
      </c>
      <c r="Q139" s="20">
        <f t="shared" si="108"/>
        <v>854.8435614514475</v>
      </c>
      <c r="R139" s="59">
        <f t="shared" si="109"/>
        <v>1148.1768947847809</v>
      </c>
      <c r="S139" s="59">
        <f ca="1">AVERAGE(OFFSET($R$3,0,0,'Données projet'!$E$9+1,1))-AVERAGE(OFFSET($H$3,0,0,'Données projet'!$E$9+1,1))</f>
        <v>488.67934252295686</v>
      </c>
      <c r="T139" s="59">
        <f t="shared" si="142"/>
        <v>424.50324471331095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45.718484938491059</v>
      </c>
      <c r="AA139" s="21">
        <f>EXP(-LN(2)/25)*AA138+(1-EXP(-LN(2)/25))/(LN(2)/25)*Calculateur!V139*Calculateur!X139*VLOOKUP('Données projet'!$B$9,Paramètres!$A$1:$I$89,3,0)*0.475*44/12</f>
        <v>2.5924866975183574</v>
      </c>
      <c r="AB139" s="21">
        <f>EXP(-LN(2)/2)*AB138+(1-EXP(-LN(2)/2))/(LN(2)/2)*V139*Y139*VLOOKUP('Données projet'!$B$9,Paramètres!$A$1:$I$89,3,0)*0.475*44/12</f>
        <v>9.008193859904074E-17</v>
      </c>
      <c r="AC139" s="22">
        <f t="shared" si="111"/>
        <v>48.31097163600942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689</v>
      </c>
      <c r="AJ139" s="13">
        <f>AI139*VLOOKUP('Données projet'!$B$10,Paramètres!$A$1:$I$89,3,0)*VLOOKUP('Données projet'!$B$10,Paramètres!$A$1:$I$89,5,0)</f>
        <v>412.02199999999999</v>
      </c>
      <c r="AK139" s="13">
        <f t="shared" si="143"/>
        <v>94.209724877926391</v>
      </c>
      <c r="AL139" s="20">
        <f t="shared" si="112"/>
        <v>881.686920829055</v>
      </c>
      <c r="AM139" s="59">
        <f t="shared" si="113"/>
        <v>1175.0202541623883</v>
      </c>
      <c r="AN139" s="59">
        <f ca="1">AVERAGE(OFFSET($AM$3,0,0,'Données projet'!$E$10+1,1))-AVERAGE(OFFSET($H$3,0,0,'Données projet'!$E$10+1,1))</f>
        <v>504.81063008331739</v>
      </c>
      <c r="AO139" s="59">
        <f t="shared" si="144"/>
        <v>441.82647565372287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32.285522341086192</v>
      </c>
      <c r="AV139" s="21">
        <f>EXP(-LN(2)/25)*AV138+(1-EXP(-LN(2)/25))/(LN(2)/25)*Calculateur!AQ139*Calculateur!AS139*VLOOKUP('Données projet'!$B$10,Paramètres!$A$1:$I$89,3,0)*0.475*44/12</f>
        <v>3.1159823150384192</v>
      </c>
      <c r="AW139" s="21">
        <f>EXP(-LN(2)/2)*AW138+(1-EXP(-LN(2)/2))/(LN(2)/2)*AQ139*AT139*VLOOKUP('Données projet'!$B$10,Paramètres!$A$1:$I$89,3,0)*0.475*44/12</f>
        <v>5.8136652454510927E-18</v>
      </c>
      <c r="AX139" s="21">
        <f t="shared" si="114"/>
        <v>35.401504656124615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266.99999999999983</v>
      </c>
      <c r="BE139" s="13">
        <f>BD139*VLOOKUP('Données projet'!$B$11,Paramètres!$A$1:$I$89,3,0)*VLOOKUP('Données projet'!$B$11,Paramètres!$A$1:$I$89,5,0)</f>
        <v>233.2511999999999</v>
      </c>
      <c r="BF139" s="13">
        <f t="shared" si="145"/>
        <v>56.985091661350864</v>
      </c>
      <c r="BG139" s="20">
        <f t="shared" si="115"/>
        <v>505.49487464351915</v>
      </c>
      <c r="BH139" s="59">
        <f t="shared" si="116"/>
        <v>798.82820797685247</v>
      </c>
      <c r="BI139" s="59">
        <f ca="1">AVERAGE(OFFSET($BH$3,0,0,'Données projet'!$E$11+1,1))-AVERAGE(OFFSET($H$3,0,0,'Données projet'!$E$11+1,1))</f>
        <v>324.86930206492627</v>
      </c>
      <c r="BJ139" s="59">
        <f t="shared" si="146"/>
        <v>317.03005098025352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15.715465388818211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15.715465388818211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306.99999999999994</v>
      </c>
      <c r="BZ139" s="13">
        <f>BY139*VLOOKUP('Données projet'!$B$12,Paramètres!$A$1:$I$89,3,0)*VLOOKUP('Données projet'!$B$12,Paramètres!$A$1:$I$89,5,0)</f>
        <v>311.298</v>
      </c>
      <c r="CA139" s="13">
        <f t="shared" si="147"/>
        <v>73.539838278528748</v>
      </c>
      <c r="CB139" s="20">
        <f t="shared" si="118"/>
        <v>670.25923500177089</v>
      </c>
      <c r="CC139" s="59">
        <f t="shared" si="119"/>
        <v>963.59256833510426</v>
      </c>
      <c r="CD139" s="59">
        <f ca="1">AVERAGE(OFFSET($CC$3,0,0,'Données projet'!$E$12+1,1))-AVERAGE(OFFSET($H$3,0,0,'Données projet'!$E$12+1,1))</f>
        <v>487.18832528146936</v>
      </c>
      <c r="CE139" s="59">
        <f t="shared" si="148"/>
        <v>306.61893266146666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74.009891279302678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74.009891279302678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10.163999999999998</v>
      </c>
      <c r="CT139" s="12">
        <f>IF('Données projet'!$A$140&gt;35,CT138+CS139-DB138,IF(A139&lt;'Données projet'!$A$140,$CQ$205^A139,IF(A139='Données projet'!$A$140,'Données projet'!$B$140,CT138+CS139-DB138)))</f>
        <v>598.39399999999978</v>
      </c>
      <c r="CU139" s="17">
        <f>CT139*VLOOKUP('Données projet'!$B$13,Paramètres!$A$1:$I$89,3,0)*VLOOKUP('Données projet'!$B$13,Paramètres!$A$1:$I$89,5,0)</f>
        <v>569.43173039999976</v>
      </c>
      <c r="CV139" s="13">
        <f t="shared" si="149"/>
        <v>125.38925408664474</v>
      </c>
      <c r="CW139" s="20">
        <f t="shared" si="121"/>
        <v>1210.1465479809058</v>
      </c>
      <c r="CX139" s="59">
        <f t="shared" si="122"/>
        <v>1503.479881314239</v>
      </c>
      <c r="CY139" s="59">
        <f ca="1">AVERAGE(OFFSET($CX$3,0,0,'Données projet'!$E$13+1,1))-AVERAGE(OFFSET($H$3,0,0,'Données projet'!$E$13+1,1))</f>
        <v>733.95677909788878</v>
      </c>
      <c r="CZ139" s="59">
        <f t="shared" si="150"/>
        <v>264.63778997972378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139.46144640811968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139.46144640811968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853.00000000000011</v>
      </c>
      <c r="O140" s="13">
        <f>N140*VLOOKUP('Données projet'!$B$9,Paramètres!$A$1:$I$89,3,0)*VLOOKUP('Données projet'!$B$9,Paramètres!$A$1:$I$89,5,0)</f>
        <v>399.20400000000006</v>
      </c>
      <c r="P140" s="13">
        <f t="shared" si="141"/>
        <v>91.615269732888521</v>
      </c>
      <c r="Q140" s="20">
        <f t="shared" si="108"/>
        <v>854.8435614514475</v>
      </c>
      <c r="R140" s="59">
        <f t="shared" si="109"/>
        <v>1148.1768947847809</v>
      </c>
      <c r="S140" s="59">
        <f ca="1">AVERAGE(OFFSET($R$3,0,0,'Données projet'!$E$9+1,1))-AVERAGE(OFFSET($H$3,0,0,'Données projet'!$E$9+1,1))</f>
        <v>488.67934252295686</v>
      </c>
      <c r="T140" s="59">
        <f t="shared" si="142"/>
        <v>424.50324471331095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44.821973334369595</v>
      </c>
      <c r="AA140" s="21">
        <f>EXP(-LN(2)/25)*AA139+(1-EXP(-LN(2)/25))/(LN(2)/25)*Calculateur!V140*Calculateur!X140*VLOOKUP('Données projet'!$B$9,Paramètres!$A$1:$I$89,3,0)*0.475*44/12</f>
        <v>2.5215950124417676</v>
      </c>
      <c r="AB140" s="21">
        <f>EXP(-LN(2)/2)*AB139+(1-EXP(-LN(2)/2))/(LN(2)/2)*V140*Y140*VLOOKUP('Données projet'!$B$9,Paramètres!$A$1:$I$89,3,0)*0.475*44/12</f>
        <v>6.3697549645811908E-17</v>
      </c>
      <c r="AC140" s="22">
        <f t="shared" si="111"/>
        <v>47.34356834681136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689</v>
      </c>
      <c r="AJ140" s="13">
        <f>AI140*VLOOKUP('Données projet'!$B$10,Paramètres!$A$1:$I$89,3,0)*VLOOKUP('Données projet'!$B$10,Paramètres!$A$1:$I$89,5,0)</f>
        <v>412.02199999999999</v>
      </c>
      <c r="AK140" s="13">
        <f t="shared" si="143"/>
        <v>94.209724877926391</v>
      </c>
      <c r="AL140" s="20">
        <f t="shared" si="112"/>
        <v>881.686920829055</v>
      </c>
      <c r="AM140" s="59">
        <f t="shared" si="113"/>
        <v>1175.0202541623883</v>
      </c>
      <c r="AN140" s="59">
        <f ca="1">AVERAGE(OFFSET($AM$3,0,0,'Données projet'!$E$10+1,1))-AVERAGE(OFFSET($H$3,0,0,'Données projet'!$E$10+1,1))</f>
        <v>504.81063008331739</v>
      </c>
      <c r="AO140" s="59">
        <f t="shared" si="144"/>
        <v>441.82647565372287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31.652422940201674</v>
      </c>
      <c r="AV140" s="21">
        <f>EXP(-LN(2)/25)*AV139+(1-EXP(-LN(2)/25))/(LN(2)/25)*Calculateur!AQ140*Calculateur!AS140*VLOOKUP('Données projet'!$B$10,Paramètres!$A$1:$I$89,3,0)*0.475*44/12</f>
        <v>3.0307756147713052</v>
      </c>
      <c r="AW140" s="21">
        <f>EXP(-LN(2)/2)*AW139+(1-EXP(-LN(2)/2))/(LN(2)/2)*AQ140*AT140*VLOOKUP('Données projet'!$B$10,Paramètres!$A$1:$I$89,3,0)*0.475*44/12</f>
        <v>4.1108821186070218E-18</v>
      </c>
      <c r="AX140" s="21">
        <f t="shared" si="114"/>
        <v>34.683198554972982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266.99999999999983</v>
      </c>
      <c r="BE140" s="13">
        <f>BD140*VLOOKUP('Données projet'!$B$11,Paramètres!$A$1:$I$89,3,0)*VLOOKUP('Données projet'!$B$11,Paramètres!$A$1:$I$89,5,0)</f>
        <v>233.2511999999999</v>
      </c>
      <c r="BF140" s="13">
        <f t="shared" si="145"/>
        <v>56.985091661350864</v>
      </c>
      <c r="BG140" s="20">
        <f t="shared" si="115"/>
        <v>505.49487464351915</v>
      </c>
      <c r="BH140" s="59">
        <f t="shared" si="116"/>
        <v>798.82820797685247</v>
      </c>
      <c r="BI140" s="59">
        <f ca="1">AVERAGE(OFFSET($BH$3,0,0,'Données projet'!$E$11+1,1))-AVERAGE(OFFSET($H$3,0,0,'Données projet'!$E$11+1,1))</f>
        <v>324.86930206492627</v>
      </c>
      <c r="BJ140" s="59">
        <f t="shared" si="146"/>
        <v>317.03005098025352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15.407294698030885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15.407294698030885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306.99999999999994</v>
      </c>
      <c r="BZ140" s="13">
        <f>BY140*VLOOKUP('Données projet'!$B$12,Paramètres!$A$1:$I$89,3,0)*VLOOKUP('Données projet'!$B$12,Paramètres!$A$1:$I$89,5,0)</f>
        <v>311.298</v>
      </c>
      <c r="CA140" s="13">
        <f t="shared" si="147"/>
        <v>73.539838278528748</v>
      </c>
      <c r="CB140" s="20">
        <f t="shared" si="118"/>
        <v>670.25923500177089</v>
      </c>
      <c r="CC140" s="59">
        <f t="shared" si="119"/>
        <v>963.59256833510426</v>
      </c>
      <c r="CD140" s="59">
        <f ca="1">AVERAGE(OFFSET($CC$3,0,0,'Données projet'!$E$12+1,1))-AVERAGE(OFFSET($H$3,0,0,'Données projet'!$E$12+1,1))</f>
        <v>487.18832528146936</v>
      </c>
      <c r="CE140" s="59">
        <f t="shared" si="148"/>
        <v>306.61893266146666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72.558602452891876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72.558602452891876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10.163999999999998</v>
      </c>
      <c r="CT140" s="12">
        <f>IF('Données projet'!$A$140&gt;35,CT139+CS140-DB139,IF(A140&lt;'Données projet'!$A$140,$CQ$205^A140,IF(A140='Données projet'!$A$140,'Données projet'!$B$140,CT139+CS140-DB139)))</f>
        <v>608.55799999999977</v>
      </c>
      <c r="CU140" s="17">
        <f>CT140*VLOOKUP('Données projet'!$B$13,Paramètres!$A$1:$I$89,3,0)*VLOOKUP('Données projet'!$B$13,Paramètres!$A$1:$I$89,5,0)</f>
        <v>579.10379279999984</v>
      </c>
      <c r="CV140" s="13">
        <f t="shared" si="149"/>
        <v>127.26929200441765</v>
      </c>
      <c r="CW140" s="20">
        <f t="shared" si="121"/>
        <v>1230.2664560343603</v>
      </c>
      <c r="CX140" s="59">
        <f t="shared" si="122"/>
        <v>1523.5997893676936</v>
      </c>
      <c r="CY140" s="59">
        <f ca="1">AVERAGE(OFFSET($CX$3,0,0,'Données projet'!$E$13+1,1))-AVERAGE(OFFSET($H$3,0,0,'Données projet'!$E$13+1,1))</f>
        <v>733.95677909788878</v>
      </c>
      <c r="CZ140" s="59">
        <f t="shared" si="150"/>
        <v>264.63778997972378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136.72669250713949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136.72669250713949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853.00000000000011</v>
      </c>
      <c r="O141" s="13">
        <f>N141*VLOOKUP('Données projet'!$B$9,Paramètres!$A$1:$I$89,3,0)*VLOOKUP('Données projet'!$B$9,Paramètres!$A$1:$I$89,5,0)</f>
        <v>399.20400000000006</v>
      </c>
      <c r="P141" s="13">
        <f t="shared" si="141"/>
        <v>91.615269732888521</v>
      </c>
      <c r="Q141" s="20">
        <f t="shared" si="108"/>
        <v>854.8435614514475</v>
      </c>
      <c r="R141" s="59">
        <f t="shared" si="109"/>
        <v>1148.1768947847809</v>
      </c>
      <c r="S141" s="59">
        <f ca="1">AVERAGE(OFFSET($R$3,0,0,'Données projet'!$E$9+1,1))-AVERAGE(OFFSET($H$3,0,0,'Données projet'!$E$9+1,1))</f>
        <v>488.67934252295686</v>
      </c>
      <c r="T141" s="59">
        <f t="shared" si="142"/>
        <v>424.50324471331095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43.94304177598687</v>
      </c>
      <c r="AA141" s="21">
        <f>EXP(-LN(2)/25)*AA140+(1-EXP(-LN(2)/25))/(LN(2)/25)*Calculateur!V141*Calculateur!X141*VLOOKUP('Données projet'!$B$9,Paramètres!$A$1:$I$89,3,0)*0.475*44/12</f>
        <v>2.4526418642216288</v>
      </c>
      <c r="AB141" s="21">
        <f>EXP(-LN(2)/2)*AB140+(1-EXP(-LN(2)/2))/(LN(2)/2)*V141*Y141*VLOOKUP('Données projet'!$B$9,Paramètres!$A$1:$I$89,3,0)*0.475*44/12</f>
        <v>4.504096929952037E-17</v>
      </c>
      <c r="AC141" s="22">
        <f t="shared" si="111"/>
        <v>46.395683640208496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689</v>
      </c>
      <c r="AJ141" s="13">
        <f>AI141*VLOOKUP('Données projet'!$B$10,Paramètres!$A$1:$I$89,3,0)*VLOOKUP('Données projet'!$B$10,Paramètres!$A$1:$I$89,5,0)</f>
        <v>412.02199999999999</v>
      </c>
      <c r="AK141" s="13">
        <f t="shared" si="143"/>
        <v>94.209724877926391</v>
      </c>
      <c r="AL141" s="20">
        <f t="shared" si="112"/>
        <v>881.686920829055</v>
      </c>
      <c r="AM141" s="59">
        <f t="shared" si="113"/>
        <v>1175.0202541623883</v>
      </c>
      <c r="AN141" s="59">
        <f ca="1">AVERAGE(OFFSET($AM$3,0,0,'Données projet'!$E$10+1,1))-AVERAGE(OFFSET($H$3,0,0,'Données projet'!$E$10+1,1))</f>
        <v>504.81063008331739</v>
      </c>
      <c r="AO141" s="59">
        <f t="shared" si="144"/>
        <v>441.82647565372287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31.031738232415996</v>
      </c>
      <c r="AV141" s="21">
        <f>EXP(-LN(2)/25)*AV140+(1-EXP(-LN(2)/25))/(LN(2)/25)*Calculateur!AQ141*Calculateur!AS141*VLOOKUP('Données projet'!$B$10,Paramètres!$A$1:$I$89,3,0)*0.475*44/12</f>
        <v>2.9478988962038213</v>
      </c>
      <c r="AW141" s="21">
        <f>EXP(-LN(2)/2)*AW140+(1-EXP(-LN(2)/2))/(LN(2)/2)*AQ141*AT141*VLOOKUP('Données projet'!$B$10,Paramètres!$A$1:$I$89,3,0)*0.475*44/12</f>
        <v>2.9068326227255463E-18</v>
      </c>
      <c r="AX141" s="21">
        <f t="shared" si="114"/>
        <v>33.979637128619821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266.99999999999983</v>
      </c>
      <c r="BE141" s="13">
        <f>BD141*VLOOKUP('Données projet'!$B$11,Paramètres!$A$1:$I$89,3,0)*VLOOKUP('Données projet'!$B$11,Paramètres!$A$1:$I$89,5,0)</f>
        <v>233.2511999999999</v>
      </c>
      <c r="BF141" s="13">
        <f t="shared" si="145"/>
        <v>56.985091661350864</v>
      </c>
      <c r="BG141" s="20">
        <f t="shared" si="115"/>
        <v>505.49487464351915</v>
      </c>
      <c r="BH141" s="59">
        <f t="shared" si="116"/>
        <v>798.82820797685247</v>
      </c>
      <c r="BI141" s="59">
        <f ca="1">AVERAGE(OFFSET($BH$3,0,0,'Données projet'!$E$11+1,1))-AVERAGE(OFFSET($H$3,0,0,'Données projet'!$E$11+1,1))</f>
        <v>324.86930206492627</v>
      </c>
      <c r="BJ141" s="59">
        <f t="shared" si="146"/>
        <v>317.03005098025352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15.105167046524336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15.105167046524336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306.99999999999994</v>
      </c>
      <c r="BZ141" s="13">
        <f>BY141*VLOOKUP('Données projet'!$B$12,Paramètres!$A$1:$I$89,3,0)*VLOOKUP('Données projet'!$B$12,Paramètres!$A$1:$I$89,5,0)</f>
        <v>311.298</v>
      </c>
      <c r="CA141" s="13">
        <f t="shared" si="147"/>
        <v>73.539838278528748</v>
      </c>
      <c r="CB141" s="20">
        <f t="shared" si="118"/>
        <v>670.25923500177089</v>
      </c>
      <c r="CC141" s="59">
        <f t="shared" si="119"/>
        <v>963.59256833510426</v>
      </c>
      <c r="CD141" s="59">
        <f ca="1">AVERAGE(OFFSET($CC$3,0,0,'Données projet'!$E$12+1,1))-AVERAGE(OFFSET($H$3,0,0,'Données projet'!$E$12+1,1))</f>
        <v>487.18832528146936</v>
      </c>
      <c r="CE141" s="59">
        <f t="shared" si="148"/>
        <v>306.61893266146666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71.135772515168213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71.135772515168213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10.163999999999998</v>
      </c>
      <c r="CT141" s="12">
        <f>IF('Données projet'!$A$140&gt;35,CT140+CS141-DB140,IF(A141&lt;'Données projet'!$A$140,$CQ$205^A141,IF(A141='Données projet'!$A$140,'Données projet'!$B$140,CT140+CS141-DB140)))</f>
        <v>618.72199999999975</v>
      </c>
      <c r="CU141" s="17">
        <f>CT141*VLOOKUP('Données projet'!$B$13,Paramètres!$A$1:$I$89,3,0)*VLOOKUP('Données projet'!$B$13,Paramètres!$A$1:$I$89,5,0)</f>
        <v>588.7758551999998</v>
      </c>
      <c r="CV141" s="13">
        <f t="shared" si="149"/>
        <v>129.14567833620316</v>
      </c>
      <c r="CW141" s="20">
        <f t="shared" si="121"/>
        <v>1250.3800042422201</v>
      </c>
      <c r="CX141" s="59">
        <f t="shared" si="122"/>
        <v>1543.7133375755534</v>
      </c>
      <c r="CY141" s="59">
        <f ca="1">AVERAGE(OFFSET($CX$3,0,0,'Données projet'!$E$13+1,1))-AVERAGE(OFFSET($H$3,0,0,'Données projet'!$E$13+1,1))</f>
        <v>733.95677909788878</v>
      </c>
      <c r="CZ141" s="59">
        <f t="shared" si="150"/>
        <v>264.63778997972378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134.04556546212234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134.04556546212234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853.00000000000011</v>
      </c>
      <c r="O142" s="13">
        <f>N142*VLOOKUP('Données projet'!$B$9,Paramètres!$A$1:$I$89,3,0)*VLOOKUP('Données projet'!$B$9,Paramètres!$A$1:$I$89,5,0)</f>
        <v>399.20400000000006</v>
      </c>
      <c r="P142" s="13">
        <f t="shared" si="141"/>
        <v>91.615269732888521</v>
      </c>
      <c r="Q142" s="20">
        <f t="shared" si="108"/>
        <v>854.8435614514475</v>
      </c>
      <c r="R142" s="59">
        <f t="shared" si="109"/>
        <v>1148.1768947847809</v>
      </c>
      <c r="S142" s="59">
        <f ca="1">AVERAGE(OFFSET($R$3,0,0,'Données projet'!$E$9+1,1))-AVERAGE(OFFSET($H$3,0,0,'Données projet'!$E$9+1,1))</f>
        <v>488.67934252295686</v>
      </c>
      <c r="T142" s="59">
        <f t="shared" si="142"/>
        <v>424.50324471331095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43.081345529368711</v>
      </c>
      <c r="AA142" s="21">
        <f>EXP(-LN(2)/25)*AA141+(1-EXP(-LN(2)/25))/(LN(2)/25)*Calculateur!V142*Calculateur!X142*VLOOKUP('Données projet'!$B$9,Paramètres!$A$1:$I$89,3,0)*0.475*44/12</f>
        <v>2.3855742434656584</v>
      </c>
      <c r="AB142" s="21">
        <f>EXP(-LN(2)/2)*AB141+(1-EXP(-LN(2)/2))/(LN(2)/2)*V142*Y142*VLOOKUP('Données projet'!$B$9,Paramètres!$A$1:$I$89,3,0)*0.475*44/12</f>
        <v>3.1848774822905954E-17</v>
      </c>
      <c r="AC142" s="22">
        <f t="shared" si="111"/>
        <v>45.466919772834373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689</v>
      </c>
      <c r="AJ142" s="13">
        <f>AI142*VLOOKUP('Données projet'!$B$10,Paramètres!$A$1:$I$89,3,0)*VLOOKUP('Données projet'!$B$10,Paramètres!$A$1:$I$89,5,0)</f>
        <v>412.02199999999999</v>
      </c>
      <c r="AK142" s="13">
        <f t="shared" si="143"/>
        <v>94.209724877926391</v>
      </c>
      <c r="AL142" s="20">
        <f t="shared" si="112"/>
        <v>881.686920829055</v>
      </c>
      <c r="AM142" s="59">
        <f t="shared" si="113"/>
        <v>1175.0202541623883</v>
      </c>
      <c r="AN142" s="59">
        <f ca="1">AVERAGE(OFFSET($AM$3,0,0,'Données projet'!$E$10+1,1))-AVERAGE(OFFSET($H$3,0,0,'Données projet'!$E$10+1,1))</f>
        <v>504.81063008331739</v>
      </c>
      <c r="AO142" s="59">
        <f t="shared" si="144"/>
        <v>441.82647565372287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30.423224773169707</v>
      </c>
      <c r="AV142" s="21">
        <f>EXP(-LN(2)/25)*AV141+(1-EXP(-LN(2)/25))/(LN(2)/25)*Calculateur!AQ142*Calculateur!AS142*VLOOKUP('Données projet'!$B$10,Paramètres!$A$1:$I$89,3,0)*0.475*44/12</f>
        <v>2.8672884458638626</v>
      </c>
      <c r="AW142" s="21">
        <f>EXP(-LN(2)/2)*AW141+(1-EXP(-LN(2)/2))/(LN(2)/2)*AQ142*AT142*VLOOKUP('Données projet'!$B$10,Paramètres!$A$1:$I$89,3,0)*0.475*44/12</f>
        <v>2.0554410593035109E-18</v>
      </c>
      <c r="AX142" s="21">
        <f t="shared" si="114"/>
        <v>33.290513219033571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266.99999999999983</v>
      </c>
      <c r="BE142" s="13">
        <f>BD142*VLOOKUP('Données projet'!$B$11,Paramètres!$A$1:$I$89,3,0)*VLOOKUP('Données projet'!$B$11,Paramètres!$A$1:$I$89,5,0)</f>
        <v>233.2511999999999</v>
      </c>
      <c r="BF142" s="13">
        <f t="shared" si="145"/>
        <v>56.985091661350864</v>
      </c>
      <c r="BG142" s="20">
        <f t="shared" si="115"/>
        <v>505.49487464351915</v>
      </c>
      <c r="BH142" s="59">
        <f t="shared" si="116"/>
        <v>798.82820797685247</v>
      </c>
      <c r="BI142" s="59">
        <f ca="1">AVERAGE(OFFSET($BH$3,0,0,'Données projet'!$E$11+1,1))-AVERAGE(OFFSET($H$3,0,0,'Données projet'!$E$11+1,1))</f>
        <v>324.86930206492627</v>
      </c>
      <c r="BJ142" s="59">
        <f t="shared" si="146"/>
        <v>317.03005098025352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14.80896393398416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14.80896393398416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306.99999999999994</v>
      </c>
      <c r="BZ142" s="13">
        <f>BY142*VLOOKUP('Données projet'!$B$12,Paramètres!$A$1:$I$89,3,0)*VLOOKUP('Données projet'!$B$12,Paramètres!$A$1:$I$89,5,0)</f>
        <v>311.298</v>
      </c>
      <c r="CA142" s="13">
        <f t="shared" si="147"/>
        <v>73.539838278528748</v>
      </c>
      <c r="CB142" s="20">
        <f t="shared" si="118"/>
        <v>670.25923500177089</v>
      </c>
      <c r="CC142" s="59">
        <f t="shared" si="119"/>
        <v>963.59256833510426</v>
      </c>
      <c r="CD142" s="59">
        <f ca="1">AVERAGE(OFFSET($CC$3,0,0,'Données projet'!$E$12+1,1))-AVERAGE(OFFSET($H$3,0,0,'Données projet'!$E$12+1,1))</f>
        <v>487.18832528146936</v>
      </c>
      <c r="CE142" s="59">
        <f t="shared" si="148"/>
        <v>306.61893266146666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69.740843404682735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69.740843404682735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10.163999999999998</v>
      </c>
      <c r="CT142" s="12">
        <f>IF('Données projet'!$A$140&gt;35,CT141+CS142-DB141,IF(A142&lt;'Données projet'!$A$140,$CQ$205^A142,IF(A142='Données projet'!$A$140,'Données projet'!$B$140,CT141+CS142-DB141)))</f>
        <v>628.88599999999974</v>
      </c>
      <c r="CU142" s="17">
        <f>CT142*VLOOKUP('Données projet'!$B$13,Paramètres!$A$1:$I$89,3,0)*VLOOKUP('Données projet'!$B$13,Paramètres!$A$1:$I$89,5,0)</f>
        <v>598.44791759999976</v>
      </c>
      <c r="CV142" s="13">
        <f t="shared" si="149"/>
        <v>131.01847999256091</v>
      </c>
      <c r="CW142" s="20">
        <f t="shared" si="121"/>
        <v>1270.4873091403765</v>
      </c>
      <c r="CX142" s="59">
        <f t="shared" si="122"/>
        <v>1563.8206424737098</v>
      </c>
      <c r="CY142" s="59">
        <f ca="1">AVERAGE(OFFSET($CX$3,0,0,'Données projet'!$E$13+1,1))-AVERAGE(OFFSET($H$3,0,0,'Données projet'!$E$13+1,1))</f>
        <v>733.95677909788878</v>
      </c>
      <c r="CZ142" s="59">
        <f t="shared" si="150"/>
        <v>264.63778997972378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131.41701368313196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131.41701368313196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853.00000000000011</v>
      </c>
      <c r="O143" s="13">
        <f>N143*VLOOKUP('Données projet'!$B$9,Paramètres!$A$1:$I$89,3,0)*VLOOKUP('Données projet'!$B$9,Paramètres!$A$1:$I$89,5,0)</f>
        <v>399.20400000000006</v>
      </c>
      <c r="P143" s="13">
        <f t="shared" si="141"/>
        <v>91.615269732888521</v>
      </c>
      <c r="Q143" s="20">
        <f t="shared" si="108"/>
        <v>854.8435614514475</v>
      </c>
      <c r="R143" s="59">
        <f t="shared" si="109"/>
        <v>1148.1768947847809</v>
      </c>
      <c r="S143" s="59">
        <f ca="1">AVERAGE(OFFSET($R$3,0,0,'Données projet'!$E$9+1,1))-AVERAGE(OFFSET($H$3,0,0,'Données projet'!$E$9+1,1))</f>
        <v>488.67934252295686</v>
      </c>
      <c r="T143" s="59">
        <f t="shared" si="142"/>
        <v>424.50324471331095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42.236546620563921</v>
      </c>
      <c r="AA143" s="21">
        <f>EXP(-LN(2)/25)*AA142+(1-EXP(-LN(2)/25))/(LN(2)/25)*Calculateur!V143*Calculateur!X143*VLOOKUP('Données projet'!$B$9,Paramètres!$A$1:$I$89,3,0)*0.475*44/12</f>
        <v>2.3203405903261927</v>
      </c>
      <c r="AB143" s="21">
        <f>EXP(-LN(2)/2)*AB142+(1-EXP(-LN(2)/2))/(LN(2)/2)*V143*Y143*VLOOKUP('Données projet'!$B$9,Paramètres!$A$1:$I$89,3,0)*0.475*44/12</f>
        <v>2.2520484649760185E-17</v>
      </c>
      <c r="AC143" s="22">
        <f t="shared" si="111"/>
        <v>44.55688721089011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689</v>
      </c>
      <c r="AJ143" s="13">
        <f>AI143*VLOOKUP('Données projet'!$B$10,Paramètres!$A$1:$I$89,3,0)*VLOOKUP('Données projet'!$B$10,Paramètres!$A$1:$I$89,5,0)</f>
        <v>412.02199999999999</v>
      </c>
      <c r="AK143" s="13">
        <f t="shared" si="143"/>
        <v>94.209724877926391</v>
      </c>
      <c r="AL143" s="20">
        <f t="shared" si="112"/>
        <v>881.686920829055</v>
      </c>
      <c r="AM143" s="59">
        <f t="shared" si="113"/>
        <v>1175.0202541623883</v>
      </c>
      <c r="AN143" s="59">
        <f ca="1">AVERAGE(OFFSET($AM$3,0,0,'Données projet'!$E$10+1,1))-AVERAGE(OFFSET($H$3,0,0,'Données projet'!$E$10+1,1))</f>
        <v>504.81063008331739</v>
      </c>
      <c r="AO143" s="59">
        <f t="shared" si="144"/>
        <v>441.82647565372287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29.826643891702673</v>
      </c>
      <c r="AV143" s="21">
        <f>EXP(-LN(2)/25)*AV142+(1-EXP(-LN(2)/25))/(LN(2)/25)*Calculateur!AQ143*Calculateur!AS143*VLOOKUP('Données projet'!$B$10,Paramètres!$A$1:$I$89,3,0)*0.475*44/12</f>
        <v>2.7888822925275694</v>
      </c>
      <c r="AW143" s="21">
        <f>EXP(-LN(2)/2)*AW142+(1-EXP(-LN(2)/2))/(LN(2)/2)*AQ143*AT143*VLOOKUP('Données projet'!$B$10,Paramètres!$A$1:$I$89,3,0)*0.475*44/12</f>
        <v>1.4534163113627732E-18</v>
      </c>
      <c r="AX143" s="21">
        <f t="shared" si="114"/>
        <v>32.615526184230241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266.99999999999983</v>
      </c>
      <c r="BE143" s="13">
        <f>BD143*VLOOKUP('Données projet'!$B$11,Paramètres!$A$1:$I$89,3,0)*VLOOKUP('Données projet'!$B$11,Paramètres!$A$1:$I$89,5,0)</f>
        <v>233.2511999999999</v>
      </c>
      <c r="BF143" s="13">
        <f t="shared" si="145"/>
        <v>56.985091661350864</v>
      </c>
      <c r="BG143" s="20">
        <f t="shared" si="115"/>
        <v>505.49487464351915</v>
      </c>
      <c r="BH143" s="59">
        <f t="shared" si="116"/>
        <v>798.82820797685247</v>
      </c>
      <c r="BI143" s="59">
        <f ca="1">AVERAGE(OFFSET($BH$3,0,0,'Données projet'!$E$11+1,1))-AVERAGE(OFFSET($H$3,0,0,'Données projet'!$E$11+1,1))</f>
        <v>324.86930206492627</v>
      </c>
      <c r="BJ143" s="59">
        <f t="shared" si="146"/>
        <v>317.03005098025352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14.518569183814837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14.518569183814837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306.99999999999994</v>
      </c>
      <c r="BZ143" s="13">
        <f>BY143*VLOOKUP('Données projet'!$B$12,Paramètres!$A$1:$I$89,3,0)*VLOOKUP('Données projet'!$B$12,Paramètres!$A$1:$I$89,5,0)</f>
        <v>311.298</v>
      </c>
      <c r="CA143" s="13">
        <f t="shared" si="147"/>
        <v>73.539838278528748</v>
      </c>
      <c r="CB143" s="20">
        <f t="shared" si="118"/>
        <v>670.25923500177089</v>
      </c>
      <c r="CC143" s="59">
        <f t="shared" si="119"/>
        <v>963.59256833510426</v>
      </c>
      <c r="CD143" s="59">
        <f ca="1">AVERAGE(OFFSET($CC$3,0,0,'Données projet'!$E$12+1,1))-AVERAGE(OFFSET($H$3,0,0,'Données projet'!$E$12+1,1))</f>
        <v>487.18832528146936</v>
      </c>
      <c r="CE143" s="59">
        <f t="shared" si="148"/>
        <v>306.61893266146666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68.373268003231132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68.373268003231132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>
        <f>VLOOKUP(A143,'Données projet'!$A$139:$I$159,2,0)</f>
        <v>639.04999999999995</v>
      </c>
      <c r="CR143" s="12">
        <f>VLOOKUP(A143,'Données projet'!$A$139:$I$159,9,0)</f>
        <v>10.163999999999998</v>
      </c>
      <c r="CS143" s="12">
        <f t="array" ref="CS143">INDEX(CR:CR,MIN(IF(ISNUMBER(CR143:CR339),ROW(CR143:CR339),"")))</f>
        <v>10.163999999999998</v>
      </c>
      <c r="CT143" s="12">
        <f>IF('Données projet'!$A$140&gt;35,CT142+CS143-DB142,IF(A143&lt;'Données projet'!$A$140,$CQ$205^A143,IF(A143='Données projet'!$A$140,'Données projet'!$B$140,CT142+CS143-DB142)))</f>
        <v>639.04999999999973</v>
      </c>
      <c r="CU143" s="17">
        <f>CT143*VLOOKUP('Données projet'!$B$13,Paramètres!$A$1:$I$89,3,0)*VLOOKUP('Données projet'!$B$13,Paramètres!$A$1:$I$89,5,0)</f>
        <v>608.11997999999971</v>
      </c>
      <c r="CV143" s="13">
        <f t="shared" si="149"/>
        <v>132.88776159722488</v>
      </c>
      <c r="CW143" s="20">
        <f t="shared" si="121"/>
        <v>1290.5884832818329</v>
      </c>
      <c r="CX143" s="59">
        <f t="shared" si="122"/>
        <v>1583.9218166151661</v>
      </c>
      <c r="CY143" s="59">
        <f ca="1">AVERAGE(OFFSET($CX$3,0,0,'Données projet'!$E$13+1,1))-AVERAGE(OFFSET($H$3,0,0,'Données projet'!$E$13+1,1))</f>
        <v>733.95677909788878</v>
      </c>
      <c r="CZ143" s="59">
        <f t="shared" si="150"/>
        <v>264.63778997972378</v>
      </c>
      <c r="DA143" s="15">
        <f>IF(ISNA(VLOOKUP(A143,'Données projet'!$A$139:$I$159,3,0)),0,VLOOKUP(A143,'Données projet'!$A$139:$I$159,3,0))</f>
        <v>13</v>
      </c>
      <c r="DB143" s="15">
        <f>IF(ISNA(VLOOKUP(A143,'Données projet'!$A$139:$I$159,4,0)),0,VLOOKUP(A143,'Données projet'!$A$139:$I$159,4,0))</f>
        <v>67.930000000000007</v>
      </c>
      <c r="DC143" s="16">
        <f>IF(ISNA(VLOOKUP(A143,'Données projet'!$A$139:$I$159,5,0)),0%,VLOOKUP(A143,'Données projet'!$A$139:$I$159,5,0)*VLOOKUP('Données projet'!$B$13,Paramètres!$A$1:$I$89,7,0))</f>
        <v>0.43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159.56781656521542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159.56781656521542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853.00000000000011</v>
      </c>
      <c r="O144" s="13">
        <f>N144*VLOOKUP('Données projet'!$B$9,Paramètres!$A$1:$I$89,3,0)*VLOOKUP('Données projet'!$B$9,Paramètres!$A$1:$I$89,5,0)</f>
        <v>399.20400000000006</v>
      </c>
      <c r="P144" s="13">
        <f t="shared" si="141"/>
        <v>91.615269732888521</v>
      </c>
      <c r="Q144" s="20">
        <f t="shared" si="108"/>
        <v>854.8435614514475</v>
      </c>
      <c r="R144" s="59">
        <f t="shared" si="109"/>
        <v>1148.1768947847809</v>
      </c>
      <c r="S144" s="59">
        <f ca="1">AVERAGE(OFFSET($R$3,0,0,'Données projet'!$E$9+1,1))-AVERAGE(OFFSET($H$3,0,0,'Données projet'!$E$9+1,1))</f>
        <v>488.67934252295686</v>
      </c>
      <c r="T144" s="59">
        <f t="shared" si="142"/>
        <v>424.50324471331095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41.408313703084339</v>
      </c>
      <c r="AA144" s="21">
        <f>EXP(-LN(2)/25)*AA143+(1-EXP(-LN(2)/25))/(LN(2)/25)*Calculateur!V144*Calculateur!X144*VLOOKUP('Données projet'!$B$9,Paramètres!$A$1:$I$89,3,0)*0.475*44/12</f>
        <v>2.2568907548623143</v>
      </c>
      <c r="AB144" s="21">
        <f>EXP(-LN(2)/2)*AB143+(1-EXP(-LN(2)/2))/(LN(2)/2)*V144*Y144*VLOOKUP('Données projet'!$B$9,Paramètres!$A$1:$I$89,3,0)*0.475*44/12</f>
        <v>1.5924387411452977E-17</v>
      </c>
      <c r="AC144" s="22">
        <f t="shared" si="111"/>
        <v>43.665204457946651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689</v>
      </c>
      <c r="AJ144" s="13">
        <f>AI144*VLOOKUP('Données projet'!$B$10,Paramètres!$A$1:$I$89,3,0)*VLOOKUP('Données projet'!$B$10,Paramètres!$A$1:$I$89,5,0)</f>
        <v>412.02199999999999</v>
      </c>
      <c r="AK144" s="13">
        <f t="shared" si="143"/>
        <v>94.209724877926391</v>
      </c>
      <c r="AL144" s="20">
        <f t="shared" si="112"/>
        <v>881.686920829055</v>
      </c>
      <c r="AM144" s="59">
        <f t="shared" si="113"/>
        <v>1175.0202541623883</v>
      </c>
      <c r="AN144" s="59">
        <f ca="1">AVERAGE(OFFSET($AM$3,0,0,'Données projet'!$E$10+1,1))-AVERAGE(OFFSET($H$3,0,0,'Données projet'!$E$10+1,1))</f>
        <v>504.81063008331739</v>
      </c>
      <c r="AO144" s="59">
        <f t="shared" si="144"/>
        <v>441.82647565372287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29.241761597442803</v>
      </c>
      <c r="AV144" s="21">
        <f>EXP(-LN(2)/25)*AV143+(1-EXP(-LN(2)/25))/(LN(2)/25)*Calculateur!AQ144*Calculateur!AS144*VLOOKUP('Données projet'!$B$10,Paramètres!$A$1:$I$89,3,0)*0.475*44/12</f>
        <v>2.7126201595774573</v>
      </c>
      <c r="AW144" s="21">
        <f>EXP(-LN(2)/2)*AW143+(1-EXP(-LN(2)/2))/(LN(2)/2)*AQ144*AT144*VLOOKUP('Données projet'!$B$10,Paramètres!$A$1:$I$89,3,0)*0.475*44/12</f>
        <v>1.0277205296517555E-18</v>
      </c>
      <c r="AX144" s="21">
        <f t="shared" si="114"/>
        <v>31.954381757020261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266.99999999999983</v>
      </c>
      <c r="BE144" s="13">
        <f>BD144*VLOOKUP('Données projet'!$B$11,Paramètres!$A$1:$I$89,3,0)*VLOOKUP('Données projet'!$B$11,Paramètres!$A$1:$I$89,5,0)</f>
        <v>233.2511999999999</v>
      </c>
      <c r="BF144" s="13">
        <f t="shared" si="145"/>
        <v>56.985091661350864</v>
      </c>
      <c r="BG144" s="20">
        <f t="shared" si="115"/>
        <v>505.49487464351915</v>
      </c>
      <c r="BH144" s="59">
        <f t="shared" si="116"/>
        <v>798.82820797685247</v>
      </c>
      <c r="BI144" s="59">
        <f ca="1">AVERAGE(OFFSET($BH$3,0,0,'Données projet'!$E$11+1,1))-AVERAGE(OFFSET($H$3,0,0,'Données projet'!$E$11+1,1))</f>
        <v>324.86930206492627</v>
      </c>
      <c r="BJ144" s="59">
        <f t="shared" si="146"/>
        <v>317.03005098025352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14.233868897573027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14.233868897573027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306.99999999999994</v>
      </c>
      <c r="BZ144" s="13">
        <f>BY144*VLOOKUP('Données projet'!$B$12,Paramètres!$A$1:$I$89,3,0)*VLOOKUP('Données projet'!$B$12,Paramètres!$A$1:$I$89,5,0)</f>
        <v>311.298</v>
      </c>
      <c r="CA144" s="13">
        <f t="shared" si="147"/>
        <v>73.539838278528748</v>
      </c>
      <c r="CB144" s="20">
        <f t="shared" si="118"/>
        <v>670.25923500177089</v>
      </c>
      <c r="CC144" s="59">
        <f t="shared" si="119"/>
        <v>963.59256833510426</v>
      </c>
      <c r="CD144" s="59">
        <f ca="1">AVERAGE(OFFSET($CC$3,0,0,'Données projet'!$E$12+1,1))-AVERAGE(OFFSET($H$3,0,0,'Données projet'!$E$12+1,1))</f>
        <v>487.18832528146936</v>
      </c>
      <c r="CE144" s="59">
        <f t="shared" si="148"/>
        <v>306.61893266146666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67.032509921263369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67.032509921263369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10.201000000000011</v>
      </c>
      <c r="CT144" s="12">
        <f>IF('Données projet'!$A$140&gt;35,CT143+CS144-DB143,IF(A144&lt;'Données projet'!$A$140,$CQ$205^A144,IF(A144='Données projet'!$A$140,'Données projet'!$B$140,CT143+CS144-DB143)))</f>
        <v>581.32099999999969</v>
      </c>
      <c r="CU144" s="17">
        <f>CT144*VLOOKUP('Données projet'!$B$13,Paramètres!$A$1:$I$89,3,0)*VLOOKUP('Données projet'!$B$13,Paramètres!$A$1:$I$89,5,0)</f>
        <v>553.18506359999969</v>
      </c>
      <c r="CV144" s="13">
        <f t="shared" si="149"/>
        <v>122.22284548413593</v>
      </c>
      <c r="CW144" s="20">
        <f t="shared" si="121"/>
        <v>1176.3354416548698</v>
      </c>
      <c r="CX144" s="59">
        <f t="shared" si="122"/>
        <v>1469.668774988203</v>
      </c>
      <c r="CY144" s="59">
        <f ca="1">AVERAGE(OFFSET($CX$3,0,0,'Données projet'!$E$13+1,1))-AVERAGE(OFFSET($H$3,0,0,'Données projet'!$E$13+1,1))</f>
        <v>733.95677909788878</v>
      </c>
      <c r="CZ144" s="59">
        <f t="shared" si="150"/>
        <v>264.63778997972378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156.43878900912944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156.43878900912944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853.00000000000011</v>
      </c>
      <c r="O145" s="13">
        <f>N145*VLOOKUP('Données projet'!$B$9,Paramètres!$A$1:$I$89,3,0)*VLOOKUP('Données projet'!$B$9,Paramètres!$A$1:$I$89,5,0)</f>
        <v>399.20400000000006</v>
      </c>
      <c r="P145" s="13">
        <f t="shared" si="141"/>
        <v>91.615269732888521</v>
      </c>
      <c r="Q145" s="20">
        <f t="shared" si="108"/>
        <v>854.8435614514475</v>
      </c>
      <c r="R145" s="59">
        <f t="shared" si="109"/>
        <v>1148.1768947847809</v>
      </c>
      <c r="S145" s="59">
        <f ca="1">AVERAGE(OFFSET($R$3,0,0,'Données projet'!$E$9+1,1))-AVERAGE(OFFSET($H$3,0,0,'Données projet'!$E$9+1,1))</f>
        <v>488.67934252295686</v>
      </c>
      <c r="T145" s="59">
        <f t="shared" si="142"/>
        <v>424.50324471331095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40.596321927944331</v>
      </c>
      <c r="AA145" s="21">
        <f>EXP(-LN(2)/25)*AA144+(1-EXP(-LN(2)/25))/(LN(2)/25)*Calculateur!V145*Calculateur!X145*VLOOKUP('Données projet'!$B$9,Paramètres!$A$1:$I$89,3,0)*0.475*44/12</f>
        <v>2.1951759584858777</v>
      </c>
      <c r="AB145" s="21">
        <f>EXP(-LN(2)/2)*AB144+(1-EXP(-LN(2)/2))/(LN(2)/2)*V145*Y145*VLOOKUP('Données projet'!$B$9,Paramètres!$A$1:$I$89,3,0)*0.475*44/12</f>
        <v>1.1260242324880092E-17</v>
      </c>
      <c r="AC145" s="22">
        <f t="shared" si="111"/>
        <v>42.791497886430207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689</v>
      </c>
      <c r="AJ145" s="13">
        <f>AI145*VLOOKUP('Données projet'!$B$10,Paramètres!$A$1:$I$89,3,0)*VLOOKUP('Données projet'!$B$10,Paramètres!$A$1:$I$89,5,0)</f>
        <v>412.02199999999999</v>
      </c>
      <c r="AK145" s="13">
        <f t="shared" si="143"/>
        <v>94.209724877926391</v>
      </c>
      <c r="AL145" s="20">
        <f t="shared" si="112"/>
        <v>881.686920829055</v>
      </c>
      <c r="AM145" s="59">
        <f t="shared" si="113"/>
        <v>1175.0202541623883</v>
      </c>
      <c r="AN145" s="59">
        <f ca="1">AVERAGE(OFFSET($AM$3,0,0,'Données projet'!$E$10+1,1))-AVERAGE(OFFSET($H$3,0,0,'Données projet'!$E$10+1,1))</f>
        <v>504.81063008331739</v>
      </c>
      <c r="AO145" s="59">
        <f t="shared" si="144"/>
        <v>441.82647565372287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28.668348488230393</v>
      </c>
      <c r="AV145" s="21">
        <f>EXP(-LN(2)/25)*AV144+(1-EXP(-LN(2)/25))/(LN(2)/25)*Calculateur!AQ145*Calculateur!AS145*VLOOKUP('Données projet'!$B$10,Paramètres!$A$1:$I$89,3,0)*0.475*44/12</f>
        <v>2.6384434186633174</v>
      </c>
      <c r="AW145" s="21">
        <f>EXP(-LN(2)/2)*AW144+(1-EXP(-LN(2)/2))/(LN(2)/2)*AQ145*AT145*VLOOKUP('Données projet'!$B$10,Paramètres!$A$1:$I$89,3,0)*0.475*44/12</f>
        <v>7.2670815568138658E-19</v>
      </c>
      <c r="AX145" s="21">
        <f t="shared" si="114"/>
        <v>31.306791906893711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266.99999999999983</v>
      </c>
      <c r="BE145" s="13">
        <f>BD145*VLOOKUP('Données projet'!$B$11,Paramètres!$A$1:$I$89,3,0)*VLOOKUP('Données projet'!$B$11,Paramètres!$A$1:$I$89,5,0)</f>
        <v>233.2511999999999</v>
      </c>
      <c r="BF145" s="13">
        <f t="shared" si="145"/>
        <v>56.985091661350864</v>
      </c>
      <c r="BG145" s="20">
        <f t="shared" si="115"/>
        <v>505.49487464351915</v>
      </c>
      <c r="BH145" s="59">
        <f t="shared" si="116"/>
        <v>798.82820797685247</v>
      </c>
      <c r="BI145" s="59">
        <f ca="1">AVERAGE(OFFSET($BH$3,0,0,'Données projet'!$E$11+1,1))-AVERAGE(OFFSET($H$3,0,0,'Données projet'!$E$11+1,1))</f>
        <v>324.86930206492627</v>
      </c>
      <c r="BJ145" s="59">
        <f t="shared" si="146"/>
        <v>317.03005098025352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13.95475141029439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13.95475141029439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306.99999999999994</v>
      </c>
      <c r="BZ145" s="13">
        <f>BY145*VLOOKUP('Données projet'!$B$12,Paramètres!$A$1:$I$89,3,0)*VLOOKUP('Données projet'!$B$12,Paramètres!$A$1:$I$89,5,0)</f>
        <v>311.298</v>
      </c>
      <c r="CA145" s="13">
        <f t="shared" si="147"/>
        <v>73.539838278528748</v>
      </c>
      <c r="CB145" s="20">
        <f t="shared" si="118"/>
        <v>670.25923500177089</v>
      </c>
      <c r="CC145" s="59">
        <f t="shared" si="119"/>
        <v>963.59256833510426</v>
      </c>
      <c r="CD145" s="59">
        <f ca="1">AVERAGE(OFFSET($CC$3,0,0,'Données projet'!$E$12+1,1))-AVERAGE(OFFSET($H$3,0,0,'Données projet'!$E$12+1,1))</f>
        <v>487.18832528146936</v>
      </c>
      <c r="CE145" s="59">
        <f t="shared" si="148"/>
        <v>306.61893266146666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65.718043287501303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65.718043287501303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10.201000000000011</v>
      </c>
      <c r="CT145" s="12">
        <f>IF('Données projet'!$A$140&gt;35,CT144+CS145-DB144,IF(A145&lt;'Données projet'!$A$140,$CQ$205^A145,IF(A145='Données projet'!$A$140,'Données projet'!$B$140,CT144+CS145-DB144)))</f>
        <v>591.52199999999971</v>
      </c>
      <c r="CU145" s="17">
        <f>CT145*VLOOKUP('Données projet'!$B$13,Paramètres!$A$1:$I$89,3,0)*VLOOKUP('Données projet'!$B$13,Paramètres!$A$1:$I$89,5,0)</f>
        <v>562.89233519999971</v>
      </c>
      <c r="CV145" s="13">
        <f t="shared" si="149"/>
        <v>124.11603433399489</v>
      </c>
      <c r="CW145" s="20">
        <f t="shared" si="121"/>
        <v>1196.5395769383738</v>
      </c>
      <c r="CX145" s="59">
        <f t="shared" si="122"/>
        <v>1489.872910271707</v>
      </c>
      <c r="CY145" s="59">
        <f ca="1">AVERAGE(OFFSET($CX$3,0,0,'Données projet'!$E$13+1,1))-AVERAGE(OFFSET($H$3,0,0,'Données projet'!$E$13+1,1))</f>
        <v>733.95677909788878</v>
      </c>
      <c r="CZ145" s="59">
        <f t="shared" si="150"/>
        <v>264.63778997972378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153.37111977489994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153.37111977489994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853.00000000000011</v>
      </c>
      <c r="O146" s="13">
        <f>N146*VLOOKUP('Données projet'!$B$9,Paramètres!$A$1:$I$89,3,0)*VLOOKUP('Données projet'!$B$9,Paramètres!$A$1:$I$89,5,0)</f>
        <v>399.20400000000006</v>
      </c>
      <c r="P146" s="13">
        <f t="shared" si="141"/>
        <v>91.615269732888521</v>
      </c>
      <c r="Q146" s="20">
        <f t="shared" si="108"/>
        <v>854.8435614514475</v>
      </c>
      <c r="R146" s="59">
        <f t="shared" si="109"/>
        <v>1148.1768947847809</v>
      </c>
      <c r="S146" s="59">
        <f ca="1">AVERAGE(OFFSET($R$3,0,0,'Données projet'!$E$9+1,1))-AVERAGE(OFFSET($H$3,0,0,'Données projet'!$E$9+1,1))</f>
        <v>488.67934252295686</v>
      </c>
      <c r="T146" s="59">
        <f t="shared" si="142"/>
        <v>424.50324471331095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39.800252816248744</v>
      </c>
      <c r="AA146" s="21">
        <f>EXP(-LN(2)/25)*AA145+(1-EXP(-LN(2)/25))/(LN(2)/25)*Calculateur!V146*Calculateur!X146*VLOOKUP('Données projet'!$B$9,Paramètres!$A$1:$I$89,3,0)*0.475*44/12</f>
        <v>2.135148756461795</v>
      </c>
      <c r="AB146" s="21">
        <f>EXP(-LN(2)/2)*AB145+(1-EXP(-LN(2)/2))/(LN(2)/2)*V146*Y146*VLOOKUP('Données projet'!$B$9,Paramètres!$A$1:$I$89,3,0)*0.475*44/12</f>
        <v>7.9621937057264885E-18</v>
      </c>
      <c r="AC146" s="22">
        <f t="shared" si="111"/>
        <v>41.935401572710539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689</v>
      </c>
      <c r="AJ146" s="13">
        <f>AI146*VLOOKUP('Données projet'!$B$10,Paramètres!$A$1:$I$89,3,0)*VLOOKUP('Données projet'!$B$10,Paramètres!$A$1:$I$89,5,0)</f>
        <v>412.02199999999999</v>
      </c>
      <c r="AK146" s="13">
        <f t="shared" si="143"/>
        <v>94.209724877926391</v>
      </c>
      <c r="AL146" s="20">
        <f t="shared" si="112"/>
        <v>881.686920829055</v>
      </c>
      <c r="AM146" s="59">
        <f t="shared" si="113"/>
        <v>1175.0202541623883</v>
      </c>
      <c r="AN146" s="59">
        <f ca="1">AVERAGE(OFFSET($AM$3,0,0,'Données projet'!$E$10+1,1))-AVERAGE(OFFSET($H$3,0,0,'Données projet'!$E$10+1,1))</f>
        <v>504.81063008331739</v>
      </c>
      <c r="AO146" s="59">
        <f t="shared" si="144"/>
        <v>441.82647565372287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28.106179660342178</v>
      </c>
      <c r="AV146" s="21">
        <f>EXP(-LN(2)/25)*AV145+(1-EXP(-LN(2)/25))/(LN(2)/25)*Calculateur!AQ146*Calculateur!AS146*VLOOKUP('Données projet'!$B$10,Paramètres!$A$1:$I$89,3,0)*0.475*44/12</f>
        <v>2.5662950446302597</v>
      </c>
      <c r="AW146" s="21">
        <f>EXP(-LN(2)/2)*AW145+(1-EXP(-LN(2)/2))/(LN(2)/2)*AQ146*AT146*VLOOKUP('Données projet'!$B$10,Paramètres!$A$1:$I$89,3,0)*0.475*44/12</f>
        <v>5.1386026482587773E-19</v>
      </c>
      <c r="AX146" s="21">
        <f t="shared" si="114"/>
        <v>30.672474704972437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266.99999999999983</v>
      </c>
      <c r="BE146" s="13">
        <f>BD146*VLOOKUP('Données projet'!$B$11,Paramètres!$A$1:$I$89,3,0)*VLOOKUP('Données projet'!$B$11,Paramètres!$A$1:$I$89,5,0)</f>
        <v>233.2511999999999</v>
      </c>
      <c r="BF146" s="13">
        <f t="shared" si="145"/>
        <v>56.985091661350864</v>
      </c>
      <c r="BG146" s="20">
        <f t="shared" si="115"/>
        <v>505.49487464351915</v>
      </c>
      <c r="BH146" s="59">
        <f t="shared" si="116"/>
        <v>798.82820797685247</v>
      </c>
      <c r="BI146" s="59">
        <f ca="1">AVERAGE(OFFSET($BH$3,0,0,'Données projet'!$E$11+1,1))-AVERAGE(OFFSET($H$3,0,0,'Données projet'!$E$11+1,1))</f>
        <v>324.86930206492627</v>
      </c>
      <c r="BJ146" s="59">
        <f t="shared" si="146"/>
        <v>317.03005098025352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13.681107246696431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13.681107246696431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306.99999999999994</v>
      </c>
      <c r="BZ146" s="13">
        <f>BY146*VLOOKUP('Données projet'!$B$12,Paramètres!$A$1:$I$89,3,0)*VLOOKUP('Données projet'!$B$12,Paramètres!$A$1:$I$89,5,0)</f>
        <v>311.298</v>
      </c>
      <c r="CA146" s="13">
        <f t="shared" si="147"/>
        <v>73.539838278528748</v>
      </c>
      <c r="CB146" s="20">
        <f t="shared" si="118"/>
        <v>670.25923500177089</v>
      </c>
      <c r="CC146" s="59">
        <f t="shared" si="119"/>
        <v>963.59256833510426</v>
      </c>
      <c r="CD146" s="59">
        <f ca="1">AVERAGE(OFFSET($CC$3,0,0,'Données projet'!$E$12+1,1))-AVERAGE(OFFSET($H$3,0,0,'Données projet'!$E$12+1,1))</f>
        <v>487.18832528146936</v>
      </c>
      <c r="CE146" s="59">
        <f t="shared" si="148"/>
        <v>306.61893266146666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64.429352542681841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64.429352542681841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10.201000000000011</v>
      </c>
      <c r="CT146" s="12">
        <f>IF('Données projet'!$A$140&gt;35,CT145+CS146-DB145,IF(A146&lt;'Données projet'!$A$140,$CQ$205^A146,IF(A146='Données projet'!$A$140,'Données projet'!$B$140,CT145+CS146-DB145)))</f>
        <v>601.72299999999973</v>
      </c>
      <c r="CU146" s="17">
        <f>CT146*VLOOKUP('Données projet'!$B$13,Paramètres!$A$1:$I$89,3,0)*VLOOKUP('Données projet'!$B$13,Paramètres!$A$1:$I$89,5,0)</f>
        <v>572.59960679999972</v>
      </c>
      <c r="CV146" s="13">
        <f t="shared" si="149"/>
        <v>126.00542648891106</v>
      </c>
      <c r="CW146" s="20">
        <f t="shared" si="121"/>
        <v>1216.7370996448528</v>
      </c>
      <c r="CX146" s="59">
        <f t="shared" si="122"/>
        <v>1510.0704329781861</v>
      </c>
      <c r="CY146" s="59">
        <f ca="1">AVERAGE(OFFSET($CX$3,0,0,'Données projet'!$E$13+1,1))-AVERAGE(OFFSET($H$3,0,0,'Données projet'!$E$13+1,1))</f>
        <v>733.95677909788878</v>
      </c>
      <c r="CZ146" s="59">
        <f t="shared" si="150"/>
        <v>264.63778997972378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150.36360566326019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150.36360566326019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853.00000000000011</v>
      </c>
      <c r="O147" s="13">
        <f>N147*VLOOKUP('Données projet'!$B$9,Paramètres!$A$1:$I$89,3,0)*VLOOKUP('Données projet'!$B$9,Paramètres!$A$1:$I$89,5,0)</f>
        <v>399.20400000000006</v>
      </c>
      <c r="P147" s="13">
        <f t="shared" si="141"/>
        <v>91.615269732888521</v>
      </c>
      <c r="Q147" s="20">
        <f t="shared" si="108"/>
        <v>854.8435614514475</v>
      </c>
      <c r="R147" s="59">
        <f t="shared" si="109"/>
        <v>1148.1768947847809</v>
      </c>
      <c r="S147" s="59">
        <f ca="1">AVERAGE(OFFSET($R$3,0,0,'Données projet'!$E$9+1,1))-AVERAGE(OFFSET($H$3,0,0,'Données projet'!$E$9+1,1))</f>
        <v>488.67934252295686</v>
      </c>
      <c r="T147" s="59">
        <f t="shared" si="142"/>
        <v>424.50324471331095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39.019794134279294</v>
      </c>
      <c r="AA147" s="21">
        <f>EXP(-LN(2)/25)*AA146+(1-EXP(-LN(2)/25))/(LN(2)/25)*Calculateur!V147*Calculateur!X147*VLOOKUP('Données projet'!$B$9,Paramètres!$A$1:$I$89,3,0)*0.475*44/12</f>
        <v>2.0767630014337541</v>
      </c>
      <c r="AB147" s="21">
        <f>EXP(-LN(2)/2)*AB146+(1-EXP(-LN(2)/2))/(LN(2)/2)*V147*Y147*VLOOKUP('Données projet'!$B$9,Paramètres!$A$1:$I$89,3,0)*0.475*44/12</f>
        <v>5.6301211624400462E-18</v>
      </c>
      <c r="AC147" s="22">
        <f t="shared" si="111"/>
        <v>41.096557135713049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689</v>
      </c>
      <c r="AJ147" s="13">
        <f>AI147*VLOOKUP('Données projet'!$B$10,Paramètres!$A$1:$I$89,3,0)*VLOOKUP('Données projet'!$B$10,Paramètres!$A$1:$I$89,5,0)</f>
        <v>412.02199999999999</v>
      </c>
      <c r="AK147" s="13">
        <f t="shared" si="143"/>
        <v>94.209724877926391</v>
      </c>
      <c r="AL147" s="20">
        <f t="shared" si="112"/>
        <v>881.686920829055</v>
      </c>
      <c r="AM147" s="59">
        <f t="shared" si="113"/>
        <v>1175.0202541623883</v>
      </c>
      <c r="AN147" s="59">
        <f ca="1">AVERAGE(OFFSET($AM$3,0,0,'Données projet'!$E$10+1,1))-AVERAGE(OFFSET($H$3,0,0,'Données projet'!$E$10+1,1))</f>
        <v>504.81063008331739</v>
      </c>
      <c r="AO147" s="59">
        <f t="shared" si="144"/>
        <v>441.82647565372287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27.555034620279724</v>
      </c>
      <c r="AV147" s="21">
        <f>EXP(-LN(2)/25)*AV146+(1-EXP(-LN(2)/25))/(LN(2)/25)*Calculateur!AQ147*Calculateur!AS147*VLOOKUP('Données projet'!$B$10,Paramètres!$A$1:$I$89,3,0)*0.475*44/12</f>
        <v>2.4961195716792544</v>
      </c>
      <c r="AW147" s="21">
        <f>EXP(-LN(2)/2)*AW146+(1-EXP(-LN(2)/2))/(LN(2)/2)*AQ147*AT147*VLOOKUP('Données projet'!$B$10,Paramètres!$A$1:$I$89,3,0)*0.475*44/12</f>
        <v>3.6335407784069329E-19</v>
      </c>
      <c r="AX147" s="21">
        <f t="shared" si="114"/>
        <v>30.051154191958979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266.99999999999983</v>
      </c>
      <c r="BE147" s="13">
        <f>BD147*VLOOKUP('Données projet'!$B$11,Paramètres!$A$1:$I$89,3,0)*VLOOKUP('Données projet'!$B$11,Paramètres!$A$1:$I$89,5,0)</f>
        <v>233.2511999999999</v>
      </c>
      <c r="BF147" s="13">
        <f t="shared" si="145"/>
        <v>56.985091661350864</v>
      </c>
      <c r="BG147" s="20">
        <f t="shared" si="115"/>
        <v>505.49487464351915</v>
      </c>
      <c r="BH147" s="59">
        <f t="shared" si="116"/>
        <v>798.82820797685247</v>
      </c>
      <c r="BI147" s="59">
        <f ca="1">AVERAGE(OFFSET($BH$3,0,0,'Données projet'!$E$11+1,1))-AVERAGE(OFFSET($H$3,0,0,'Données projet'!$E$11+1,1))</f>
        <v>324.86930206492627</v>
      </c>
      <c r="BJ147" s="59">
        <f t="shared" si="146"/>
        <v>317.03005098025352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13.412829078240168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13.412829078240168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306.99999999999994</v>
      </c>
      <c r="BZ147" s="13">
        <f>BY147*VLOOKUP('Données projet'!$B$12,Paramètres!$A$1:$I$89,3,0)*VLOOKUP('Données projet'!$B$12,Paramètres!$A$1:$I$89,5,0)</f>
        <v>311.298</v>
      </c>
      <c r="CA147" s="13">
        <f t="shared" si="147"/>
        <v>73.539838278528748</v>
      </c>
      <c r="CB147" s="20">
        <f t="shared" si="118"/>
        <v>670.25923500177089</v>
      </c>
      <c r="CC147" s="59">
        <f t="shared" si="119"/>
        <v>963.59256833510426</v>
      </c>
      <c r="CD147" s="59">
        <f ca="1">AVERAGE(OFFSET($CC$3,0,0,'Données projet'!$E$12+1,1))-AVERAGE(OFFSET($H$3,0,0,'Données projet'!$E$12+1,1))</f>
        <v>487.18832528146936</v>
      </c>
      <c r="CE147" s="59">
        <f t="shared" si="148"/>
        <v>306.61893266146666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63.165932237344542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63.165932237344542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10.201000000000011</v>
      </c>
      <c r="CT147" s="12">
        <f>IF('Données projet'!$A$140&gt;35,CT146+CS147-DB146,IF(A147&lt;'Données projet'!$A$140,$CQ$205^A147,IF(A147='Données projet'!$A$140,'Données projet'!$B$140,CT146+CS147-DB146)))</f>
        <v>611.92399999999975</v>
      </c>
      <c r="CU147" s="17">
        <f>CT147*VLOOKUP('Données projet'!$B$13,Paramètres!$A$1:$I$89,3,0)*VLOOKUP('Données projet'!$B$13,Paramètres!$A$1:$I$89,5,0)</f>
        <v>582.30687839999973</v>
      </c>
      <c r="CV147" s="13">
        <f t="shared" si="149"/>
        <v>127.89109374239065</v>
      </c>
      <c r="CW147" s="20">
        <f t="shared" si="121"/>
        <v>1236.9281348146633</v>
      </c>
      <c r="CX147" s="59">
        <f t="shared" si="122"/>
        <v>1530.2614681479965</v>
      </c>
      <c r="CY147" s="59">
        <f ca="1">AVERAGE(OFFSET($CX$3,0,0,'Données projet'!$E$13+1,1))-AVERAGE(OFFSET($H$3,0,0,'Données projet'!$E$13+1,1))</f>
        <v>733.95677909788878</v>
      </c>
      <c r="CZ147" s="59">
        <f t="shared" si="150"/>
        <v>264.63778997972378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147.41506706894722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147.41506706894722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853.00000000000011</v>
      </c>
      <c r="O148" s="13">
        <f>N148*VLOOKUP('Données projet'!$B$9,Paramètres!$A$1:$I$89,3,0)*VLOOKUP('Données projet'!$B$9,Paramètres!$A$1:$I$89,5,0)</f>
        <v>399.20400000000006</v>
      </c>
      <c r="P148" s="13">
        <f t="shared" si="141"/>
        <v>91.615269732888521</v>
      </c>
      <c r="Q148" s="20">
        <f t="shared" si="108"/>
        <v>854.8435614514475</v>
      </c>
      <c r="R148" s="59">
        <f t="shared" si="109"/>
        <v>1148.1768947847809</v>
      </c>
      <c r="S148" s="59">
        <f ca="1">AVERAGE(OFFSET($R$3,0,0,'Données projet'!$E$9+1,1))-AVERAGE(OFFSET($H$3,0,0,'Données projet'!$E$9+1,1))</f>
        <v>488.67934252295686</v>
      </c>
      <c r="T148" s="59">
        <f t="shared" si="142"/>
        <v>424.50324471331095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38.254639771030469</v>
      </c>
      <c r="AA148" s="21">
        <f>EXP(-LN(2)/25)*AA147+(1-EXP(-LN(2)/25))/(LN(2)/25)*Calculateur!V148*Calculateur!X148*VLOOKUP('Données projet'!$B$9,Paramètres!$A$1:$I$89,3,0)*0.475*44/12</f>
        <v>2.0199738079473284</v>
      </c>
      <c r="AB148" s="21">
        <f>EXP(-LN(2)/2)*AB147+(1-EXP(-LN(2)/2))/(LN(2)/2)*V148*Y148*VLOOKUP('Données projet'!$B$9,Paramètres!$A$1:$I$89,3,0)*0.475*44/12</f>
        <v>3.9810968528632442E-18</v>
      </c>
      <c r="AC148" s="22">
        <f t="shared" si="111"/>
        <v>40.274613578977799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689</v>
      </c>
      <c r="AJ148" s="13">
        <f>AI148*VLOOKUP('Données projet'!$B$10,Paramètres!$A$1:$I$89,3,0)*VLOOKUP('Données projet'!$B$10,Paramètres!$A$1:$I$89,5,0)</f>
        <v>412.02199999999999</v>
      </c>
      <c r="AK148" s="13">
        <f t="shared" si="143"/>
        <v>94.209724877926391</v>
      </c>
      <c r="AL148" s="20">
        <f t="shared" si="112"/>
        <v>881.686920829055</v>
      </c>
      <c r="AM148" s="59">
        <f t="shared" si="113"/>
        <v>1175.0202541623883</v>
      </c>
      <c r="AN148" s="59">
        <f ca="1">AVERAGE(OFFSET($AM$3,0,0,'Données projet'!$E$10+1,1))-AVERAGE(OFFSET($H$3,0,0,'Données projet'!$E$10+1,1))</f>
        <v>504.81063008331739</v>
      </c>
      <c r="AO148" s="59">
        <f t="shared" si="144"/>
        <v>441.82647565372287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27.01469719828761</v>
      </c>
      <c r="AV148" s="21">
        <f>EXP(-LN(2)/25)*AV147+(1-EXP(-LN(2)/25))/(LN(2)/25)*Calculateur!AQ148*Calculateur!AS148*VLOOKUP('Données projet'!$B$10,Paramètres!$A$1:$I$89,3,0)*0.475*44/12</f>
        <v>2.427863050726462</v>
      </c>
      <c r="AW148" s="21">
        <f>EXP(-LN(2)/2)*AW147+(1-EXP(-LN(2)/2))/(LN(2)/2)*AQ148*AT148*VLOOKUP('Données projet'!$B$10,Paramètres!$A$1:$I$89,3,0)*0.475*44/12</f>
        <v>2.5693013241293886E-19</v>
      </c>
      <c r="AX148" s="21">
        <f t="shared" si="114"/>
        <v>29.442560249014072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266.99999999999983</v>
      </c>
      <c r="BE148" s="13">
        <f>BD148*VLOOKUP('Données projet'!$B$11,Paramètres!$A$1:$I$89,3,0)*VLOOKUP('Données projet'!$B$11,Paramètres!$A$1:$I$89,5,0)</f>
        <v>233.2511999999999</v>
      </c>
      <c r="BF148" s="13">
        <f t="shared" si="145"/>
        <v>56.985091661350864</v>
      </c>
      <c r="BG148" s="20">
        <f t="shared" si="115"/>
        <v>505.49487464351915</v>
      </c>
      <c r="BH148" s="59">
        <f t="shared" si="116"/>
        <v>798.82820797685247</v>
      </c>
      <c r="BI148" s="59">
        <f ca="1">AVERAGE(OFFSET($BH$3,0,0,'Données projet'!$E$11+1,1))-AVERAGE(OFFSET($H$3,0,0,'Données projet'!$E$11+1,1))</f>
        <v>324.86930206492627</v>
      </c>
      <c r="BJ148" s="59">
        <f t="shared" si="146"/>
        <v>317.03005098025352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13.149811681033809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13.149811681033809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306.99999999999994</v>
      </c>
      <c r="BZ148" s="13">
        <f>BY148*VLOOKUP('Données projet'!$B$12,Paramètres!$A$1:$I$89,3,0)*VLOOKUP('Données projet'!$B$12,Paramètres!$A$1:$I$89,5,0)</f>
        <v>311.298</v>
      </c>
      <c r="CA148" s="13">
        <f t="shared" si="147"/>
        <v>73.539838278528748</v>
      </c>
      <c r="CB148" s="20">
        <f t="shared" si="118"/>
        <v>670.25923500177089</v>
      </c>
      <c r="CC148" s="59">
        <f t="shared" si="119"/>
        <v>963.59256833510426</v>
      </c>
      <c r="CD148" s="59">
        <f ca="1">AVERAGE(OFFSET($CC$3,0,0,'Données projet'!$E$12+1,1))-AVERAGE(OFFSET($H$3,0,0,'Données projet'!$E$12+1,1))</f>
        <v>487.18832528146936</v>
      </c>
      <c r="CE148" s="59">
        <f t="shared" si="148"/>
        <v>306.61893266146666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61.927286833584617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61.927286833584617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10.201000000000011</v>
      </c>
      <c r="CT148" s="12">
        <f>IF('Données projet'!$A$140&gt;35,CT147+CS148-DB147,IF(A148&lt;'Données projet'!$A$140,$CQ$205^A148,IF(A148='Données projet'!$A$140,'Données projet'!$B$140,CT147+CS148-DB147)))</f>
        <v>622.12499999999977</v>
      </c>
      <c r="CU148" s="17">
        <f>CT148*VLOOKUP('Données projet'!$B$13,Paramètres!$A$1:$I$89,3,0)*VLOOKUP('Données projet'!$B$13,Paramètres!$A$1:$I$89,5,0)</f>
        <v>592.01414999999986</v>
      </c>
      <c r="CV148" s="13">
        <f t="shared" si="149"/>
        <v>129.773105357086</v>
      </c>
      <c r="CW148" s="20">
        <f t="shared" si="121"/>
        <v>1257.1128030802577</v>
      </c>
      <c r="CX148" s="59">
        <f t="shared" si="122"/>
        <v>1550.4461364135909</v>
      </c>
      <c r="CY148" s="59">
        <f ca="1">AVERAGE(OFFSET($CX$3,0,0,'Données projet'!$E$13+1,1))-AVERAGE(OFFSET($H$3,0,0,'Données projet'!$E$13+1,1))</f>
        <v>733.95677909788878</v>
      </c>
      <c r="CZ148" s="59">
        <f t="shared" si="150"/>
        <v>264.63778997972378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144.52434751803779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144.52434751803779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853.00000000000011</v>
      </c>
      <c r="O149" s="13">
        <f>N149*VLOOKUP('Données projet'!$B$9,Paramètres!$A$1:$I$89,3,0)*VLOOKUP('Données projet'!$B$9,Paramètres!$A$1:$I$89,5,0)</f>
        <v>399.20400000000006</v>
      </c>
      <c r="P149" s="13">
        <f t="shared" si="141"/>
        <v>91.615269732888521</v>
      </c>
      <c r="Q149" s="20">
        <f t="shared" si="108"/>
        <v>854.8435614514475</v>
      </c>
      <c r="R149" s="59">
        <f t="shared" si="109"/>
        <v>1148.1768947847809</v>
      </c>
      <c r="S149" s="59">
        <f ca="1">AVERAGE(OFFSET($R$3,0,0,'Données projet'!$E$9+1,1))-AVERAGE(OFFSET($H$3,0,0,'Données projet'!$E$9+1,1))</f>
        <v>488.67934252295686</v>
      </c>
      <c r="T149" s="59">
        <f t="shared" si="142"/>
        <v>424.50324471331095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37.504489618146877</v>
      </c>
      <c r="AA149" s="21">
        <f>EXP(-LN(2)/25)*AA148+(1-EXP(-LN(2)/25))/(LN(2)/25)*Calculateur!V149*Calculateur!X149*VLOOKUP('Données projet'!$B$9,Paramètres!$A$1:$I$89,3,0)*0.475*44/12</f>
        <v>1.9647375179432029</v>
      </c>
      <c r="AB149" s="21">
        <f>EXP(-LN(2)/2)*AB148+(1-EXP(-LN(2)/2))/(LN(2)/2)*V149*Y149*VLOOKUP('Données projet'!$B$9,Paramètres!$A$1:$I$89,3,0)*0.475*44/12</f>
        <v>2.8150605812200231E-18</v>
      </c>
      <c r="AC149" s="22">
        <f t="shared" si="111"/>
        <v>39.469227136090083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689</v>
      </c>
      <c r="AJ149" s="13">
        <f>AI149*VLOOKUP('Données projet'!$B$10,Paramètres!$A$1:$I$89,3,0)*VLOOKUP('Données projet'!$B$10,Paramètres!$A$1:$I$89,5,0)</f>
        <v>412.02199999999999</v>
      </c>
      <c r="AK149" s="13">
        <f t="shared" si="143"/>
        <v>94.209724877926391</v>
      </c>
      <c r="AL149" s="20">
        <f t="shared" si="112"/>
        <v>881.686920829055</v>
      </c>
      <c r="AM149" s="59">
        <f t="shared" si="113"/>
        <v>1175.0202541623883</v>
      </c>
      <c r="AN149" s="59">
        <f ca="1">AVERAGE(OFFSET($AM$3,0,0,'Données projet'!$E$10+1,1))-AVERAGE(OFFSET($H$3,0,0,'Données projet'!$E$10+1,1))</f>
        <v>504.81063008331739</v>
      </c>
      <c r="AO149" s="59">
        <f t="shared" si="144"/>
        <v>441.82647565372287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26.484955463567481</v>
      </c>
      <c r="AV149" s="21">
        <f>EXP(-LN(2)/25)*AV148+(1-EXP(-LN(2)/25))/(LN(2)/25)*Calculateur!AQ149*Calculateur!AS149*VLOOKUP('Données projet'!$B$10,Paramètres!$A$1:$I$89,3,0)*0.475*44/12</f>
        <v>2.3614730079285779</v>
      </c>
      <c r="AW149" s="21">
        <f>EXP(-LN(2)/2)*AW148+(1-EXP(-LN(2)/2))/(LN(2)/2)*AQ149*AT149*VLOOKUP('Données projet'!$B$10,Paramètres!$A$1:$I$89,3,0)*0.475*44/12</f>
        <v>1.8167703892034665E-19</v>
      </c>
      <c r="AX149" s="21">
        <f t="shared" si="114"/>
        <v>28.846428471496058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266.99999999999983</v>
      </c>
      <c r="BE149" s="13">
        <f>BD149*VLOOKUP('Données projet'!$B$11,Paramètres!$A$1:$I$89,3,0)*VLOOKUP('Données projet'!$B$11,Paramètres!$A$1:$I$89,5,0)</f>
        <v>233.2511999999999</v>
      </c>
      <c r="BF149" s="13">
        <f t="shared" si="145"/>
        <v>56.985091661350864</v>
      </c>
      <c r="BG149" s="20">
        <f t="shared" si="115"/>
        <v>505.49487464351915</v>
      </c>
      <c r="BH149" s="59">
        <f t="shared" si="116"/>
        <v>798.82820797685247</v>
      </c>
      <c r="BI149" s="59">
        <f ca="1">AVERAGE(OFFSET($BH$3,0,0,'Données projet'!$E$11+1,1))-AVERAGE(OFFSET($H$3,0,0,'Données projet'!$E$11+1,1))</f>
        <v>324.86930206492627</v>
      </c>
      <c r="BJ149" s="59">
        <f t="shared" si="146"/>
        <v>317.03005098025352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12.891951894561894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12.891951894561894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306.99999999999994</v>
      </c>
      <c r="BZ149" s="13">
        <f>BY149*VLOOKUP('Données projet'!$B$12,Paramètres!$A$1:$I$89,3,0)*VLOOKUP('Données projet'!$B$12,Paramètres!$A$1:$I$89,5,0)</f>
        <v>311.298</v>
      </c>
      <c r="CA149" s="13">
        <f t="shared" si="147"/>
        <v>73.539838278528748</v>
      </c>
      <c r="CB149" s="20">
        <f t="shared" si="118"/>
        <v>670.25923500177089</v>
      </c>
      <c r="CC149" s="59">
        <f t="shared" si="119"/>
        <v>963.59256833510426</v>
      </c>
      <c r="CD149" s="59">
        <f ca="1">AVERAGE(OFFSET($CC$3,0,0,'Données projet'!$E$12+1,1))-AVERAGE(OFFSET($H$3,0,0,'Données projet'!$E$12+1,1))</f>
        <v>487.18832528146936</v>
      </c>
      <c r="CE149" s="59">
        <f t="shared" si="148"/>
        <v>306.61893266146666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60.712930510693326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60.712930510693326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10.201000000000011</v>
      </c>
      <c r="CT149" s="12">
        <f>IF('Données projet'!$A$140&gt;35,CT148+CS149-DB148,IF(A149&lt;'Données projet'!$A$140,$CQ$205^A149,IF(A149='Données projet'!$A$140,'Données projet'!$B$140,CT148+CS149-DB148)))</f>
        <v>632.32599999999979</v>
      </c>
      <c r="CU149" s="17">
        <f>CT149*VLOOKUP('Données projet'!$B$13,Paramètres!$A$1:$I$89,3,0)*VLOOKUP('Données projet'!$B$13,Paramètres!$A$1:$I$89,5,0)</f>
        <v>601.72142159999987</v>
      </c>
      <c r="CV149" s="13">
        <f t="shared" si="149"/>
        <v>131.65152819402167</v>
      </c>
      <c r="CW149" s="20">
        <f t="shared" si="121"/>
        <v>1277.2912208912542</v>
      </c>
      <c r="CX149" s="59">
        <f t="shared" si="122"/>
        <v>1570.6245542245874</v>
      </c>
      <c r="CY149" s="59">
        <f ca="1">AVERAGE(OFFSET($CX$3,0,0,'Données projet'!$E$13+1,1))-AVERAGE(OFFSET($H$3,0,0,'Données projet'!$E$13+1,1))</f>
        <v>733.95677909788878</v>
      </c>
      <c r="CZ149" s="59">
        <f t="shared" si="150"/>
        <v>264.63778997972378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141.69031321435685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141.69031321435685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853.00000000000011</v>
      </c>
      <c r="O150" s="13">
        <f>N150*VLOOKUP('Données projet'!$B$9,Paramètres!$A$1:$I$89,3,0)*VLOOKUP('Données projet'!$B$9,Paramètres!$A$1:$I$89,5,0)</f>
        <v>399.20400000000006</v>
      </c>
      <c r="P150" s="13">
        <f t="shared" si="141"/>
        <v>91.615269732888521</v>
      </c>
      <c r="Q150" s="20">
        <f t="shared" si="108"/>
        <v>854.8435614514475</v>
      </c>
      <c r="R150" s="59">
        <f t="shared" si="109"/>
        <v>1148.1768947847809</v>
      </c>
      <c r="S150" s="59">
        <f ca="1">AVERAGE(OFFSET($R$3,0,0,'Données projet'!$E$9+1,1))-AVERAGE(OFFSET($H$3,0,0,'Données projet'!$E$9+1,1))</f>
        <v>488.67934252295686</v>
      </c>
      <c r="T150" s="59">
        <f t="shared" si="142"/>
        <v>424.50324471331095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36.769049452214915</v>
      </c>
      <c r="AA150" s="21">
        <f>EXP(-LN(2)/25)*AA149+(1-EXP(-LN(2)/25))/(LN(2)/25)*Calculateur!V150*Calculateur!X150*VLOOKUP('Données projet'!$B$9,Paramètres!$A$1:$I$89,3,0)*0.475*44/12</f>
        <v>1.9110116671939905</v>
      </c>
      <c r="AB150" s="21">
        <f>EXP(-LN(2)/2)*AB149+(1-EXP(-LN(2)/2))/(LN(2)/2)*V150*Y150*VLOOKUP('Données projet'!$B$9,Paramètres!$A$1:$I$89,3,0)*0.475*44/12</f>
        <v>1.9905484264316221E-18</v>
      </c>
      <c r="AC150" s="22">
        <f t="shared" si="111"/>
        <v>38.680061119408904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689</v>
      </c>
      <c r="AJ150" s="13">
        <f>AI150*VLOOKUP('Données projet'!$B$10,Paramètres!$A$1:$I$89,3,0)*VLOOKUP('Données projet'!$B$10,Paramètres!$A$1:$I$89,5,0)</f>
        <v>412.02199999999999</v>
      </c>
      <c r="AK150" s="13">
        <f t="shared" si="143"/>
        <v>94.209724877926391</v>
      </c>
      <c r="AL150" s="20">
        <f t="shared" si="112"/>
        <v>881.686920829055</v>
      </c>
      <c r="AM150" s="59">
        <f t="shared" si="113"/>
        <v>1175.0202541623883</v>
      </c>
      <c r="AN150" s="59">
        <f ca="1">AVERAGE(OFFSET($AM$3,0,0,'Données projet'!$E$10+1,1))-AVERAGE(OFFSET($H$3,0,0,'Données projet'!$E$10+1,1))</f>
        <v>504.81063008331739</v>
      </c>
      <c r="AO150" s="59">
        <f t="shared" si="144"/>
        <v>441.82647565372287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25.965601641154656</v>
      </c>
      <c r="AV150" s="21">
        <f>EXP(-LN(2)/25)*AV149+(1-EXP(-LN(2)/25))/(LN(2)/25)*Calculateur!AQ150*Calculateur!AS150*VLOOKUP('Données projet'!$B$10,Paramètres!$A$1:$I$89,3,0)*0.475*44/12</f>
        <v>2.2968984043423029</v>
      </c>
      <c r="AW150" s="21">
        <f>EXP(-LN(2)/2)*AW149+(1-EXP(-LN(2)/2))/(LN(2)/2)*AQ150*AT150*VLOOKUP('Données projet'!$B$10,Paramètres!$A$1:$I$89,3,0)*0.475*44/12</f>
        <v>1.2846506620646943E-19</v>
      </c>
      <c r="AX150" s="21">
        <f t="shared" si="114"/>
        <v>28.26250004549696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266.99999999999983</v>
      </c>
      <c r="BE150" s="13">
        <f>BD150*VLOOKUP('Données projet'!$B$11,Paramètres!$A$1:$I$89,3,0)*VLOOKUP('Données projet'!$B$11,Paramètres!$A$1:$I$89,5,0)</f>
        <v>233.2511999999999</v>
      </c>
      <c r="BF150" s="13">
        <f t="shared" si="145"/>
        <v>56.985091661350864</v>
      </c>
      <c r="BG150" s="20">
        <f t="shared" si="115"/>
        <v>505.49487464351915</v>
      </c>
      <c r="BH150" s="59">
        <f t="shared" si="116"/>
        <v>798.82820797685247</v>
      </c>
      <c r="BI150" s="59">
        <f ca="1">AVERAGE(OFFSET($BH$3,0,0,'Données projet'!$E$11+1,1))-AVERAGE(OFFSET($H$3,0,0,'Données projet'!$E$11+1,1))</f>
        <v>324.86930206492627</v>
      </c>
      <c r="BJ150" s="59">
        <f t="shared" si="146"/>
        <v>317.03005098025352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12.639148581223752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12.639148581223752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306.99999999999994</v>
      </c>
      <c r="BZ150" s="13">
        <f>BY150*VLOOKUP('Données projet'!$B$12,Paramètres!$A$1:$I$89,3,0)*VLOOKUP('Données projet'!$B$12,Paramètres!$A$1:$I$89,5,0)</f>
        <v>311.298</v>
      </c>
      <c r="CA150" s="13">
        <f t="shared" si="147"/>
        <v>73.539838278528748</v>
      </c>
      <c r="CB150" s="20">
        <f t="shared" si="118"/>
        <v>670.25923500177089</v>
      </c>
      <c r="CC150" s="59">
        <f t="shared" si="119"/>
        <v>963.59256833510426</v>
      </c>
      <c r="CD150" s="59">
        <f ca="1">AVERAGE(OFFSET($CC$3,0,0,'Données projet'!$E$12+1,1))-AVERAGE(OFFSET($H$3,0,0,'Données projet'!$E$12+1,1))</f>
        <v>487.18832528146936</v>
      </c>
      <c r="CE150" s="59">
        <f t="shared" si="148"/>
        <v>306.61893266146666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59.522386974609709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59.522386974609709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10.201000000000011</v>
      </c>
      <c r="CT150" s="12">
        <f>IF('Données projet'!$A$140&gt;35,CT149+CS150-DB149,IF(A150&lt;'Données projet'!$A$140,$CQ$205^A150,IF(A150='Données projet'!$A$140,'Données projet'!$B$140,CT149+CS150-DB149)))</f>
        <v>642.52699999999982</v>
      </c>
      <c r="CU150" s="17">
        <f>CT150*VLOOKUP('Données projet'!$B$13,Paramètres!$A$1:$I$89,3,0)*VLOOKUP('Données projet'!$B$13,Paramètres!$A$1:$I$89,5,0)</f>
        <v>611.42869319999977</v>
      </c>
      <c r="CV150" s="13">
        <f t="shared" si="149"/>
        <v>133.52642683324413</v>
      </c>
      <c r="CW150" s="20">
        <f t="shared" si="121"/>
        <v>1297.4635007245665</v>
      </c>
      <c r="CX150" s="59">
        <f t="shared" si="122"/>
        <v>1590.7968340578998</v>
      </c>
      <c r="CY150" s="59">
        <f ca="1">AVERAGE(OFFSET($CX$3,0,0,'Données projet'!$E$13+1,1))-AVERAGE(OFFSET($H$3,0,0,'Données projet'!$E$13+1,1))</f>
        <v>733.95677909788878</v>
      </c>
      <c r="CZ150" s="59">
        <f t="shared" si="150"/>
        <v>264.63778997972378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138.91185259478084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138.91185259478084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853.00000000000011</v>
      </c>
      <c r="O151" s="13">
        <f>N151*VLOOKUP('Données projet'!$B$9,Paramètres!$A$1:$I$89,3,0)*VLOOKUP('Données projet'!$B$9,Paramètres!$A$1:$I$89,5,0)</f>
        <v>399.20400000000006</v>
      </c>
      <c r="P151" s="13">
        <f t="shared" si="141"/>
        <v>91.615269732888521</v>
      </c>
      <c r="Q151" s="20">
        <f t="shared" si="108"/>
        <v>854.8435614514475</v>
      </c>
      <c r="R151" s="59">
        <f t="shared" si="109"/>
        <v>1148.1768947847809</v>
      </c>
      <c r="S151" s="59">
        <f ca="1">AVERAGE(OFFSET($R$3,0,0,'Données projet'!$E$9+1,1))-AVERAGE(OFFSET($H$3,0,0,'Données projet'!$E$9+1,1))</f>
        <v>488.67934252295686</v>
      </c>
      <c r="T151" s="59">
        <f t="shared" si="142"/>
        <v>424.50324471331095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36.048030819362673</v>
      </c>
      <c r="AA151" s="21">
        <f>EXP(-LN(2)/25)*AA150+(1-EXP(-LN(2)/25))/(LN(2)/25)*Calculateur!V151*Calculateur!X151*VLOOKUP('Données projet'!$B$9,Paramètres!$A$1:$I$89,3,0)*0.475*44/12</f>
        <v>1.8587549526588349</v>
      </c>
      <c r="AB151" s="21">
        <f>EXP(-LN(2)/2)*AB150+(1-EXP(-LN(2)/2))/(LN(2)/2)*V151*Y151*VLOOKUP('Données projet'!$B$9,Paramètres!$A$1:$I$89,3,0)*0.475*44/12</f>
        <v>1.4075302906100116E-18</v>
      </c>
      <c r="AC151" s="22">
        <f t="shared" si="111"/>
        <v>37.906785772021507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689</v>
      </c>
      <c r="AJ151" s="13">
        <f>AI151*VLOOKUP('Données projet'!$B$10,Paramètres!$A$1:$I$89,3,0)*VLOOKUP('Données projet'!$B$10,Paramètres!$A$1:$I$89,5,0)</f>
        <v>412.02199999999999</v>
      </c>
      <c r="AK151" s="13">
        <f t="shared" si="143"/>
        <v>94.209724877926391</v>
      </c>
      <c r="AL151" s="20">
        <f t="shared" si="112"/>
        <v>881.686920829055</v>
      </c>
      <c r="AM151" s="59">
        <f t="shared" si="113"/>
        <v>1175.0202541623883</v>
      </c>
      <c r="AN151" s="59">
        <f ca="1">AVERAGE(OFFSET($AM$3,0,0,'Données projet'!$E$10+1,1))-AVERAGE(OFFSET($H$3,0,0,'Données projet'!$E$10+1,1))</f>
        <v>504.81063008331739</v>
      </c>
      <c r="AO151" s="59">
        <f t="shared" si="144"/>
        <v>441.82647565372287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25.456432030424796</v>
      </c>
      <c r="AV151" s="21">
        <f>EXP(-LN(2)/25)*AV150+(1-EXP(-LN(2)/25))/(LN(2)/25)*Calculateur!AQ151*Calculateur!AS151*VLOOKUP('Données projet'!$B$10,Paramètres!$A$1:$I$89,3,0)*0.475*44/12</f>
        <v>2.2340895966869252</v>
      </c>
      <c r="AW151" s="21">
        <f>EXP(-LN(2)/2)*AW150+(1-EXP(-LN(2)/2))/(LN(2)/2)*AQ151*AT151*VLOOKUP('Données projet'!$B$10,Paramètres!$A$1:$I$89,3,0)*0.475*44/12</f>
        <v>9.0838519460173323E-20</v>
      </c>
      <c r="AX151" s="21">
        <f t="shared" si="114"/>
        <v>27.690521627111721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266.99999999999983</v>
      </c>
      <c r="BE151" s="13">
        <f>BD151*VLOOKUP('Données projet'!$B$11,Paramètres!$A$1:$I$89,3,0)*VLOOKUP('Données projet'!$B$11,Paramètres!$A$1:$I$89,5,0)</f>
        <v>233.2511999999999</v>
      </c>
      <c r="BF151" s="13">
        <f t="shared" si="145"/>
        <v>56.985091661350864</v>
      </c>
      <c r="BG151" s="20">
        <f t="shared" si="115"/>
        <v>505.49487464351915</v>
      </c>
      <c r="BH151" s="59">
        <f t="shared" si="116"/>
        <v>798.82820797685247</v>
      </c>
      <c r="BI151" s="59">
        <f ca="1">AVERAGE(OFFSET($BH$3,0,0,'Données projet'!$E$11+1,1))-AVERAGE(OFFSET($H$3,0,0,'Données projet'!$E$11+1,1))</f>
        <v>324.86930206492627</v>
      </c>
      <c r="BJ151" s="59">
        <f t="shared" si="146"/>
        <v>317.03005098025352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12.391302586665377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12.391302586665377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306.99999999999994</v>
      </c>
      <c r="BZ151" s="13">
        <f>BY151*VLOOKUP('Données projet'!$B$12,Paramètres!$A$1:$I$89,3,0)*VLOOKUP('Données projet'!$B$12,Paramètres!$A$1:$I$89,5,0)</f>
        <v>311.298</v>
      </c>
      <c r="CA151" s="13">
        <f t="shared" si="147"/>
        <v>73.539838278528748</v>
      </c>
      <c r="CB151" s="20">
        <f t="shared" si="118"/>
        <v>670.25923500177089</v>
      </c>
      <c r="CC151" s="59">
        <f t="shared" si="119"/>
        <v>963.59256833510426</v>
      </c>
      <c r="CD151" s="59">
        <f ca="1">AVERAGE(OFFSET($CC$3,0,0,'Données projet'!$E$12+1,1))-AVERAGE(OFFSET($H$3,0,0,'Données projet'!$E$12+1,1))</f>
        <v>487.18832528146936</v>
      </c>
      <c r="CE151" s="59">
        <f t="shared" si="148"/>
        <v>306.61893266146666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58.355189271108841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58.355189271108841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10.201000000000011</v>
      </c>
      <c r="CT151" s="12">
        <f>IF('Données projet'!$A$140&gt;35,CT150+CS151-DB150,IF(A151&lt;'Données projet'!$A$140,$CQ$205^A151,IF(A151='Données projet'!$A$140,'Données projet'!$B$140,CT150+CS151-DB150)))</f>
        <v>652.72799999999984</v>
      </c>
      <c r="CU151" s="17">
        <f>CT151*VLOOKUP('Données projet'!$B$13,Paramètres!$A$1:$I$89,3,0)*VLOOKUP('Données projet'!$B$13,Paramètres!$A$1:$I$89,5,0)</f>
        <v>621.1359647999999</v>
      </c>
      <c r="CV151" s="13">
        <f t="shared" si="149"/>
        <v>135.39786368659296</v>
      </c>
      <c r="CW151" s="20">
        <f t="shared" si="121"/>
        <v>1317.6297512808158</v>
      </c>
      <c r="CX151" s="59">
        <f t="shared" si="122"/>
        <v>1610.963084614149</v>
      </c>
      <c r="CY151" s="59">
        <f ca="1">AVERAGE(OFFSET($CX$3,0,0,'Données projet'!$E$13+1,1))-AVERAGE(OFFSET($H$3,0,0,'Données projet'!$E$13+1,1))</f>
        <v>733.95677909788878</v>
      </c>
      <c r="CZ151" s="59">
        <f t="shared" si="150"/>
        <v>264.63778997972378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136.18787589326109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136.18787589326109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853.00000000000011</v>
      </c>
      <c r="O152" s="13">
        <f>N152*VLOOKUP('Données projet'!$B$9,Paramètres!$A$1:$I$89,3,0)*VLOOKUP('Données projet'!$B$9,Paramètres!$A$1:$I$89,5,0)</f>
        <v>399.20400000000006</v>
      </c>
      <c r="P152" s="13">
        <f t="shared" si="141"/>
        <v>91.615269732888521</v>
      </c>
      <c r="Q152" s="20">
        <f t="shared" si="108"/>
        <v>854.8435614514475</v>
      </c>
      <c r="R152" s="59">
        <f t="shared" si="109"/>
        <v>1148.1768947847809</v>
      </c>
      <c r="S152" s="59">
        <f ca="1">AVERAGE(OFFSET($R$3,0,0,'Données projet'!$E$9+1,1))-AVERAGE(OFFSET($H$3,0,0,'Données projet'!$E$9+1,1))</f>
        <v>488.67934252295686</v>
      </c>
      <c r="T152" s="59">
        <f t="shared" si="142"/>
        <v>424.50324471331095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35.341150922122722</v>
      </c>
      <c r="AA152" s="21">
        <f>EXP(-LN(2)/25)*AA151+(1-EXP(-LN(2)/25))/(LN(2)/25)*Calculateur!V152*Calculateur!X152*VLOOKUP('Données projet'!$B$9,Paramètres!$A$1:$I$89,3,0)*0.475*44/12</f>
        <v>1.8079272007307043</v>
      </c>
      <c r="AB152" s="21">
        <f>EXP(-LN(2)/2)*AB151+(1-EXP(-LN(2)/2))/(LN(2)/2)*V152*Y152*VLOOKUP('Données projet'!$B$9,Paramètres!$A$1:$I$89,3,0)*0.475*44/12</f>
        <v>9.9527421321581106E-19</v>
      </c>
      <c r="AC152" s="22">
        <f t="shared" si="111"/>
        <v>37.149078122853425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689</v>
      </c>
      <c r="AJ152" s="13">
        <f>AI152*VLOOKUP('Données projet'!$B$10,Paramètres!$A$1:$I$89,3,0)*VLOOKUP('Données projet'!$B$10,Paramètres!$A$1:$I$89,5,0)</f>
        <v>412.02199999999999</v>
      </c>
      <c r="AK152" s="13">
        <f t="shared" si="143"/>
        <v>94.209724877926391</v>
      </c>
      <c r="AL152" s="20">
        <f t="shared" si="112"/>
        <v>881.686920829055</v>
      </c>
      <c r="AM152" s="59">
        <f t="shared" si="113"/>
        <v>1175.0202541623883</v>
      </c>
      <c r="AN152" s="59">
        <f ca="1">AVERAGE(OFFSET($AM$3,0,0,'Données projet'!$E$10+1,1))-AVERAGE(OFFSET($H$3,0,0,'Données projet'!$E$10+1,1))</f>
        <v>504.81063008331739</v>
      </c>
      <c r="AO152" s="59">
        <f t="shared" si="144"/>
        <v>441.82647565372287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24.95724692519855</v>
      </c>
      <c r="AV152" s="21">
        <f>EXP(-LN(2)/25)*AV151+(1-EXP(-LN(2)/25))/(LN(2)/25)*Calculateur!AQ152*Calculateur!AS152*VLOOKUP('Données projet'!$B$10,Paramètres!$A$1:$I$89,3,0)*0.475*44/12</f>
        <v>2.1729982991798553</v>
      </c>
      <c r="AW152" s="21">
        <f>EXP(-LN(2)/2)*AW151+(1-EXP(-LN(2)/2))/(LN(2)/2)*AQ152*AT152*VLOOKUP('Données projet'!$B$10,Paramètres!$A$1:$I$89,3,0)*0.475*44/12</f>
        <v>6.4232533103234716E-20</v>
      </c>
      <c r="AX152" s="21">
        <f t="shared" si="114"/>
        <v>27.130245224378406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266.99999999999983</v>
      </c>
      <c r="BE152" s="13">
        <f>BD152*VLOOKUP('Données projet'!$B$11,Paramètres!$A$1:$I$89,3,0)*VLOOKUP('Données projet'!$B$11,Paramètres!$A$1:$I$89,5,0)</f>
        <v>233.2511999999999</v>
      </c>
      <c r="BF152" s="13">
        <f t="shared" si="145"/>
        <v>56.985091661350864</v>
      </c>
      <c r="BG152" s="20">
        <f t="shared" si="115"/>
        <v>505.49487464351915</v>
      </c>
      <c r="BH152" s="59">
        <f t="shared" si="116"/>
        <v>798.82820797685247</v>
      </c>
      <c r="BI152" s="59">
        <f ca="1">AVERAGE(OFFSET($BH$3,0,0,'Données projet'!$E$11+1,1))-AVERAGE(OFFSET($H$3,0,0,'Données projet'!$E$11+1,1))</f>
        <v>324.86930206492627</v>
      </c>
      <c r="BJ152" s="59">
        <f t="shared" si="146"/>
        <v>317.03005098025352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12.148316700889161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12.148316700889161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306.99999999999994</v>
      </c>
      <c r="BZ152" s="13">
        <f>BY152*VLOOKUP('Données projet'!$B$12,Paramètres!$A$1:$I$89,3,0)*VLOOKUP('Données projet'!$B$12,Paramètres!$A$1:$I$89,5,0)</f>
        <v>311.298</v>
      </c>
      <c r="CA152" s="13">
        <f t="shared" si="147"/>
        <v>73.539838278528748</v>
      </c>
      <c r="CB152" s="20">
        <f t="shared" si="118"/>
        <v>670.25923500177089</v>
      </c>
      <c r="CC152" s="59">
        <f t="shared" si="119"/>
        <v>963.59256833510426</v>
      </c>
      <c r="CD152" s="59">
        <f ca="1">AVERAGE(OFFSET($CC$3,0,0,'Données projet'!$E$12+1,1))-AVERAGE(OFFSET($H$3,0,0,'Données projet'!$E$12+1,1))</f>
        <v>487.18832528146936</v>
      </c>
      <c r="CE152" s="59">
        <f t="shared" si="148"/>
        <v>306.61893266146666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57.210879602653321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57.210879602653321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10.201000000000011</v>
      </c>
      <c r="CT152" s="12">
        <f>IF('Données projet'!$A$140&gt;35,CT151+CS152-DB151,IF(A152&lt;'Données projet'!$A$140,$CQ$205^A152,IF(A152='Données projet'!$A$140,'Données projet'!$B$140,CT151+CS152-DB151)))</f>
        <v>662.92899999999986</v>
      </c>
      <c r="CU152" s="17">
        <f>CT152*VLOOKUP('Données projet'!$B$13,Paramètres!$A$1:$I$89,3,0)*VLOOKUP('Données projet'!$B$13,Paramètres!$A$1:$I$89,5,0)</f>
        <v>630.84323639999991</v>
      </c>
      <c r="CV152" s="13">
        <f t="shared" si="149"/>
        <v>137.26589910322167</v>
      </c>
      <c r="CW152" s="20">
        <f t="shared" si="121"/>
        <v>1337.7900776681106</v>
      </c>
      <c r="CX152" s="59">
        <f t="shared" si="122"/>
        <v>1631.1234110014439</v>
      </c>
      <c r="CY152" s="59">
        <f ca="1">AVERAGE(OFFSET($CX$3,0,0,'Données projet'!$E$13+1,1))-AVERAGE(OFFSET($H$3,0,0,'Données projet'!$E$13+1,1))</f>
        <v>733.95677909788878</v>
      </c>
      <c r="CZ152" s="59">
        <f t="shared" si="150"/>
        <v>264.63778997972378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133.51731471339642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133.51731471339642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853.00000000000011</v>
      </c>
      <c r="O153" s="13">
        <f>N153*VLOOKUP('Données projet'!$B$9,Paramètres!$A$1:$I$89,3,0)*VLOOKUP('Données projet'!$B$9,Paramètres!$A$1:$I$89,5,0)</f>
        <v>399.20400000000006</v>
      </c>
      <c r="P153" s="13">
        <f t="shared" si="141"/>
        <v>91.615269732888521</v>
      </c>
      <c r="Q153" s="20">
        <f t="shared" si="108"/>
        <v>854.8435614514475</v>
      </c>
      <c r="R153" s="59">
        <f t="shared" si="109"/>
        <v>1148.1768947847809</v>
      </c>
      <c r="S153" s="59">
        <f ca="1">AVERAGE(OFFSET($R$3,0,0,'Données projet'!$E$9+1,1))-AVERAGE(OFFSET($H$3,0,0,'Données projet'!$E$9+1,1))</f>
        <v>488.67934252295686</v>
      </c>
      <c r="T153" s="59">
        <f t="shared" si="142"/>
        <v>424.50324471331095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34.648132508513484</v>
      </c>
      <c r="AA153" s="21">
        <f>EXP(-LN(2)/25)*AA152+(1-EXP(-LN(2)/25))/(LN(2)/25)*Calculateur!V153*Calculateur!X153*VLOOKUP('Données projet'!$B$9,Paramètres!$A$1:$I$89,3,0)*0.475*44/12</f>
        <v>1.7584893363519638</v>
      </c>
      <c r="AB153" s="21">
        <f>EXP(-LN(2)/2)*AB152+(1-EXP(-LN(2)/2))/(LN(2)/2)*V153*Y153*VLOOKUP('Données projet'!$B$9,Paramètres!$A$1:$I$89,3,0)*0.475*44/12</f>
        <v>7.0376514530500578E-19</v>
      </c>
      <c r="AC153" s="22">
        <f t="shared" si="111"/>
        <v>36.406621844865448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689</v>
      </c>
      <c r="AJ153" s="13">
        <f>AI153*VLOOKUP('Données projet'!$B$10,Paramètres!$A$1:$I$89,3,0)*VLOOKUP('Données projet'!$B$10,Paramètres!$A$1:$I$89,5,0)</f>
        <v>412.02199999999999</v>
      </c>
      <c r="AK153" s="13">
        <f t="shared" si="143"/>
        <v>94.209724877926391</v>
      </c>
      <c r="AL153" s="20">
        <f t="shared" si="112"/>
        <v>881.686920829055</v>
      </c>
      <c r="AM153" s="59">
        <f t="shared" si="113"/>
        <v>1175.0202541623883</v>
      </c>
      <c r="AN153" s="59">
        <f ca="1">AVERAGE(OFFSET($AM$3,0,0,'Données projet'!$E$10+1,1))-AVERAGE(OFFSET($H$3,0,0,'Données projet'!$E$10+1,1))</f>
        <v>504.81063008331739</v>
      </c>
      <c r="AO153" s="59">
        <f t="shared" si="144"/>
        <v>441.82647565372287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24.467850535412943</v>
      </c>
      <c r="AV153" s="21">
        <f>EXP(-LN(2)/25)*AV152+(1-EXP(-LN(2)/25))/(LN(2)/25)*Calculateur!AQ153*Calculateur!AS153*VLOOKUP('Données projet'!$B$10,Paramètres!$A$1:$I$89,3,0)*0.475*44/12</f>
        <v>2.113577546415768</v>
      </c>
      <c r="AW153" s="21">
        <f>EXP(-LN(2)/2)*AW152+(1-EXP(-LN(2)/2))/(LN(2)/2)*AQ153*AT153*VLOOKUP('Données projet'!$B$10,Paramètres!$A$1:$I$89,3,0)*0.475*44/12</f>
        <v>4.5419259730086661E-20</v>
      </c>
      <c r="AX153" s="21">
        <f t="shared" si="114"/>
        <v>26.581428081828712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266.99999999999983</v>
      </c>
      <c r="BE153" s="13">
        <f>BD153*VLOOKUP('Données projet'!$B$11,Paramètres!$A$1:$I$89,3,0)*VLOOKUP('Données projet'!$B$11,Paramètres!$A$1:$I$89,5,0)</f>
        <v>233.2511999999999</v>
      </c>
      <c r="BF153" s="13">
        <f t="shared" si="145"/>
        <v>56.985091661350864</v>
      </c>
      <c r="BG153" s="20">
        <f t="shared" si="115"/>
        <v>505.49487464351915</v>
      </c>
      <c r="BH153" s="59">
        <f t="shared" si="116"/>
        <v>798.82820797685247</v>
      </c>
      <c r="BI153" s="59">
        <f ca="1">AVERAGE(OFFSET($BH$3,0,0,'Données projet'!$E$11+1,1))-AVERAGE(OFFSET($H$3,0,0,'Données projet'!$E$11+1,1))</f>
        <v>324.86930206492627</v>
      </c>
      <c r="BJ153" s="59">
        <f t="shared" si="146"/>
        <v>317.03005098025352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11.910095620126262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11.910095620126262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306.99999999999994</v>
      </c>
      <c r="BZ153" s="13">
        <f>BY153*VLOOKUP('Données projet'!$B$12,Paramètres!$A$1:$I$89,3,0)*VLOOKUP('Données projet'!$B$12,Paramètres!$A$1:$I$89,5,0)</f>
        <v>311.298</v>
      </c>
      <c r="CA153" s="13">
        <f t="shared" si="147"/>
        <v>73.539838278528748</v>
      </c>
      <c r="CB153" s="20">
        <f t="shared" si="118"/>
        <v>670.25923500177089</v>
      </c>
      <c r="CC153" s="59">
        <f t="shared" si="119"/>
        <v>963.59256833510426</v>
      </c>
      <c r="CD153" s="59">
        <f ca="1">AVERAGE(OFFSET($CC$3,0,0,'Données projet'!$E$12+1,1))-AVERAGE(OFFSET($H$3,0,0,'Données projet'!$E$12+1,1))</f>
        <v>487.18832528146936</v>
      </c>
      <c r="CE153" s="59">
        <f t="shared" si="148"/>
        <v>306.61893266146666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56.089009148836233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56.089009148836233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>
        <f>VLOOKUP(A153,'Données projet'!$A$139:$I$159,2,0)</f>
        <v>673.13</v>
      </c>
      <c r="CR153" s="12">
        <f>VLOOKUP(A153,'Données projet'!$A$139:$I$159,9,0)</f>
        <v>10.201000000000011</v>
      </c>
      <c r="CS153" s="12">
        <f t="array" ref="CS153">INDEX(CR:CR,MIN(IF(ISNUMBER(CR153:CR349),ROW(CR153:CR349),"")))</f>
        <v>10.201000000000011</v>
      </c>
      <c r="CT153" s="12">
        <f>IF('Données projet'!$A$140&gt;35,CT152+CS153-DB152,IF(A153&lt;'Données projet'!$A$140,$CQ$205^A153,IF(A153='Données projet'!$A$140,'Données projet'!$B$140,CT152+CS153-DB152)))</f>
        <v>673.12999999999988</v>
      </c>
      <c r="CU153" s="17">
        <f>CT153*VLOOKUP('Données projet'!$B$13,Paramètres!$A$1:$I$89,3,0)*VLOOKUP('Données projet'!$B$13,Paramètres!$A$1:$I$89,5,0)</f>
        <v>640.55050799999992</v>
      </c>
      <c r="CV153" s="13">
        <f t="shared" si="149"/>
        <v>139.13059146844043</v>
      </c>
      <c r="CW153" s="20">
        <f t="shared" si="121"/>
        <v>1357.9445815742004</v>
      </c>
      <c r="CX153" s="59">
        <f t="shared" si="122"/>
        <v>1651.2779149075336</v>
      </c>
      <c r="CY153" s="59">
        <f ca="1">AVERAGE(OFFSET($CX$3,0,0,'Données projet'!$E$13+1,1))-AVERAGE(OFFSET($H$3,0,0,'Données projet'!$E$13+1,1))</f>
        <v>733.95677909788878</v>
      </c>
      <c r="CZ153" s="59">
        <f t="shared" si="150"/>
        <v>264.63778997972378</v>
      </c>
      <c r="DA153" s="15">
        <f>IF(ISNA(VLOOKUP(A153,'Données projet'!$A$139:$I$159,3,0)),0,VLOOKUP(A153,'Données projet'!$A$139:$I$159,3,0))</f>
        <v>14</v>
      </c>
      <c r="DB153" s="15">
        <f>IF(ISNA(VLOOKUP(A153,'Données projet'!$A$139:$I$159,4,0)),0,VLOOKUP(A153,'Données projet'!$A$139:$I$159,4,0))</f>
        <v>234.51</v>
      </c>
      <c r="DC153" s="16">
        <f>IF(ISNA(VLOOKUP(A153,'Données projet'!$A$139:$I$159,5,0)),0%,VLOOKUP(A153,'Données projet'!$A$139:$I$159,5,0)*VLOOKUP('Données projet'!$B$13,Paramètres!$A$1:$I$89,7,0))</f>
        <v>0.43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236.97859766487113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236.97859766487113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853.00000000000011</v>
      </c>
      <c r="O154" s="13">
        <f>N154*VLOOKUP('Données projet'!$B$9,Paramètres!$A$1:$I$89,3,0)*VLOOKUP('Données projet'!$B$9,Paramètres!$A$1:$I$89,5,0)</f>
        <v>399.20400000000006</v>
      </c>
      <c r="P154" s="13">
        <f t="shared" si="141"/>
        <v>91.615269732888521</v>
      </c>
      <c r="Q154" s="20">
        <f t="shared" ref="Q154:Q203" si="162">(O154+P154)*0.475*44/12</f>
        <v>854.8435614514475</v>
      </c>
      <c r="R154" s="59">
        <f t="shared" si="109"/>
        <v>1148.1768947847809</v>
      </c>
      <c r="S154" s="59">
        <f ca="1">AVERAGE(OFFSET($R$3,0,0,'Données projet'!$E$9+1,1))-AVERAGE(OFFSET($H$3,0,0,'Données projet'!$E$9+1,1))</f>
        <v>488.67934252295686</v>
      </c>
      <c r="T154" s="59">
        <f t="shared" si="142"/>
        <v>424.50324471331095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33.968703763295629</v>
      </c>
      <c r="AA154" s="21">
        <f>EXP(-LN(2)/25)*AA153+(1-EXP(-LN(2)/25))/(LN(2)/25)*Calculateur!V154*Calculateur!X154*VLOOKUP('Données projet'!$B$9,Paramètres!$A$1:$I$89,3,0)*0.475*44/12</f>
        <v>1.7104033529744842</v>
      </c>
      <c r="AB154" s="21">
        <f>EXP(-LN(2)/2)*AB153+(1-EXP(-LN(2)/2))/(LN(2)/2)*V154*Y154*VLOOKUP('Données projet'!$B$9,Paramètres!$A$1:$I$89,3,0)*0.475*44/12</f>
        <v>4.9763710660790553E-19</v>
      </c>
      <c r="AC154" s="22">
        <f t="shared" ref="AC154:AC203" si="163">SUM(Z154:AB154)</f>
        <v>35.67910711627011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689</v>
      </c>
      <c r="AJ154" s="13">
        <f>AI154*VLOOKUP('Données projet'!$B$10,Paramètres!$A$1:$I$89,3,0)*VLOOKUP('Données projet'!$B$10,Paramètres!$A$1:$I$89,5,0)</f>
        <v>412.02199999999999</v>
      </c>
      <c r="AK154" s="13">
        <f t="shared" ref="AK154:AK203" si="164">EXP(-1.0587+0.8836*LN(AJ154)+0.284)</f>
        <v>94.209724877926391</v>
      </c>
      <c r="AL154" s="20">
        <f t="shared" ref="AL154:AL203" si="165">(AJ154+AK154)*0.475*44/12</f>
        <v>881.686920829055</v>
      </c>
      <c r="AM154" s="59">
        <f t="shared" si="113"/>
        <v>1175.0202541623883</v>
      </c>
      <c r="AN154" s="59">
        <f ca="1">AVERAGE(OFFSET($AM$3,0,0,'Données projet'!$E$10+1,1))-AVERAGE(OFFSET($H$3,0,0,'Données projet'!$E$10+1,1))</f>
        <v>504.81063008331739</v>
      </c>
      <c r="AO154" s="59">
        <f t="shared" si="144"/>
        <v>441.82647565372287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23.988050910328706</v>
      </c>
      <c r="AV154" s="21">
        <f>EXP(-LN(2)/25)*AV153+(1-EXP(-LN(2)/25))/(LN(2)/25)*Calculateur!AQ154*Calculateur!AS154*VLOOKUP('Données projet'!$B$10,Paramètres!$A$1:$I$89,3,0)*0.475*44/12</f>
        <v>2.0557816572608165</v>
      </c>
      <c r="AW154" s="21">
        <f>EXP(-LN(2)/2)*AW153+(1-EXP(-LN(2)/2))/(LN(2)/2)*AQ154*AT154*VLOOKUP('Données projet'!$B$10,Paramètres!$A$1:$I$89,3,0)*0.475*44/12</f>
        <v>3.2116266551617358E-20</v>
      </c>
      <c r="AX154" s="21">
        <f t="shared" ref="AX154:AX203" si="166">SUM(AU154:AW154)</f>
        <v>26.043832567589522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266.99999999999983</v>
      </c>
      <c r="BE154" s="13">
        <f>BD154*VLOOKUP('Données projet'!$B$11,Paramètres!$A$1:$I$89,3,0)*VLOOKUP('Données projet'!$B$11,Paramètres!$A$1:$I$89,5,0)</f>
        <v>233.2511999999999</v>
      </c>
      <c r="BF154" s="13">
        <f t="shared" ref="BF154:BF203" si="167">EXP(-1.0587+0.8836*LN(BE154)+0.284)</f>
        <v>56.985091661350864</v>
      </c>
      <c r="BG154" s="20">
        <f t="shared" ref="BG154:BG203" si="168">(BE154+BF154)*0.475*44/12</f>
        <v>505.49487464351915</v>
      </c>
      <c r="BH154" s="59">
        <f t="shared" si="116"/>
        <v>798.82820797685247</v>
      </c>
      <c r="BI154" s="59">
        <f ca="1">AVERAGE(OFFSET($BH$3,0,0,'Données projet'!$E$11+1,1))-AVERAGE(OFFSET($H$3,0,0,'Données projet'!$E$11+1,1))</f>
        <v>324.86930206492627</v>
      </c>
      <c r="BJ154" s="59">
        <f t="shared" si="146"/>
        <v>317.03005098025352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11.67654590945661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11.67654590945661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306.99999999999994</v>
      </c>
      <c r="BZ154" s="13">
        <f>BY154*VLOOKUP('Données projet'!$B$12,Paramètres!$A$1:$I$89,3,0)*VLOOKUP('Données projet'!$B$12,Paramètres!$A$1:$I$89,5,0)</f>
        <v>311.298</v>
      </c>
      <c r="CA154" s="13">
        <f t="shared" ref="CA154:CA203" si="170">EXP(-1.0587+0.8836*LN(BZ154)+0.284)</f>
        <v>73.539838278528748</v>
      </c>
      <c r="CB154" s="20">
        <f t="shared" ref="CB154:CB203" si="171">(BZ154+CA154)*0.475*44/12</f>
        <v>670.25923500177089</v>
      </c>
      <c r="CC154" s="59">
        <f t="shared" si="119"/>
        <v>963.59256833510426</v>
      </c>
      <c r="CD154" s="59">
        <f ca="1">AVERAGE(OFFSET($CC$3,0,0,'Données projet'!$E$12+1,1))-AVERAGE(OFFSET($H$3,0,0,'Données projet'!$E$12+1,1))</f>
        <v>487.18832528146936</v>
      </c>
      <c r="CE154" s="59">
        <f t="shared" si="148"/>
        <v>306.61893266146666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54.989137890345084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54.989137890345084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-1.216666666666659</v>
      </c>
      <c r="CT154" s="12">
        <f>IF('Données projet'!$A$140&gt;35,CT153+CS154-DB153,IF(A154&lt;'Données projet'!$A$140,$CQ$205^A154,IF(A154='Données projet'!$A$140,'Données projet'!$B$140,CT153+CS154-DB153)))</f>
        <v>437.40333333333319</v>
      </c>
      <c r="CU154" s="17">
        <f>CT154*VLOOKUP('Données projet'!$B$13,Paramètres!$A$1:$I$89,3,0)*VLOOKUP('Données projet'!$B$13,Paramètres!$A$1:$I$89,5,0)</f>
        <v>416.23301199999986</v>
      </c>
      <c r="CV154" s="13">
        <f t="shared" ref="CV154:CV203" si="173">EXP(-1.0587+0.8836*LN(CU154)+0.284)</f>
        <v>95.06000120463716</v>
      </c>
      <c r="CW154" s="20">
        <f t="shared" ref="CW154:CW203" si="174">(CU154+CV154)*0.475*44/12</f>
        <v>890.50199799807615</v>
      </c>
      <c r="CX154" s="59">
        <f t="shared" si="122"/>
        <v>1183.8353313314094</v>
      </c>
      <c r="CY154" s="59">
        <f ca="1">AVERAGE(OFFSET($CX$3,0,0,'Données projet'!$E$13+1,1))-AVERAGE(OFFSET($H$3,0,0,'Données projet'!$E$13+1,1))</f>
        <v>733.95677909788878</v>
      </c>
      <c r="CZ154" s="59">
        <f t="shared" si="150"/>
        <v>264.63778997972378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232.33159190733517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232.33159190733517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853.00000000000011</v>
      </c>
      <c r="O155" s="13">
        <f>N155*VLOOKUP('Données projet'!$B$9,Paramètres!$A$1:$I$89,3,0)*VLOOKUP('Données projet'!$B$9,Paramètres!$A$1:$I$89,5,0)</f>
        <v>399.20400000000006</v>
      </c>
      <c r="P155" s="13">
        <f t="shared" si="141"/>
        <v>91.615269732888521</v>
      </c>
      <c r="Q155" s="20">
        <f t="shared" si="162"/>
        <v>854.8435614514475</v>
      </c>
      <c r="R155" s="59">
        <f t="shared" si="109"/>
        <v>1148.1768947847809</v>
      </c>
      <c r="S155" s="59">
        <f ca="1">AVERAGE(OFFSET($R$3,0,0,'Données projet'!$E$9+1,1))-AVERAGE(OFFSET($H$3,0,0,'Données projet'!$E$9+1,1))</f>
        <v>488.67934252295686</v>
      </c>
      <c r="T155" s="59">
        <f t="shared" si="142"/>
        <v>424.50324471331095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33.30259820136088</v>
      </c>
      <c r="AA155" s="21">
        <f>EXP(-LN(2)/25)*AA154+(1-EXP(-LN(2)/25))/(LN(2)/25)*Calculateur!V155*Calculateur!X155*VLOOKUP('Données projet'!$B$9,Paramètres!$A$1:$I$89,3,0)*0.475*44/12</f>
        <v>1.6636322833411938</v>
      </c>
      <c r="AB155" s="21">
        <f>EXP(-LN(2)/2)*AB154+(1-EXP(-LN(2)/2))/(LN(2)/2)*V155*Y155*VLOOKUP('Données projet'!$B$9,Paramètres!$A$1:$I$89,3,0)*0.475*44/12</f>
        <v>3.5188257265250289E-19</v>
      </c>
      <c r="AC155" s="22">
        <f t="shared" si="163"/>
        <v>34.966230484702074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689</v>
      </c>
      <c r="AJ155" s="13">
        <f>AI155*VLOOKUP('Données projet'!$B$10,Paramètres!$A$1:$I$89,3,0)*VLOOKUP('Données projet'!$B$10,Paramètres!$A$1:$I$89,5,0)</f>
        <v>412.02199999999999</v>
      </c>
      <c r="AK155" s="13">
        <f t="shared" si="164"/>
        <v>94.209724877926391</v>
      </c>
      <c r="AL155" s="20">
        <f t="shared" si="165"/>
        <v>881.686920829055</v>
      </c>
      <c r="AM155" s="59">
        <f t="shared" si="113"/>
        <v>1175.0202541623883</v>
      </c>
      <c r="AN155" s="59">
        <f ca="1">AVERAGE(OFFSET($AM$3,0,0,'Données projet'!$E$10+1,1))-AVERAGE(OFFSET($H$3,0,0,'Données projet'!$E$10+1,1))</f>
        <v>504.81063008331739</v>
      </c>
      <c r="AO155" s="59">
        <f t="shared" si="144"/>
        <v>441.82647565372287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23.517659863243498</v>
      </c>
      <c r="AV155" s="21">
        <f>EXP(-LN(2)/25)*AV154+(1-EXP(-LN(2)/25))/(LN(2)/25)*Calculateur!AQ155*Calculateur!AS155*VLOOKUP('Données projet'!$B$10,Paramètres!$A$1:$I$89,3,0)*0.475*44/12</f>
        <v>1.9995661997341607</v>
      </c>
      <c r="AW155" s="21">
        <f>EXP(-LN(2)/2)*AW154+(1-EXP(-LN(2)/2))/(LN(2)/2)*AQ155*AT155*VLOOKUP('Données projet'!$B$10,Paramètres!$A$1:$I$89,3,0)*0.475*44/12</f>
        <v>2.2709629865043331E-20</v>
      </c>
      <c r="AX155" s="21">
        <f t="shared" si="166"/>
        <v>25.517226062977659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266.99999999999983</v>
      </c>
      <c r="BE155" s="13">
        <f>BD155*VLOOKUP('Données projet'!$B$11,Paramètres!$A$1:$I$89,3,0)*VLOOKUP('Données projet'!$B$11,Paramètres!$A$1:$I$89,5,0)</f>
        <v>233.2511999999999</v>
      </c>
      <c r="BF155" s="13">
        <f t="shared" si="167"/>
        <v>56.985091661350864</v>
      </c>
      <c r="BG155" s="20">
        <f t="shared" si="168"/>
        <v>505.49487464351915</v>
      </c>
      <c r="BH155" s="59">
        <f t="shared" si="116"/>
        <v>798.82820797685247</v>
      </c>
      <c r="BI155" s="59">
        <f ca="1">AVERAGE(OFFSET($BH$3,0,0,'Données projet'!$E$11+1,1))-AVERAGE(OFFSET($H$3,0,0,'Données projet'!$E$11+1,1))</f>
        <v>324.86930206492627</v>
      </c>
      <c r="BJ155" s="59">
        <f t="shared" si="146"/>
        <v>317.03005098025352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11.447575966161933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11.447575966161933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306.99999999999994</v>
      </c>
      <c r="BZ155" s="13">
        <f>BY155*VLOOKUP('Données projet'!$B$12,Paramètres!$A$1:$I$89,3,0)*VLOOKUP('Données projet'!$B$12,Paramètres!$A$1:$I$89,5,0)</f>
        <v>311.298</v>
      </c>
      <c r="CA155" s="13">
        <f t="shared" si="170"/>
        <v>73.539838278528748</v>
      </c>
      <c r="CB155" s="20">
        <f t="shared" si="171"/>
        <v>670.25923500177089</v>
      </c>
      <c r="CC155" s="59">
        <f t="shared" si="119"/>
        <v>963.59256833510426</v>
      </c>
      <c r="CD155" s="59">
        <f ca="1">AVERAGE(OFFSET($CC$3,0,0,'Données projet'!$E$12+1,1))-AVERAGE(OFFSET($H$3,0,0,'Données projet'!$E$12+1,1))</f>
        <v>487.18832528146936</v>
      </c>
      <c r="CE155" s="59">
        <f t="shared" si="148"/>
        <v>306.61893266146666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53.910834436377726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53.910834436377726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-1.216666666666659</v>
      </c>
      <c r="CT155" s="12">
        <f>IF('Données projet'!$A$140&gt;35,CT154+CS155-DB154,IF(A155&lt;'Données projet'!$A$140,$CQ$205^A155,IF(A155='Données projet'!$A$140,'Données projet'!$B$140,CT154+CS155-DB154)))</f>
        <v>436.18666666666655</v>
      </c>
      <c r="CU155" s="17">
        <f>CT155*VLOOKUP('Données projet'!$B$13,Paramètres!$A$1:$I$89,3,0)*VLOOKUP('Données projet'!$B$13,Paramètres!$A$1:$I$89,5,0)</f>
        <v>415.07523199999991</v>
      </c>
      <c r="CV155" s="13">
        <f t="shared" si="173"/>
        <v>94.826325576951163</v>
      </c>
      <c r="CW155" s="20">
        <f t="shared" si="174"/>
        <v>888.07854611318987</v>
      </c>
      <c r="CX155" s="59">
        <f t="shared" si="122"/>
        <v>1181.4118794465232</v>
      </c>
      <c r="CY155" s="59">
        <f ca="1">AVERAGE(OFFSET($CX$3,0,0,'Données projet'!$E$13+1,1))-AVERAGE(OFFSET($H$3,0,0,'Données projet'!$E$13+1,1))</f>
        <v>733.95677909788878</v>
      </c>
      <c r="CZ155" s="59">
        <f t="shared" si="150"/>
        <v>264.63778997972378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227.77571109831086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227.77571109831086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853.00000000000011</v>
      </c>
      <c r="O156" s="13">
        <f>N156*VLOOKUP('Données projet'!$B$9,Paramètres!$A$1:$I$89,3,0)*VLOOKUP('Données projet'!$B$9,Paramètres!$A$1:$I$89,5,0)</f>
        <v>399.20400000000006</v>
      </c>
      <c r="P156" s="13">
        <f t="shared" si="141"/>
        <v>91.615269732888521</v>
      </c>
      <c r="Q156" s="20">
        <f t="shared" si="162"/>
        <v>854.8435614514475</v>
      </c>
      <c r="R156" s="59">
        <f t="shared" si="109"/>
        <v>1148.1768947847809</v>
      </c>
      <c r="S156" s="59">
        <f ca="1">AVERAGE(OFFSET($R$3,0,0,'Données projet'!$E$9+1,1))-AVERAGE(OFFSET($H$3,0,0,'Données projet'!$E$9+1,1))</f>
        <v>488.67934252295686</v>
      </c>
      <c r="T156" s="59">
        <f t="shared" si="142"/>
        <v>424.50324471331095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32.649554563211396</v>
      </c>
      <c r="AA156" s="21">
        <f>EXP(-LN(2)/25)*AA155+(1-EXP(-LN(2)/25))/(LN(2)/25)*Calculateur!V156*Calculateur!X156*VLOOKUP('Données projet'!$B$9,Paramètres!$A$1:$I$89,3,0)*0.475*44/12</f>
        <v>1.6181401710666095</v>
      </c>
      <c r="AB156" s="21">
        <f>EXP(-LN(2)/2)*AB155+(1-EXP(-LN(2)/2))/(LN(2)/2)*V156*Y156*VLOOKUP('Données projet'!$B$9,Paramètres!$A$1:$I$89,3,0)*0.475*44/12</f>
        <v>2.4881855330395277E-19</v>
      </c>
      <c r="AC156" s="22">
        <f t="shared" si="163"/>
        <v>34.267694734278002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689</v>
      </c>
      <c r="AJ156" s="13">
        <f>AI156*VLOOKUP('Données projet'!$B$10,Paramètres!$A$1:$I$89,3,0)*VLOOKUP('Données projet'!$B$10,Paramètres!$A$1:$I$89,5,0)</f>
        <v>412.02199999999999</v>
      </c>
      <c r="AK156" s="13">
        <f t="shared" si="164"/>
        <v>94.209724877926391</v>
      </c>
      <c r="AL156" s="20">
        <f t="shared" si="165"/>
        <v>881.686920829055</v>
      </c>
      <c r="AM156" s="59">
        <f t="shared" si="113"/>
        <v>1175.0202541623883</v>
      </c>
      <c r="AN156" s="59">
        <f ca="1">AVERAGE(OFFSET($AM$3,0,0,'Données projet'!$E$10+1,1))-AVERAGE(OFFSET($H$3,0,0,'Données projet'!$E$10+1,1))</f>
        <v>504.81063008331739</v>
      </c>
      <c r="AO156" s="59">
        <f t="shared" si="144"/>
        <v>441.82647565372287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23.056492897681423</v>
      </c>
      <c r="AV156" s="21">
        <f>EXP(-LN(2)/25)*AV155+(1-EXP(-LN(2)/25))/(LN(2)/25)*Calculateur!AQ156*Calculateur!AS156*VLOOKUP('Données projet'!$B$10,Paramètres!$A$1:$I$89,3,0)*0.475*44/12</f>
        <v>1.9448879568498136</v>
      </c>
      <c r="AW156" s="21">
        <f>EXP(-LN(2)/2)*AW155+(1-EXP(-LN(2)/2))/(LN(2)/2)*AQ156*AT156*VLOOKUP('Données projet'!$B$10,Paramètres!$A$1:$I$89,3,0)*0.475*44/12</f>
        <v>1.6058133275808679E-20</v>
      </c>
      <c r="AX156" s="21">
        <f t="shared" si="166"/>
        <v>25.001380854531238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266.99999999999983</v>
      </c>
      <c r="BE156" s="13">
        <f>BD156*VLOOKUP('Données projet'!$B$11,Paramètres!$A$1:$I$89,3,0)*VLOOKUP('Données projet'!$B$11,Paramètres!$A$1:$I$89,5,0)</f>
        <v>233.2511999999999</v>
      </c>
      <c r="BF156" s="13">
        <f t="shared" si="167"/>
        <v>56.985091661350864</v>
      </c>
      <c r="BG156" s="20">
        <f t="shared" si="168"/>
        <v>505.49487464351915</v>
      </c>
      <c r="BH156" s="59">
        <f t="shared" si="116"/>
        <v>798.82820797685247</v>
      </c>
      <c r="BI156" s="59">
        <f ca="1">AVERAGE(OFFSET($BH$3,0,0,'Données projet'!$E$11+1,1))-AVERAGE(OFFSET($H$3,0,0,'Données projet'!$E$11+1,1))</f>
        <v>324.86930206492627</v>
      </c>
      <c r="BJ156" s="59">
        <f t="shared" si="146"/>
        <v>317.03005098025352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11.223095983797389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11.223095983797389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306.99999999999994</v>
      </c>
      <c r="BZ156" s="13">
        <f>BY156*VLOOKUP('Données projet'!$B$12,Paramètres!$A$1:$I$89,3,0)*VLOOKUP('Données projet'!$B$12,Paramètres!$A$1:$I$89,5,0)</f>
        <v>311.298</v>
      </c>
      <c r="CA156" s="13">
        <f t="shared" si="170"/>
        <v>73.539838278528748</v>
      </c>
      <c r="CB156" s="20">
        <f t="shared" si="171"/>
        <v>670.25923500177089</v>
      </c>
      <c r="CC156" s="59">
        <f t="shared" si="119"/>
        <v>963.59256833510426</v>
      </c>
      <c r="CD156" s="59">
        <f ca="1">AVERAGE(OFFSET($CC$3,0,0,'Données projet'!$E$12+1,1))-AVERAGE(OFFSET($H$3,0,0,'Données projet'!$E$12+1,1))</f>
        <v>487.18832528146936</v>
      </c>
      <c r="CE156" s="59">
        <f t="shared" si="148"/>
        <v>306.61893266146666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52.853675855442503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52.853675855442503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>
        <f>VLOOKUP(A156,'Données projet'!$A$139:$I$159,2,0)</f>
        <v>434.97</v>
      </c>
      <c r="CR156" s="12">
        <f>VLOOKUP(A156,'Données projet'!$A$139:$I$159,9,0)</f>
        <v>-1.216666666666659</v>
      </c>
      <c r="CS156" s="12">
        <f t="array" ref="CS156">INDEX(CR:CR,MIN(IF(ISNUMBER(CR156:CR352),ROW(CR156:CR352),"")))</f>
        <v>-1.216666666666659</v>
      </c>
      <c r="CT156" s="12">
        <f>IF('Données projet'!$A$140&gt;35,CT155+CS156-DB155,IF(A156&lt;'Données projet'!$A$140,$CQ$205^A156,IF(A156='Données projet'!$A$140,'Données projet'!$B$140,CT155+CS156-DB155)))</f>
        <v>434.96999999999991</v>
      </c>
      <c r="CU156" s="17">
        <f>CT156*VLOOKUP('Données projet'!$B$13,Paramètres!$A$1:$I$89,3,0)*VLOOKUP('Données projet'!$B$13,Paramètres!$A$1:$I$89,5,0)</f>
        <v>413.91745199999997</v>
      </c>
      <c r="CV156" s="13">
        <f t="shared" si="173"/>
        <v>94.592574067622735</v>
      </c>
      <c r="CW156" s="20">
        <f t="shared" si="174"/>
        <v>885.65496206777607</v>
      </c>
      <c r="CX156" s="59">
        <f t="shared" si="122"/>
        <v>1178.9882954011093</v>
      </c>
      <c r="CY156" s="59">
        <f ca="1">AVERAGE(OFFSET($CX$3,0,0,'Données projet'!$E$13+1,1))-AVERAGE(OFFSET($H$3,0,0,'Données projet'!$E$13+1,1))</f>
        <v>733.95677909788878</v>
      </c>
      <c r="CZ156" s="59">
        <f t="shared" si="150"/>
        <v>264.63778997972378</v>
      </c>
      <c r="DA156" s="15">
        <f>IF(ISNA(VLOOKUP(A156,'Données projet'!$A$139:$I$159,3,0)),0,VLOOKUP(A156,'Données projet'!$A$139:$I$159,3,0))</f>
        <v>15</v>
      </c>
      <c r="DB156" s="15">
        <f>IF(ISNA(VLOOKUP(A156,'Données projet'!$A$139:$I$159,4,0)),0,VLOOKUP(A156,'Données projet'!$A$139:$I$159,4,0))</f>
        <v>141.22</v>
      </c>
      <c r="DC156" s="16">
        <f>IF(ISNA(VLOOKUP(A156,'Données projet'!$A$139:$I$159,5,0)),0%,VLOOKUP(A156,'Données projet'!$A$139:$I$159,5,0)*VLOOKUP('Données projet'!$B$13,Paramètres!$A$1:$I$89,7,0))</f>
        <v>0.43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287.18935940625022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287.18935940625022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853.00000000000011</v>
      </c>
      <c r="O157" s="13">
        <f>N157*VLOOKUP('Données projet'!$B$9,Paramètres!$A$1:$I$89,3,0)*VLOOKUP('Données projet'!$B$9,Paramètres!$A$1:$I$89,5,0)</f>
        <v>399.20400000000006</v>
      </c>
      <c r="P157" s="13">
        <f t="shared" si="141"/>
        <v>91.615269732888521</v>
      </c>
      <c r="Q157" s="20">
        <f t="shared" si="162"/>
        <v>854.8435614514475</v>
      </c>
      <c r="R157" s="59">
        <f t="shared" si="109"/>
        <v>1148.1768947847809</v>
      </c>
      <c r="S157" s="59">
        <f ca="1">AVERAGE(OFFSET($R$3,0,0,'Données projet'!$E$9+1,1))-AVERAGE(OFFSET($H$3,0,0,'Données projet'!$E$9+1,1))</f>
        <v>488.67934252295686</v>
      </c>
      <c r="T157" s="59">
        <f t="shared" si="142"/>
        <v>424.50324471331095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32.009316712488733</v>
      </c>
      <c r="AA157" s="21">
        <f>EXP(-LN(2)/25)*AA156+(1-EXP(-LN(2)/25))/(LN(2)/25)*Calculateur!V157*Calculateur!X157*VLOOKUP('Données projet'!$B$9,Paramètres!$A$1:$I$89,3,0)*0.475*44/12</f>
        <v>1.5738920429944998</v>
      </c>
      <c r="AB157" s="21">
        <f>EXP(-LN(2)/2)*AB156+(1-EXP(-LN(2)/2))/(LN(2)/2)*V157*Y157*VLOOKUP('Données projet'!$B$9,Paramètres!$A$1:$I$89,3,0)*0.475*44/12</f>
        <v>1.7594128632625144E-19</v>
      </c>
      <c r="AC157" s="22">
        <f t="shared" si="163"/>
        <v>33.583208755483234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689</v>
      </c>
      <c r="AJ157" s="13">
        <f>AI157*VLOOKUP('Données projet'!$B$10,Paramètres!$A$1:$I$89,3,0)*VLOOKUP('Données projet'!$B$10,Paramètres!$A$1:$I$89,5,0)</f>
        <v>412.02199999999999</v>
      </c>
      <c r="AK157" s="13">
        <f t="shared" si="164"/>
        <v>94.209724877926391</v>
      </c>
      <c r="AL157" s="20">
        <f t="shared" si="165"/>
        <v>881.686920829055</v>
      </c>
      <c r="AM157" s="59">
        <f t="shared" si="113"/>
        <v>1175.0202541623883</v>
      </c>
      <c r="AN157" s="59">
        <f ca="1">AVERAGE(OFFSET($AM$3,0,0,'Données projet'!$E$10+1,1))-AVERAGE(OFFSET($H$3,0,0,'Données projet'!$E$10+1,1))</f>
        <v>504.81063008331739</v>
      </c>
      <c r="AO157" s="59">
        <f t="shared" si="144"/>
        <v>441.82647565372287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22.604369135029945</v>
      </c>
      <c r="AV157" s="21">
        <f>EXP(-LN(2)/25)*AV156+(1-EXP(-LN(2)/25))/(LN(2)/25)*Calculateur!AQ157*Calculateur!AS157*VLOOKUP('Données projet'!$B$10,Paramètres!$A$1:$I$89,3,0)*0.475*44/12</f>
        <v>1.8917048933925429</v>
      </c>
      <c r="AW157" s="21">
        <f>EXP(-LN(2)/2)*AW156+(1-EXP(-LN(2)/2))/(LN(2)/2)*AQ157*AT157*VLOOKUP('Données projet'!$B$10,Paramètres!$A$1:$I$89,3,0)*0.475*44/12</f>
        <v>1.1354814932521665E-20</v>
      </c>
      <c r="AX157" s="21">
        <f t="shared" si="166"/>
        <v>24.496074028422488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266.99999999999983</v>
      </c>
      <c r="BE157" s="13">
        <f>BD157*VLOOKUP('Données projet'!$B$11,Paramètres!$A$1:$I$89,3,0)*VLOOKUP('Données projet'!$B$11,Paramètres!$A$1:$I$89,5,0)</f>
        <v>233.2511999999999</v>
      </c>
      <c r="BF157" s="13">
        <f t="shared" si="167"/>
        <v>56.985091661350864</v>
      </c>
      <c r="BG157" s="20">
        <f t="shared" si="168"/>
        <v>505.49487464351915</v>
      </c>
      <c r="BH157" s="59">
        <f t="shared" si="116"/>
        <v>798.82820797685247</v>
      </c>
      <c r="BI157" s="59">
        <f ca="1">AVERAGE(OFFSET($BH$3,0,0,'Données projet'!$E$11+1,1))-AVERAGE(OFFSET($H$3,0,0,'Données projet'!$E$11+1,1))</f>
        <v>324.86930206492627</v>
      </c>
      <c r="BJ157" s="59">
        <f t="shared" si="146"/>
        <v>317.03005098025352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11.003017916967744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11.003017916967744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306.99999999999994</v>
      </c>
      <c r="BZ157" s="13">
        <f>BY157*VLOOKUP('Données projet'!$B$12,Paramètres!$A$1:$I$89,3,0)*VLOOKUP('Données projet'!$B$12,Paramètres!$A$1:$I$89,5,0)</f>
        <v>311.298</v>
      </c>
      <c r="CA157" s="13">
        <f t="shared" si="170"/>
        <v>73.539838278528748</v>
      </c>
      <c r="CB157" s="20">
        <f t="shared" si="171"/>
        <v>670.25923500177089</v>
      </c>
      <c r="CC157" s="59">
        <f t="shared" si="119"/>
        <v>963.59256833510426</v>
      </c>
      <c r="CD157" s="59">
        <f ca="1">AVERAGE(OFFSET($CC$3,0,0,'Données projet'!$E$12+1,1))-AVERAGE(OFFSET($H$3,0,0,'Données projet'!$E$12+1,1))</f>
        <v>487.18832528146936</v>
      </c>
      <c r="CE157" s="59">
        <f t="shared" si="148"/>
        <v>306.61893266146666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51.817247509476353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51.817247509476353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-0.93999999999999773</v>
      </c>
      <c r="CT157" s="12">
        <f>IF('Données projet'!$A$140&gt;35,CT156+CS157-DB156,IF(A157&lt;'Données projet'!$A$140,$CQ$205^A157,IF(A157='Données projet'!$A$140,'Données projet'!$B$140,CT156+CS157-DB156)))</f>
        <v>292.80999999999995</v>
      </c>
      <c r="CU157" s="17">
        <f>CT157*VLOOKUP('Données projet'!$B$13,Paramètres!$A$1:$I$89,3,0)*VLOOKUP('Données projet'!$B$13,Paramètres!$A$1:$I$89,5,0)</f>
        <v>278.63799599999993</v>
      </c>
      <c r="CV157" s="13">
        <f t="shared" si="173"/>
        <v>66.679096649550914</v>
      </c>
      <c r="CW157" s="20">
        <f t="shared" si="174"/>
        <v>601.42726969796774</v>
      </c>
      <c r="CX157" s="59">
        <f t="shared" si="122"/>
        <v>894.76060303130112</v>
      </c>
      <c r="CY157" s="59">
        <f ca="1">AVERAGE(OFFSET($CX$3,0,0,'Données projet'!$E$13+1,1))-AVERAGE(OFFSET($H$3,0,0,'Données projet'!$E$13+1,1))</f>
        <v>733.95677909788878</v>
      </c>
      <c r="CZ157" s="59">
        <f t="shared" si="150"/>
        <v>264.63778997972378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281.55775123650648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281.55775123650648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853.00000000000011</v>
      </c>
      <c r="O158" s="13">
        <f>N158*VLOOKUP('Données projet'!$B$9,Paramètres!$A$1:$I$89,3,0)*VLOOKUP('Données projet'!$B$9,Paramètres!$A$1:$I$89,5,0)</f>
        <v>399.20400000000006</v>
      </c>
      <c r="P158" s="13">
        <f t="shared" si="141"/>
        <v>91.615269732888521</v>
      </c>
      <c r="Q158" s="20">
        <f t="shared" si="162"/>
        <v>854.8435614514475</v>
      </c>
      <c r="R158" s="59">
        <f t="shared" si="109"/>
        <v>1148.1768947847809</v>
      </c>
      <c r="S158" s="59">
        <f ca="1">AVERAGE(OFFSET($R$3,0,0,'Données projet'!$E$9+1,1))-AVERAGE(OFFSET($H$3,0,0,'Données projet'!$E$9+1,1))</f>
        <v>488.67934252295686</v>
      </c>
      <c r="T158" s="59">
        <f t="shared" si="142"/>
        <v>424.50324471331095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31.381633535512211</v>
      </c>
      <c r="AA158" s="21">
        <f>EXP(-LN(2)/25)*AA157+(1-EXP(-LN(2)/25))/(LN(2)/25)*Calculateur!V158*Calculateur!X158*VLOOKUP('Données projet'!$B$9,Paramètres!$A$1:$I$89,3,0)*0.475*44/12</f>
        <v>1.5308538823114299</v>
      </c>
      <c r="AB158" s="21">
        <f>EXP(-LN(2)/2)*AB157+(1-EXP(-LN(2)/2))/(LN(2)/2)*V158*Y158*VLOOKUP('Données projet'!$B$9,Paramètres!$A$1:$I$89,3,0)*0.475*44/12</f>
        <v>1.2440927665197638E-19</v>
      </c>
      <c r="AC158" s="22">
        <f t="shared" si="163"/>
        <v>32.912487417823641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689</v>
      </c>
      <c r="AJ158" s="13">
        <f>AI158*VLOOKUP('Données projet'!$B$10,Paramètres!$A$1:$I$89,3,0)*VLOOKUP('Données projet'!$B$10,Paramètres!$A$1:$I$89,5,0)</f>
        <v>412.02199999999999</v>
      </c>
      <c r="AK158" s="13">
        <f t="shared" si="164"/>
        <v>94.209724877926391</v>
      </c>
      <c r="AL158" s="20">
        <f t="shared" si="165"/>
        <v>881.686920829055</v>
      </c>
      <c r="AM158" s="59">
        <f t="shared" si="113"/>
        <v>1175.0202541623883</v>
      </c>
      <c r="AN158" s="59">
        <f ca="1">AVERAGE(OFFSET($AM$3,0,0,'Données projet'!$E$10+1,1))-AVERAGE(OFFSET($H$3,0,0,'Données projet'!$E$10+1,1))</f>
        <v>504.81063008331739</v>
      </c>
      <c r="AO158" s="59">
        <f t="shared" si="144"/>
        <v>441.82647565372287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22.161111243595798</v>
      </c>
      <c r="AV158" s="21">
        <f>EXP(-LN(2)/25)*AV157+(1-EXP(-LN(2)/25))/(LN(2)/25)*Calculateur!AQ158*Calculateur!AS158*VLOOKUP('Données projet'!$B$10,Paramètres!$A$1:$I$89,3,0)*0.475*44/12</f>
        <v>1.8399761236022869</v>
      </c>
      <c r="AW158" s="21">
        <f>EXP(-LN(2)/2)*AW157+(1-EXP(-LN(2)/2))/(LN(2)/2)*AQ158*AT158*VLOOKUP('Données projet'!$B$10,Paramètres!$A$1:$I$89,3,0)*0.475*44/12</f>
        <v>8.0290666379043395E-21</v>
      </c>
      <c r="AX158" s="21">
        <f t="shared" si="166"/>
        <v>24.001087367198085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266.99999999999983</v>
      </c>
      <c r="BE158" s="13">
        <f>BD158*VLOOKUP('Données projet'!$B$11,Paramètres!$A$1:$I$89,3,0)*VLOOKUP('Données projet'!$B$11,Paramètres!$A$1:$I$89,5,0)</f>
        <v>233.2511999999999</v>
      </c>
      <c r="BF158" s="13">
        <f t="shared" si="167"/>
        <v>56.985091661350864</v>
      </c>
      <c r="BG158" s="20">
        <f t="shared" si="168"/>
        <v>505.49487464351915</v>
      </c>
      <c r="BH158" s="59">
        <f t="shared" si="116"/>
        <v>798.82820797685247</v>
      </c>
      <c r="BI158" s="59">
        <f ca="1">AVERAGE(OFFSET($BH$3,0,0,'Données projet'!$E$11+1,1))-AVERAGE(OFFSET($H$3,0,0,'Données projet'!$E$11+1,1))</f>
        <v>324.86930206492627</v>
      </c>
      <c r="BJ158" s="59">
        <f t="shared" si="146"/>
        <v>317.03005098025352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10.787255446794262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10.787255446794262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306.99999999999994</v>
      </c>
      <c r="BZ158" s="13">
        <f>BY158*VLOOKUP('Données projet'!$B$12,Paramètres!$A$1:$I$89,3,0)*VLOOKUP('Données projet'!$B$12,Paramètres!$A$1:$I$89,5,0)</f>
        <v>311.298</v>
      </c>
      <c r="CA158" s="13">
        <f t="shared" si="170"/>
        <v>73.539838278528748</v>
      </c>
      <c r="CB158" s="20">
        <f t="shared" si="171"/>
        <v>670.25923500177089</v>
      </c>
      <c r="CC158" s="59">
        <f t="shared" si="119"/>
        <v>963.59256833510426</v>
      </c>
      <c r="CD158" s="59">
        <f ca="1">AVERAGE(OFFSET($CC$3,0,0,'Données projet'!$E$12+1,1))-AVERAGE(OFFSET($H$3,0,0,'Données projet'!$E$12+1,1))</f>
        <v>487.18832528146936</v>
      </c>
      <c r="CE158" s="59">
        <f t="shared" si="148"/>
        <v>306.61893266146666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50.801142891215726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50.801142891215726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-0.93999999999999773</v>
      </c>
      <c r="CT158" s="12">
        <f>IF('Données projet'!$A$140&gt;35,CT157+CS158-DB157,IF(A158&lt;'Données projet'!$A$140,$CQ$205^A158,IF(A158='Données projet'!$A$140,'Données projet'!$B$140,CT157+CS158-DB157)))</f>
        <v>291.86999999999995</v>
      </c>
      <c r="CU158" s="17">
        <f>CT158*VLOOKUP('Données projet'!$B$13,Paramètres!$A$1:$I$89,3,0)*VLOOKUP('Données projet'!$B$13,Paramètres!$A$1:$I$89,5,0)</f>
        <v>277.74349199999995</v>
      </c>
      <c r="CV158" s="13">
        <f t="shared" si="173"/>
        <v>66.489919535517075</v>
      </c>
      <c r="CW158" s="20">
        <f t="shared" si="174"/>
        <v>599.53985842435873</v>
      </c>
      <c r="CX158" s="59">
        <f t="shared" si="122"/>
        <v>892.87319175769198</v>
      </c>
      <c r="CY158" s="59">
        <f ca="1">AVERAGE(OFFSET($CX$3,0,0,'Données projet'!$E$13+1,1))-AVERAGE(OFFSET($H$3,0,0,'Données projet'!$E$13+1,1))</f>
        <v>733.95677909788878</v>
      </c>
      <c r="CZ158" s="59">
        <f t="shared" si="150"/>
        <v>264.63778997972378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276.03657546802958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276.03657546802958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853.00000000000011</v>
      </c>
      <c r="O159" s="13">
        <f>N159*VLOOKUP('Données projet'!$B$9,Paramètres!$A$1:$I$89,3,0)*VLOOKUP('Données projet'!$B$9,Paramètres!$A$1:$I$89,5,0)</f>
        <v>399.20400000000006</v>
      </c>
      <c r="P159" s="13">
        <f t="shared" si="141"/>
        <v>91.615269732888521</v>
      </c>
      <c r="Q159" s="20">
        <f t="shared" si="162"/>
        <v>854.8435614514475</v>
      </c>
      <c r="R159" s="59">
        <f t="shared" si="109"/>
        <v>1148.1768947847809</v>
      </c>
      <c r="S159" s="59">
        <f ca="1">AVERAGE(OFFSET($R$3,0,0,'Données projet'!$E$9+1,1))-AVERAGE(OFFSET($H$3,0,0,'Données projet'!$E$9+1,1))</f>
        <v>488.67934252295686</v>
      </c>
      <c r="T159" s="59">
        <f t="shared" si="142"/>
        <v>424.50324471331095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30.766258842787266</v>
      </c>
      <c r="AA159" s="21">
        <f>EXP(-LN(2)/25)*AA158+(1-EXP(-LN(2)/25))/(LN(2)/25)*Calculateur!V159*Calculateur!X159*VLOOKUP('Données projet'!$B$9,Paramètres!$A$1:$I$89,3,0)*0.475*44/12</f>
        <v>1.4889926023955171</v>
      </c>
      <c r="AB159" s="21">
        <f>EXP(-LN(2)/2)*AB158+(1-EXP(-LN(2)/2))/(LN(2)/2)*V159*Y159*VLOOKUP('Données projet'!$B$9,Paramètres!$A$1:$I$89,3,0)*0.475*44/12</f>
        <v>8.7970643163125722E-20</v>
      </c>
      <c r="AC159" s="22">
        <f t="shared" si="163"/>
        <v>32.255251445182786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689</v>
      </c>
      <c r="AJ159" s="13">
        <f>AI159*VLOOKUP('Données projet'!$B$10,Paramètres!$A$1:$I$89,3,0)*VLOOKUP('Données projet'!$B$10,Paramètres!$A$1:$I$89,5,0)</f>
        <v>412.02199999999999</v>
      </c>
      <c r="AK159" s="13">
        <f t="shared" si="164"/>
        <v>94.209724877926391</v>
      </c>
      <c r="AL159" s="20">
        <f t="shared" si="165"/>
        <v>881.686920829055</v>
      </c>
      <c r="AM159" s="59">
        <f t="shared" si="113"/>
        <v>1175.0202541623883</v>
      </c>
      <c r="AN159" s="59">
        <f ca="1">AVERAGE(OFFSET($AM$3,0,0,'Données projet'!$E$10+1,1))-AVERAGE(OFFSET($H$3,0,0,'Données projet'!$E$10+1,1))</f>
        <v>504.81063008331739</v>
      </c>
      <c r="AO159" s="59">
        <f t="shared" si="144"/>
        <v>441.82647565372287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21.726545369052054</v>
      </c>
      <c r="AV159" s="21">
        <f>EXP(-LN(2)/25)*AV158+(1-EXP(-LN(2)/25))/(LN(2)/25)*Calculateur!AQ159*Calculateur!AS159*VLOOKUP('Données projet'!$B$10,Paramètres!$A$1:$I$89,3,0)*0.475*44/12</f>
        <v>1.7896618797422434</v>
      </c>
      <c r="AW159" s="21">
        <f>EXP(-LN(2)/2)*AW158+(1-EXP(-LN(2)/2))/(LN(2)/2)*AQ159*AT159*VLOOKUP('Données projet'!$B$10,Paramètres!$A$1:$I$89,3,0)*0.475*44/12</f>
        <v>5.6774074662608327E-21</v>
      </c>
      <c r="AX159" s="21">
        <f t="shared" si="166"/>
        <v>23.516207248794299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266.99999999999983</v>
      </c>
      <c r="BE159" s="13">
        <f>BD159*VLOOKUP('Données projet'!$B$11,Paramètres!$A$1:$I$89,3,0)*VLOOKUP('Données projet'!$B$11,Paramètres!$A$1:$I$89,5,0)</f>
        <v>233.2511999999999</v>
      </c>
      <c r="BF159" s="13">
        <f t="shared" si="167"/>
        <v>56.985091661350864</v>
      </c>
      <c r="BG159" s="20">
        <f t="shared" si="168"/>
        <v>505.49487464351915</v>
      </c>
      <c r="BH159" s="59">
        <f t="shared" si="116"/>
        <v>798.82820797685247</v>
      </c>
      <c r="BI159" s="59">
        <f ca="1">AVERAGE(OFFSET($BH$3,0,0,'Données projet'!$E$11+1,1))-AVERAGE(OFFSET($H$3,0,0,'Données projet'!$E$11+1,1))</f>
        <v>324.86930206492627</v>
      </c>
      <c r="BJ159" s="59">
        <f t="shared" si="146"/>
        <v>317.03005098025352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10.575723947058769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10.575723947058769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306.99999999999994</v>
      </c>
      <c r="BZ159" s="13">
        <f>BY159*VLOOKUP('Données projet'!$B$12,Paramètres!$A$1:$I$89,3,0)*VLOOKUP('Données projet'!$B$12,Paramètres!$A$1:$I$89,5,0)</f>
        <v>311.298</v>
      </c>
      <c r="CA159" s="13">
        <f t="shared" si="170"/>
        <v>73.539838278528748</v>
      </c>
      <c r="CB159" s="20">
        <f t="shared" si="171"/>
        <v>670.25923500177089</v>
      </c>
      <c r="CC159" s="59">
        <f t="shared" si="119"/>
        <v>963.59256833510426</v>
      </c>
      <c r="CD159" s="59">
        <f ca="1">AVERAGE(OFFSET($CC$3,0,0,'Données projet'!$E$12+1,1))-AVERAGE(OFFSET($H$3,0,0,'Données projet'!$E$12+1,1))</f>
        <v>487.18832528146936</v>
      </c>
      <c r="CE159" s="59">
        <f t="shared" si="148"/>
        <v>306.61893266146666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49.804963464756568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49.804963464756568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>
        <f>VLOOKUP(A159,'Données projet'!$A$139:$I$159,2,0)</f>
        <v>290.93</v>
      </c>
      <c r="CR159" s="12">
        <f>VLOOKUP(A159,'Données projet'!$A$139:$I$159,9,0)</f>
        <v>-0.93999999999999773</v>
      </c>
      <c r="CS159" s="12">
        <f t="array" ref="CS159">INDEX(CR:CR,MIN(IF(ISNUMBER(CR159:CR355),ROW(CR159:CR355),"")))</f>
        <v>-0.93999999999999773</v>
      </c>
      <c r="CT159" s="12">
        <f>IF('Données projet'!$A$140&gt;35,CT158+CS159-DB158,IF(A159&lt;'Données projet'!$A$140,$CQ$205^A159,IF(A159='Données projet'!$A$140,'Données projet'!$B$140,CT158+CS159-DB158)))</f>
        <v>290.92999999999995</v>
      </c>
      <c r="CU159" s="17">
        <f>CT159*VLOOKUP('Données projet'!$B$13,Paramètres!$A$1:$I$89,3,0)*VLOOKUP('Données projet'!$B$13,Paramètres!$A$1:$I$89,5,0)</f>
        <v>276.84898799999996</v>
      </c>
      <c r="CV159" s="13">
        <f t="shared" si="173"/>
        <v>66.300671489488565</v>
      </c>
      <c r="CW159" s="20">
        <f t="shared" si="174"/>
        <v>597.65232361085918</v>
      </c>
      <c r="CX159" s="59">
        <f t="shared" si="122"/>
        <v>890.98565694419244</v>
      </c>
      <c r="CY159" s="59">
        <f ca="1">AVERAGE(OFFSET($CX$3,0,0,'Données projet'!$E$13+1,1))-AVERAGE(OFFSET($H$3,0,0,'Données projet'!$E$13+1,1))</f>
        <v>733.95677909788878</v>
      </c>
      <c r="CZ159" s="59">
        <f t="shared" si="150"/>
        <v>264.63778997972378</v>
      </c>
      <c r="DA159" s="15">
        <f>IF(ISNA(VLOOKUP(A159,'Données projet'!$A$139:$I$159,3,0)),0,VLOOKUP(A159,'Données projet'!$A$139:$I$159,3,0))</f>
        <v>16</v>
      </c>
      <c r="DB159" s="15">
        <f>IF(ISNA(VLOOKUP(A159,'Données projet'!$A$139:$I$159,4,0)),0,VLOOKUP(A159,'Données projet'!$A$139:$I$159,4,0))</f>
        <v>87.28</v>
      </c>
      <c r="DC159" s="16">
        <f>IF(ISNA(VLOOKUP(A159,'Données projet'!$A$139:$I$159,5,0)),0%,VLOOKUP(A159,'Données projet'!$A$139:$I$159,5,0)*VLOOKUP('Données projet'!$B$13,Paramètres!$A$1:$I$89,7,0))</f>
        <v>0.43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310.10435683706135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310.10435683706135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853.00000000000011</v>
      </c>
      <c r="O160" s="13">
        <f>N160*VLOOKUP('Données projet'!$B$9,Paramètres!$A$1:$I$89,3,0)*VLOOKUP('Données projet'!$B$9,Paramètres!$A$1:$I$89,5,0)</f>
        <v>399.20400000000006</v>
      </c>
      <c r="P160" s="13">
        <f t="shared" si="141"/>
        <v>91.615269732888521</v>
      </c>
      <c r="Q160" s="20">
        <f t="shared" si="162"/>
        <v>854.8435614514475</v>
      </c>
      <c r="R160" s="59">
        <f t="shared" si="109"/>
        <v>1148.1768947847809</v>
      </c>
      <c r="S160" s="59">
        <f ca="1">AVERAGE(OFFSET($R$3,0,0,'Données projet'!$E$9+1,1))-AVERAGE(OFFSET($H$3,0,0,'Données projet'!$E$9+1,1))</f>
        <v>488.67934252295686</v>
      </c>
      <c r="T160" s="59">
        <f t="shared" si="142"/>
        <v>424.50324471331095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30.162951272445156</v>
      </c>
      <c r="AA160" s="21">
        <f>EXP(-LN(2)/25)*AA159+(1-EXP(-LN(2)/25))/(LN(2)/25)*Calculateur!V160*Calculateur!X160*VLOOKUP('Données projet'!$B$9,Paramètres!$A$1:$I$89,3,0)*0.475*44/12</f>
        <v>1.4482760213802939</v>
      </c>
      <c r="AB160" s="21">
        <f>EXP(-LN(2)/2)*AB159+(1-EXP(-LN(2)/2))/(LN(2)/2)*V160*Y160*VLOOKUP('Données projet'!$B$9,Paramètres!$A$1:$I$89,3,0)*0.475*44/12</f>
        <v>6.2204638325988191E-20</v>
      </c>
      <c r="AC160" s="22">
        <f t="shared" si="163"/>
        <v>31.611227293825451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689</v>
      </c>
      <c r="AJ160" s="13">
        <f>AI160*VLOOKUP('Données projet'!$B$10,Paramètres!$A$1:$I$89,3,0)*VLOOKUP('Données projet'!$B$10,Paramètres!$A$1:$I$89,5,0)</f>
        <v>412.02199999999999</v>
      </c>
      <c r="AK160" s="13">
        <f t="shared" si="164"/>
        <v>94.209724877926391</v>
      </c>
      <c r="AL160" s="20">
        <f t="shared" si="165"/>
        <v>881.686920829055</v>
      </c>
      <c r="AM160" s="59">
        <f t="shared" si="113"/>
        <v>1175.0202541623883</v>
      </c>
      <c r="AN160" s="59">
        <f ca="1">AVERAGE(OFFSET($AM$3,0,0,'Données projet'!$E$10+1,1))-AVERAGE(OFFSET($H$3,0,0,'Données projet'!$E$10+1,1))</f>
        <v>504.81063008331739</v>
      </c>
      <c r="AO160" s="59">
        <f t="shared" si="144"/>
        <v>441.82647565372287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21.300501066249105</v>
      </c>
      <c r="AV160" s="21">
        <f>EXP(-LN(2)/25)*AV159+(1-EXP(-LN(2)/25))/(LN(2)/25)*Calculateur!AQ160*Calculateur!AS160*VLOOKUP('Données projet'!$B$10,Paramètres!$A$1:$I$89,3,0)*0.475*44/12</f>
        <v>1.7407234815264638</v>
      </c>
      <c r="AW160" s="21">
        <f>EXP(-LN(2)/2)*AW159+(1-EXP(-LN(2)/2))/(LN(2)/2)*AQ160*AT160*VLOOKUP('Données projet'!$B$10,Paramètres!$A$1:$I$89,3,0)*0.475*44/12</f>
        <v>4.0145333189521697E-21</v>
      </c>
      <c r="AX160" s="21">
        <f t="shared" si="166"/>
        <v>23.041224547775567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266.99999999999983</v>
      </c>
      <c r="BE160" s="13">
        <f>BD160*VLOOKUP('Données projet'!$B$11,Paramètres!$A$1:$I$89,3,0)*VLOOKUP('Données projet'!$B$11,Paramètres!$A$1:$I$89,5,0)</f>
        <v>233.2511999999999</v>
      </c>
      <c r="BF160" s="13">
        <f t="shared" si="167"/>
        <v>56.985091661350864</v>
      </c>
      <c r="BG160" s="20">
        <f t="shared" si="168"/>
        <v>505.49487464351915</v>
      </c>
      <c r="BH160" s="59">
        <f t="shared" si="116"/>
        <v>798.82820797685247</v>
      </c>
      <c r="BI160" s="59">
        <f ca="1">AVERAGE(OFFSET($BH$3,0,0,'Données projet'!$E$11+1,1))-AVERAGE(OFFSET($H$3,0,0,'Données projet'!$E$11+1,1))</f>
        <v>324.86930206492627</v>
      </c>
      <c r="BJ160" s="59">
        <f t="shared" si="146"/>
        <v>317.03005098025352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10.368340451011615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10.368340451011615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306.99999999999994</v>
      </c>
      <c r="BZ160" s="13">
        <f>BY160*VLOOKUP('Données projet'!$B$12,Paramètres!$A$1:$I$89,3,0)*VLOOKUP('Données projet'!$B$12,Paramètres!$A$1:$I$89,5,0)</f>
        <v>311.298</v>
      </c>
      <c r="CA160" s="13">
        <f t="shared" si="170"/>
        <v>73.539838278528748</v>
      </c>
      <c r="CB160" s="20">
        <f t="shared" si="171"/>
        <v>670.25923500177089</v>
      </c>
      <c r="CC160" s="59">
        <f t="shared" si="119"/>
        <v>963.59256833510426</v>
      </c>
      <c r="CD160" s="59">
        <f ca="1">AVERAGE(OFFSET($CC$3,0,0,'Données projet'!$E$12+1,1))-AVERAGE(OFFSET($H$3,0,0,'Données projet'!$E$12+1,1))</f>
        <v>487.18832528146936</v>
      </c>
      <c r="CE160" s="59">
        <f t="shared" si="148"/>
        <v>306.61893266146666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48.828318509240823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48.828318509240823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-0.7233333333333386</v>
      </c>
      <c r="CT160" s="12">
        <f>IF('Données projet'!$A$140&gt;35,CT159+CS160-DB159,IF(A160&lt;'Données projet'!$A$140,$CQ$205^A160,IF(A160='Données projet'!$A$140,'Données projet'!$B$140,CT159+CS160-DB159)))</f>
        <v>202.92666666666659</v>
      </c>
      <c r="CU160" s="17">
        <f>CT160*VLOOKUP('Données projet'!$B$13,Paramètres!$A$1:$I$89,3,0)*VLOOKUP('Données projet'!$B$13,Paramètres!$A$1:$I$89,5,0)</f>
        <v>193.10501599999992</v>
      </c>
      <c r="CV160" s="13">
        <f t="shared" si="173"/>
        <v>48.225778822938693</v>
      </c>
      <c r="CW160" s="20">
        <f t="shared" si="174"/>
        <v>420.31780098328477</v>
      </c>
      <c r="CX160" s="59">
        <f t="shared" si="122"/>
        <v>713.65113431661803</v>
      </c>
      <c r="CY160" s="59">
        <f ca="1">AVERAGE(OFFSET($CX$3,0,0,'Données projet'!$E$13+1,1))-AVERAGE(OFFSET($H$3,0,0,'Données projet'!$E$13+1,1))</f>
        <v>733.95677909788878</v>
      </c>
      <c r="CZ160" s="59">
        <f t="shared" si="150"/>
        <v>264.63778997972378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304.02339954446774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304.02339954446774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853.00000000000011</v>
      </c>
      <c r="O161" s="13">
        <f>N161*VLOOKUP('Données projet'!$B$9,Paramètres!$A$1:$I$89,3,0)*VLOOKUP('Données projet'!$B$9,Paramètres!$A$1:$I$89,5,0)</f>
        <v>399.20400000000006</v>
      </c>
      <c r="P161" s="13">
        <f t="shared" si="141"/>
        <v>91.615269732888521</v>
      </c>
      <c r="Q161" s="20">
        <f t="shared" si="162"/>
        <v>854.8435614514475</v>
      </c>
      <c r="R161" s="59">
        <f t="shared" si="109"/>
        <v>1148.1768947847809</v>
      </c>
      <c r="S161" s="59">
        <f ca="1">AVERAGE(OFFSET($R$3,0,0,'Données projet'!$E$9+1,1))-AVERAGE(OFFSET($H$3,0,0,'Données projet'!$E$9+1,1))</f>
        <v>488.67934252295686</v>
      </c>
      <c r="T161" s="59">
        <f t="shared" si="142"/>
        <v>424.50324471331095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29.571474195576172</v>
      </c>
      <c r="AA161" s="21">
        <f>EXP(-LN(2)/25)*AA160+(1-EXP(-LN(2)/25))/(LN(2)/25)*Calculateur!V161*Calculateur!X161*VLOOKUP('Données projet'!$B$9,Paramètres!$A$1:$I$89,3,0)*0.475*44/12</f>
        <v>1.4086728374141237</v>
      </c>
      <c r="AB161" s="21">
        <f>EXP(-LN(2)/2)*AB160+(1-EXP(-LN(2)/2))/(LN(2)/2)*V161*Y161*VLOOKUP('Données projet'!$B$9,Paramètres!$A$1:$I$89,3,0)*0.475*44/12</f>
        <v>4.3985321581562861E-20</v>
      </c>
      <c r="AC161" s="22">
        <f t="shared" si="163"/>
        <v>30.980147032990295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689</v>
      </c>
      <c r="AJ161" s="13">
        <f>AI161*VLOOKUP('Données projet'!$B$10,Paramètres!$A$1:$I$89,3,0)*VLOOKUP('Données projet'!$B$10,Paramètres!$A$1:$I$89,5,0)</f>
        <v>412.02199999999999</v>
      </c>
      <c r="AK161" s="13">
        <f t="shared" si="164"/>
        <v>94.209724877926391</v>
      </c>
      <c r="AL161" s="20">
        <f t="shared" si="165"/>
        <v>881.686920829055</v>
      </c>
      <c r="AM161" s="59">
        <f t="shared" si="113"/>
        <v>1175.0202541623883</v>
      </c>
      <c r="AN161" s="59">
        <f ca="1">AVERAGE(OFFSET($AM$3,0,0,'Données projet'!$E$10+1,1))-AVERAGE(OFFSET($H$3,0,0,'Données projet'!$E$10+1,1))</f>
        <v>504.81063008331739</v>
      </c>
      <c r="AO161" s="59">
        <f t="shared" si="144"/>
        <v>441.82647565372287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20.882811232362755</v>
      </c>
      <c r="AV161" s="21">
        <f>EXP(-LN(2)/25)*AV160+(1-EXP(-LN(2)/25))/(LN(2)/25)*Calculateur!AQ161*Calculateur!AS161*VLOOKUP('Données projet'!$B$10,Paramètres!$A$1:$I$89,3,0)*0.475*44/12</f>
        <v>1.6931233063834532</v>
      </c>
      <c r="AW161" s="21">
        <f>EXP(-LN(2)/2)*AW160+(1-EXP(-LN(2)/2))/(LN(2)/2)*AQ161*AT161*VLOOKUP('Données projet'!$B$10,Paramètres!$A$1:$I$89,3,0)*0.475*44/12</f>
        <v>2.8387037331304163E-21</v>
      </c>
      <c r="AX161" s="21">
        <f t="shared" si="166"/>
        <v>22.575934538746207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266.99999999999983</v>
      </c>
      <c r="BE161" s="13">
        <f>BD161*VLOOKUP('Données projet'!$B$11,Paramètres!$A$1:$I$89,3,0)*VLOOKUP('Données projet'!$B$11,Paramètres!$A$1:$I$89,5,0)</f>
        <v>233.2511999999999</v>
      </c>
      <c r="BF161" s="13">
        <f t="shared" si="167"/>
        <v>56.985091661350864</v>
      </c>
      <c r="BG161" s="20">
        <f t="shared" si="168"/>
        <v>505.49487464351915</v>
      </c>
      <c r="BH161" s="59">
        <f t="shared" si="116"/>
        <v>798.82820797685247</v>
      </c>
      <c r="BI161" s="59">
        <f ca="1">AVERAGE(OFFSET($BH$3,0,0,'Données projet'!$E$11+1,1))-AVERAGE(OFFSET($H$3,0,0,'Données projet'!$E$11+1,1))</f>
        <v>324.86930206492627</v>
      </c>
      <c r="BJ161" s="59">
        <f t="shared" si="146"/>
        <v>317.03005098025352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10.165023618830503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10.165023618830503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306.99999999999994</v>
      </c>
      <c r="BZ161" s="13">
        <f>BY161*VLOOKUP('Données projet'!$B$12,Paramètres!$A$1:$I$89,3,0)*VLOOKUP('Données projet'!$B$12,Paramètres!$A$1:$I$89,5,0)</f>
        <v>311.298</v>
      </c>
      <c r="CA161" s="13">
        <f t="shared" si="170"/>
        <v>73.539838278528748</v>
      </c>
      <c r="CB161" s="20">
        <f t="shared" si="171"/>
        <v>670.25923500177089</v>
      </c>
      <c r="CC161" s="59">
        <f t="shared" si="119"/>
        <v>963.59256833510426</v>
      </c>
      <c r="CD161" s="59">
        <f ca="1">AVERAGE(OFFSET($CC$3,0,0,'Données projet'!$E$12+1,1))-AVERAGE(OFFSET($H$3,0,0,'Données projet'!$E$12+1,1))</f>
        <v>487.18832528146936</v>
      </c>
      <c r="CE161" s="59">
        <f t="shared" si="148"/>
        <v>306.61893266146666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47.870824965608143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47.870824965608143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-0.7233333333333386</v>
      </c>
      <c r="CT161" s="12">
        <f>IF('Données projet'!$A$140&gt;35,CT160+CS161-DB160,IF(A161&lt;'Données projet'!$A$140,$CQ$205^A161,IF(A161='Données projet'!$A$140,'Données projet'!$B$140,CT160+CS161-DB160)))</f>
        <v>202.20333333333326</v>
      </c>
      <c r="CU161" s="17">
        <f>CT161*VLOOKUP('Données projet'!$B$13,Paramètres!$A$1:$I$89,3,0)*VLOOKUP('Données projet'!$B$13,Paramètres!$A$1:$I$89,5,0)</f>
        <v>192.41669199999993</v>
      </c>
      <c r="CV161" s="13">
        <f t="shared" si="173"/>
        <v>48.07385547535722</v>
      </c>
      <c r="CW161" s="20">
        <f t="shared" si="174"/>
        <v>418.85437018624697</v>
      </c>
      <c r="CX161" s="59">
        <f t="shared" si="122"/>
        <v>712.18770351958028</v>
      </c>
      <c r="CY161" s="59">
        <f ca="1">AVERAGE(OFFSET($CX$3,0,0,'Données projet'!$E$13+1,1))-AVERAGE(OFFSET($H$3,0,0,'Données projet'!$E$13+1,1))</f>
        <v>733.95677909788878</v>
      </c>
      <c r="CZ161" s="59">
        <f t="shared" si="150"/>
        <v>264.63778997972378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298.06168611536418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298.06168611536418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853.00000000000011</v>
      </c>
      <c r="O162" s="13">
        <f>N162*VLOOKUP('Données projet'!$B$9,Paramètres!$A$1:$I$89,3,0)*VLOOKUP('Données projet'!$B$9,Paramètres!$A$1:$I$89,5,0)</f>
        <v>399.20400000000006</v>
      </c>
      <c r="P162" s="13">
        <f t="shared" si="141"/>
        <v>91.615269732888521</v>
      </c>
      <c r="Q162" s="20">
        <f t="shared" si="162"/>
        <v>854.8435614514475</v>
      </c>
      <c r="R162" s="59">
        <f t="shared" si="109"/>
        <v>1148.1768947847809</v>
      </c>
      <c r="S162" s="59">
        <f ca="1">AVERAGE(OFFSET($R$3,0,0,'Données projet'!$E$9+1,1))-AVERAGE(OFFSET($H$3,0,0,'Données projet'!$E$9+1,1))</f>
        <v>488.67934252295686</v>
      </c>
      <c r="T162" s="59">
        <f t="shared" si="142"/>
        <v>424.50324471331095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28.991595623419194</v>
      </c>
      <c r="AA162" s="21">
        <f>EXP(-LN(2)/25)*AA161+(1-EXP(-LN(2)/25))/(LN(2)/25)*Calculateur!V162*Calculateur!X162*VLOOKUP('Données projet'!$B$9,Paramètres!$A$1:$I$89,3,0)*0.475*44/12</f>
        <v>1.3701526045961496</v>
      </c>
      <c r="AB162" s="21">
        <f>EXP(-LN(2)/2)*AB161+(1-EXP(-LN(2)/2))/(LN(2)/2)*V162*Y162*VLOOKUP('Données projet'!$B$9,Paramètres!$A$1:$I$89,3,0)*0.475*44/12</f>
        <v>3.1102319162994096E-20</v>
      </c>
      <c r="AC162" s="22">
        <f t="shared" si="163"/>
        <v>30.361748228015344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689</v>
      </c>
      <c r="AJ162" s="13">
        <f>AI162*VLOOKUP('Données projet'!$B$10,Paramètres!$A$1:$I$89,3,0)*VLOOKUP('Données projet'!$B$10,Paramètres!$A$1:$I$89,5,0)</f>
        <v>412.02199999999999</v>
      </c>
      <c r="AK162" s="13">
        <f t="shared" si="164"/>
        <v>94.209724877926391</v>
      </c>
      <c r="AL162" s="20">
        <f t="shared" si="165"/>
        <v>881.686920829055</v>
      </c>
      <c r="AM162" s="59">
        <f t="shared" si="113"/>
        <v>1175.0202541623883</v>
      </c>
      <c r="AN162" s="59">
        <f ca="1">AVERAGE(OFFSET($AM$3,0,0,'Données projet'!$E$10+1,1))-AVERAGE(OFFSET($H$3,0,0,'Données projet'!$E$10+1,1))</f>
        <v>504.81063008331739</v>
      </c>
      <c r="AO162" s="59">
        <f t="shared" si="144"/>
        <v>441.82647565372287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20.473312041353275</v>
      </c>
      <c r="AV162" s="21">
        <f>EXP(-LN(2)/25)*AV161+(1-EXP(-LN(2)/25))/(LN(2)/25)*Calculateur!AQ162*Calculateur!AS162*VLOOKUP('Données projet'!$B$10,Paramètres!$A$1:$I$89,3,0)*0.475*44/12</f>
        <v>1.6468247605329127</v>
      </c>
      <c r="AW162" s="21">
        <f>EXP(-LN(2)/2)*AW161+(1-EXP(-LN(2)/2))/(LN(2)/2)*AQ162*AT162*VLOOKUP('Données projet'!$B$10,Paramètres!$A$1:$I$89,3,0)*0.475*44/12</f>
        <v>2.0072666594760849E-21</v>
      </c>
      <c r="AX162" s="21">
        <f t="shared" si="166"/>
        <v>22.120136801886186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266.99999999999983</v>
      </c>
      <c r="BE162" s="13">
        <f>BD162*VLOOKUP('Données projet'!$B$11,Paramètres!$A$1:$I$89,3,0)*VLOOKUP('Données projet'!$B$11,Paramètres!$A$1:$I$89,5,0)</f>
        <v>233.2511999999999</v>
      </c>
      <c r="BF162" s="13">
        <f t="shared" si="167"/>
        <v>56.985091661350864</v>
      </c>
      <c r="BG162" s="20">
        <f t="shared" si="168"/>
        <v>505.49487464351915</v>
      </c>
      <c r="BH162" s="59">
        <f t="shared" si="116"/>
        <v>798.82820797685247</v>
      </c>
      <c r="BI162" s="59">
        <f ca="1">AVERAGE(OFFSET($BH$3,0,0,'Données projet'!$E$11+1,1))-AVERAGE(OFFSET($H$3,0,0,'Données projet'!$E$11+1,1))</f>
        <v>324.86930206492627</v>
      </c>
      <c r="BJ162" s="59">
        <f t="shared" si="146"/>
        <v>317.03005098025352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9.96569370571744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9.96569370571744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306.99999999999994</v>
      </c>
      <c r="BZ162" s="13">
        <f>BY162*VLOOKUP('Données projet'!$B$12,Paramètres!$A$1:$I$89,3,0)*VLOOKUP('Données projet'!$B$12,Paramètres!$A$1:$I$89,5,0)</f>
        <v>311.298</v>
      </c>
      <c r="CA162" s="13">
        <f t="shared" si="170"/>
        <v>73.539838278528748</v>
      </c>
      <c r="CB162" s="20">
        <f t="shared" si="171"/>
        <v>670.25923500177089</v>
      </c>
      <c r="CC162" s="59">
        <f t="shared" si="119"/>
        <v>963.59256833510426</v>
      </c>
      <c r="CD162" s="59">
        <f ca="1">AVERAGE(OFFSET($CC$3,0,0,'Données projet'!$E$12+1,1))-AVERAGE(OFFSET($H$3,0,0,'Données projet'!$E$12+1,1))</f>
        <v>487.18832528146936</v>
      </c>
      <c r="CE162" s="59">
        <f t="shared" si="148"/>
        <v>306.61893266146666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46.932107286352704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46.932107286352704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>
        <f>VLOOKUP(A162,'Données projet'!$A$139:$I$159,2,0)</f>
        <v>201.48</v>
      </c>
      <c r="CR162" s="12">
        <f>VLOOKUP(A162,'Données projet'!$A$139:$I$159,9,0)</f>
        <v>-0.7233333333333386</v>
      </c>
      <c r="CS162" s="12">
        <f t="array" ref="CS162">INDEX(CR:CR,MIN(IF(ISNUMBER(CR162:CR358),ROW(CR162:CR358),"")))</f>
        <v>-0.7233333333333386</v>
      </c>
      <c r="CT162" s="12">
        <f>IF('Données projet'!$A$140&gt;35,CT161+CS162-DB161,IF(A162&lt;'Données projet'!$A$140,$CQ$205^A162,IF(A162='Données projet'!$A$140,'Données projet'!$B$140,CT161+CS162-DB161)))</f>
        <v>201.47999999999993</v>
      </c>
      <c r="CU162" s="17">
        <f>CT162*VLOOKUP('Données projet'!$B$13,Paramètres!$A$1:$I$89,3,0)*VLOOKUP('Données projet'!$B$13,Paramètres!$A$1:$I$89,5,0)</f>
        <v>191.72836799999993</v>
      </c>
      <c r="CV162" s="13">
        <f t="shared" si="173"/>
        <v>47.921868854681655</v>
      </c>
      <c r="CW162" s="20">
        <f t="shared" si="174"/>
        <v>417.39082918857042</v>
      </c>
      <c r="CX162" s="59">
        <f t="shared" si="122"/>
        <v>710.72416252190374</v>
      </c>
      <c r="CY162" s="59">
        <f ca="1">AVERAGE(OFFSET($CX$3,0,0,'Données projet'!$E$13+1,1))-AVERAGE(OFFSET($H$3,0,0,'Données projet'!$E$13+1,1))</f>
        <v>733.95677909788878</v>
      </c>
      <c r="CZ162" s="59">
        <f t="shared" si="150"/>
        <v>264.63778997972378</v>
      </c>
      <c r="DA162" s="15">
        <f>IF(ISNA(VLOOKUP(A162,'Données projet'!$A$139:$I$159,3,0)),0,VLOOKUP(A162,'Données projet'!$A$139:$I$159,3,0))</f>
        <v>17</v>
      </c>
      <c r="DB162" s="15">
        <f>IF(ISNA(VLOOKUP(A162,'Données projet'!$A$139:$I$159,4,0)),0,VLOOKUP(A162,'Données projet'!$A$139:$I$159,4,0))</f>
        <v>180.6</v>
      </c>
      <c r="DC162" s="16">
        <f>IF(ISNA(VLOOKUP(A162,'Données projet'!$A$139:$I$159,5,0)),0%,VLOOKUP(A162,'Données projet'!$A$139:$I$159,5,0)*VLOOKUP('Données projet'!$B$13,Paramètres!$A$1:$I$89,7,0))</f>
        <v>0.43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373.91042383737459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373.91042383737459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853.00000000000011</v>
      </c>
      <c r="O163" s="13">
        <f>N163*VLOOKUP('Données projet'!$B$9,Paramètres!$A$1:$I$89,3,0)*VLOOKUP('Données projet'!$B$9,Paramètres!$A$1:$I$89,5,0)</f>
        <v>399.20400000000006</v>
      </c>
      <c r="P163" s="13">
        <f t="shared" si="141"/>
        <v>91.615269732888521</v>
      </c>
      <c r="Q163" s="20">
        <f t="shared" si="162"/>
        <v>854.8435614514475</v>
      </c>
      <c r="R163" s="59">
        <f t="shared" si="109"/>
        <v>1148.1768947847809</v>
      </c>
      <c r="S163" s="59">
        <f ca="1">AVERAGE(OFFSET($R$3,0,0,'Données projet'!$E$9+1,1))-AVERAGE(OFFSET($H$3,0,0,'Données projet'!$E$9+1,1))</f>
        <v>488.67934252295686</v>
      </c>
      <c r="T163" s="59">
        <f t="shared" si="142"/>
        <v>424.50324471331095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28.423088116371211</v>
      </c>
      <c r="AA163" s="21">
        <f>EXP(-LN(2)/25)*AA162+(1-EXP(-LN(2)/25))/(LN(2)/25)*Calculateur!V163*Calculateur!X163*VLOOKUP('Données projet'!$B$9,Paramètres!$A$1:$I$89,3,0)*0.475*44/12</f>
        <v>1.332685709570274</v>
      </c>
      <c r="AB163" s="21">
        <f>EXP(-LN(2)/2)*AB162+(1-EXP(-LN(2)/2))/(LN(2)/2)*V163*Y163*VLOOKUP('Données projet'!$B$9,Paramètres!$A$1:$I$89,3,0)*0.475*44/12</f>
        <v>2.1992660790781431E-20</v>
      </c>
      <c r="AC163" s="22">
        <f t="shared" si="163"/>
        <v>29.755773825941485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689</v>
      </c>
      <c r="AJ163" s="13">
        <f>AI163*VLOOKUP('Données projet'!$B$10,Paramètres!$A$1:$I$89,3,0)*VLOOKUP('Données projet'!$B$10,Paramètres!$A$1:$I$89,5,0)</f>
        <v>412.02199999999999</v>
      </c>
      <c r="AK163" s="13">
        <f t="shared" si="164"/>
        <v>94.209724877926391</v>
      </c>
      <c r="AL163" s="20">
        <f t="shared" si="165"/>
        <v>881.686920829055</v>
      </c>
      <c r="AM163" s="59">
        <f t="shared" si="113"/>
        <v>1175.0202541623883</v>
      </c>
      <c r="AN163" s="59">
        <f ca="1">AVERAGE(OFFSET($AM$3,0,0,'Données projet'!$E$10+1,1))-AVERAGE(OFFSET($H$3,0,0,'Données projet'!$E$10+1,1))</f>
        <v>504.81063008331739</v>
      </c>
      <c r="AO163" s="59">
        <f t="shared" si="144"/>
        <v>441.82647565372287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20.071842879709646</v>
      </c>
      <c r="AV163" s="21">
        <f>EXP(-LN(2)/25)*AV162+(1-EXP(-LN(2)/25))/(LN(2)/25)*Calculateur!AQ163*Calculateur!AS163*VLOOKUP('Données projet'!$B$10,Paramètres!$A$1:$I$89,3,0)*0.475*44/12</f>
        <v>1.6017922508533899</v>
      </c>
      <c r="AW163" s="21">
        <f>EXP(-LN(2)/2)*AW162+(1-EXP(-LN(2)/2))/(LN(2)/2)*AQ163*AT163*VLOOKUP('Données projet'!$B$10,Paramètres!$A$1:$I$89,3,0)*0.475*44/12</f>
        <v>1.4193518665652082E-21</v>
      </c>
      <c r="AX163" s="21">
        <f t="shared" si="166"/>
        <v>21.673635130563035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266.99999999999983</v>
      </c>
      <c r="BE163" s="13">
        <f>BD163*VLOOKUP('Données projet'!$B$11,Paramètres!$A$1:$I$89,3,0)*VLOOKUP('Données projet'!$B$11,Paramètres!$A$1:$I$89,5,0)</f>
        <v>233.2511999999999</v>
      </c>
      <c r="BF163" s="13">
        <f t="shared" si="167"/>
        <v>56.985091661350864</v>
      </c>
      <c r="BG163" s="20">
        <f t="shared" si="168"/>
        <v>505.49487464351915</v>
      </c>
      <c r="BH163" s="59">
        <f t="shared" si="116"/>
        <v>798.82820797685247</v>
      </c>
      <c r="BI163" s="59">
        <f ca="1">AVERAGE(OFFSET($BH$3,0,0,'Données projet'!$E$11+1,1))-AVERAGE(OFFSET($H$3,0,0,'Données projet'!$E$11+1,1))</f>
        <v>324.86930206492627</v>
      </c>
      <c r="BJ163" s="59">
        <f t="shared" si="146"/>
        <v>317.03005098025352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9.7702725306212823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9.7702725306212823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306.99999999999994</v>
      </c>
      <c r="BZ163" s="13">
        <f>BY163*VLOOKUP('Données projet'!$B$12,Paramètres!$A$1:$I$89,3,0)*VLOOKUP('Données projet'!$B$12,Paramètres!$A$1:$I$89,5,0)</f>
        <v>311.298</v>
      </c>
      <c r="CA163" s="13">
        <f t="shared" si="170"/>
        <v>73.539838278528748</v>
      </c>
      <c r="CB163" s="20">
        <f t="shared" si="171"/>
        <v>670.25923500177089</v>
      </c>
      <c r="CC163" s="59">
        <f t="shared" si="119"/>
        <v>963.59256833510426</v>
      </c>
      <c r="CD163" s="59">
        <f ca="1">AVERAGE(OFFSET($CC$3,0,0,'Données projet'!$E$12+1,1))-AVERAGE(OFFSET($H$3,0,0,'Données projet'!$E$12+1,1))</f>
        <v>487.18832528146936</v>
      </c>
      <c r="CE163" s="59">
        <f t="shared" si="148"/>
        <v>306.61893266146666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46.011797288226212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46.011797288226212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20.879999999999939</v>
      </c>
      <c r="CU163" s="17">
        <f>CT163*VLOOKUP('Données projet'!$B$13,Paramètres!$A$1:$I$89,3,0)*VLOOKUP('Données projet'!$B$13,Paramètres!$A$1:$I$89,5,0)</f>
        <v>19.86940799999994</v>
      </c>
      <c r="CV163" s="13">
        <f t="shared" si="173"/>
        <v>6.4658893302320672</v>
      </c>
      <c r="CW163" s="20">
        <f t="shared" si="174"/>
        <v>45.86730951682074</v>
      </c>
      <c r="CX163" s="59">
        <f t="shared" si="122"/>
        <v>339.20064285015405</v>
      </c>
      <c r="CY163" s="59">
        <f ca="1">AVERAGE(OFFSET($CX$3,0,0,'Données projet'!$E$13+1,1))-AVERAGE(OFFSET($H$3,0,0,'Données projet'!$E$13+1,1))</f>
        <v>733.95677909788878</v>
      </c>
      <c r="CZ163" s="59">
        <f t="shared" si="150"/>
        <v>264.63778997972378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366.57826848876289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366.57826848876289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853.00000000000011</v>
      </c>
      <c r="O164" s="13">
        <f>N164*VLOOKUP('Données projet'!$B$9,Paramètres!$A$1:$I$89,3,0)*VLOOKUP('Données projet'!$B$9,Paramètres!$A$1:$I$89,5,0)</f>
        <v>399.20400000000006</v>
      </c>
      <c r="P164" s="13">
        <f t="shared" si="141"/>
        <v>91.615269732888521</v>
      </c>
      <c r="Q164" s="20">
        <f t="shared" si="162"/>
        <v>854.8435614514475</v>
      </c>
      <c r="R164" s="59">
        <f t="shared" si="109"/>
        <v>1148.1768947847809</v>
      </c>
      <c r="S164" s="59">
        <f ca="1">AVERAGE(OFFSET($R$3,0,0,'Données projet'!$E$9+1,1))-AVERAGE(OFFSET($H$3,0,0,'Données projet'!$E$9+1,1))</f>
        <v>488.67934252295686</v>
      </c>
      <c r="T164" s="59">
        <f t="shared" si="142"/>
        <v>424.50324471331095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27.865728694781097</v>
      </c>
      <c r="AA164" s="21">
        <f>EXP(-LN(2)/25)*AA163+(1-EXP(-LN(2)/25))/(LN(2)/25)*Calculateur!V164*Calculateur!X164*VLOOKUP('Données projet'!$B$9,Paramètres!$A$1:$I$89,3,0)*0.475*44/12</f>
        <v>1.2962433487591793</v>
      </c>
      <c r="AB164" s="21">
        <f>EXP(-LN(2)/2)*AB163+(1-EXP(-LN(2)/2))/(LN(2)/2)*V164*Y164*VLOOKUP('Données projet'!$B$9,Paramètres!$A$1:$I$89,3,0)*0.475*44/12</f>
        <v>1.5551159581497048E-20</v>
      </c>
      <c r="AC164" s="22">
        <f t="shared" si="163"/>
        <v>29.161972043540278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689</v>
      </c>
      <c r="AJ164" s="13">
        <f>AI164*VLOOKUP('Données projet'!$B$10,Paramètres!$A$1:$I$89,3,0)*VLOOKUP('Données projet'!$B$10,Paramètres!$A$1:$I$89,5,0)</f>
        <v>412.02199999999999</v>
      </c>
      <c r="AK164" s="13">
        <f t="shared" si="164"/>
        <v>94.209724877926391</v>
      </c>
      <c r="AL164" s="20">
        <f t="shared" si="165"/>
        <v>881.686920829055</v>
      </c>
      <c r="AM164" s="59">
        <f t="shared" si="113"/>
        <v>1175.0202541623883</v>
      </c>
      <c r="AN164" s="59">
        <f ca="1">AVERAGE(OFFSET($AM$3,0,0,'Données projet'!$E$10+1,1))-AVERAGE(OFFSET($H$3,0,0,'Données projet'!$E$10+1,1))</f>
        <v>504.81063008331739</v>
      </c>
      <c r="AO164" s="59">
        <f t="shared" si="144"/>
        <v>441.82647565372287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19.678246283453838</v>
      </c>
      <c r="AV164" s="21">
        <f>EXP(-LN(2)/25)*AV163+(1-EXP(-LN(2)/25))/(LN(2)/25)*Calculateur!AQ164*Calculateur!AS164*VLOOKUP('Données projet'!$B$10,Paramètres!$A$1:$I$89,3,0)*0.475*44/12</f>
        <v>1.5579911575192105</v>
      </c>
      <c r="AW164" s="21">
        <f>EXP(-LN(2)/2)*AW163+(1-EXP(-LN(2)/2))/(LN(2)/2)*AQ164*AT164*VLOOKUP('Données projet'!$B$10,Paramètres!$A$1:$I$89,3,0)*0.475*44/12</f>
        <v>1.0036333297380424E-21</v>
      </c>
      <c r="AX164" s="21">
        <f t="shared" si="166"/>
        <v>21.236237440973049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266.99999999999983</v>
      </c>
      <c r="BE164" s="13">
        <f>BD164*VLOOKUP('Données projet'!$B$11,Paramètres!$A$1:$I$89,3,0)*VLOOKUP('Données projet'!$B$11,Paramètres!$A$1:$I$89,5,0)</f>
        <v>233.2511999999999</v>
      </c>
      <c r="BF164" s="13">
        <f t="shared" si="167"/>
        <v>56.985091661350864</v>
      </c>
      <c r="BG164" s="20">
        <f t="shared" si="168"/>
        <v>505.49487464351915</v>
      </c>
      <c r="BH164" s="59">
        <f t="shared" si="116"/>
        <v>798.82820797685247</v>
      </c>
      <c r="BI164" s="59">
        <f ca="1">AVERAGE(OFFSET($BH$3,0,0,'Données projet'!$E$11+1,1))-AVERAGE(OFFSET($H$3,0,0,'Données projet'!$E$11+1,1))</f>
        <v>324.86930206492627</v>
      </c>
      <c r="BJ164" s="59">
        <f t="shared" si="146"/>
        <v>317.03005098025352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9.5786834455736134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9.5786834455736134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306.99999999999994</v>
      </c>
      <c r="BZ164" s="13">
        <f>BY164*VLOOKUP('Données projet'!$B$12,Paramètres!$A$1:$I$89,3,0)*VLOOKUP('Données projet'!$B$12,Paramètres!$A$1:$I$89,5,0)</f>
        <v>311.298</v>
      </c>
      <c r="CA164" s="13">
        <f t="shared" si="170"/>
        <v>73.539838278528748</v>
      </c>
      <c r="CB164" s="20">
        <f t="shared" si="171"/>
        <v>670.25923500177089</v>
      </c>
      <c r="CC164" s="59">
        <f t="shared" si="119"/>
        <v>963.59256833510426</v>
      </c>
      <c r="CD164" s="59">
        <f ca="1">AVERAGE(OFFSET($CC$3,0,0,'Données projet'!$E$12+1,1))-AVERAGE(OFFSET($H$3,0,0,'Données projet'!$E$12+1,1))</f>
        <v>487.18832528146936</v>
      </c>
      <c r="CE164" s="59">
        <f t="shared" si="148"/>
        <v>306.61893266146666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45.109534007829311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45.109534007829311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20.879999999999939</v>
      </c>
      <c r="CU164" s="17">
        <f>CT164*VLOOKUP('Données projet'!$B$13,Paramètres!$A$1:$I$89,3,0)*VLOOKUP('Données projet'!$B$13,Paramètres!$A$1:$I$89,5,0)</f>
        <v>19.86940799999994</v>
      </c>
      <c r="CV164" s="13">
        <f t="shared" si="173"/>
        <v>6.4658893302320672</v>
      </c>
      <c r="CW164" s="20">
        <f t="shared" si="174"/>
        <v>45.86730951682074</v>
      </c>
      <c r="CX164" s="59">
        <f t="shared" si="122"/>
        <v>339.20064285015405</v>
      </c>
      <c r="CY164" s="59">
        <f ca="1">AVERAGE(OFFSET($CX$3,0,0,'Données projet'!$E$13+1,1))-AVERAGE(OFFSET($H$3,0,0,'Données projet'!$E$13+1,1))</f>
        <v>733.95677909788878</v>
      </c>
      <c r="CZ164" s="59">
        <f t="shared" si="150"/>
        <v>264.63778997972378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359.38989223436425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359.38989223436425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853.00000000000011</v>
      </c>
      <c r="O165" s="13">
        <f>N165*VLOOKUP('Données projet'!$B$9,Paramètres!$A$1:$I$89,3,0)*VLOOKUP('Données projet'!$B$9,Paramètres!$A$1:$I$89,5,0)</f>
        <v>399.20400000000006</v>
      </c>
      <c r="P165" s="13">
        <f t="shared" si="141"/>
        <v>91.615269732888521</v>
      </c>
      <c r="Q165" s="20">
        <f t="shared" si="162"/>
        <v>854.8435614514475</v>
      </c>
      <c r="R165" s="59">
        <f t="shared" si="109"/>
        <v>1148.1768947847809</v>
      </c>
      <c r="S165" s="59">
        <f ca="1">AVERAGE(OFFSET($R$3,0,0,'Données projet'!$E$9+1,1))-AVERAGE(OFFSET($H$3,0,0,'Données projet'!$E$9+1,1))</f>
        <v>488.67934252295686</v>
      </c>
      <c r="T165" s="59">
        <f t="shared" si="142"/>
        <v>424.50324471331095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27.319298751492688</v>
      </c>
      <c r="AA165" s="21">
        <f>EXP(-LN(2)/25)*AA164+(1-EXP(-LN(2)/25))/(LN(2)/25)*Calculateur!V165*Calculateur!X165*VLOOKUP('Données projet'!$B$9,Paramètres!$A$1:$I$89,3,0)*0.475*44/12</f>
        <v>1.2607975062208845</v>
      </c>
      <c r="AB165" s="21">
        <f>EXP(-LN(2)/2)*AB164+(1-EXP(-LN(2)/2))/(LN(2)/2)*V165*Y165*VLOOKUP('Données projet'!$B$9,Paramètres!$A$1:$I$89,3,0)*0.475*44/12</f>
        <v>1.0996330395390715E-20</v>
      </c>
      <c r="AC165" s="22">
        <f t="shared" si="163"/>
        <v>28.580096257713574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689</v>
      </c>
      <c r="AJ165" s="13">
        <f>AI165*VLOOKUP('Données projet'!$B$10,Paramètres!$A$1:$I$89,3,0)*VLOOKUP('Données projet'!$B$10,Paramètres!$A$1:$I$89,5,0)</f>
        <v>412.02199999999999</v>
      </c>
      <c r="AK165" s="13">
        <f t="shared" si="164"/>
        <v>94.209724877926391</v>
      </c>
      <c r="AL165" s="20">
        <f t="shared" si="165"/>
        <v>881.686920829055</v>
      </c>
      <c r="AM165" s="59">
        <f t="shared" si="113"/>
        <v>1175.0202541623883</v>
      </c>
      <c r="AN165" s="59">
        <f ca="1">AVERAGE(OFFSET($AM$3,0,0,'Données projet'!$E$10+1,1))-AVERAGE(OFFSET($H$3,0,0,'Données projet'!$E$10+1,1))</f>
        <v>504.81063008331739</v>
      </c>
      <c r="AO165" s="59">
        <f t="shared" si="144"/>
        <v>441.82647565372287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19.292367876380389</v>
      </c>
      <c r="AV165" s="21">
        <f>EXP(-LN(2)/25)*AV164+(1-EXP(-LN(2)/25))/(LN(2)/25)*Calculateur!AQ165*Calculateur!AS165*VLOOKUP('Données projet'!$B$10,Paramètres!$A$1:$I$89,3,0)*0.475*44/12</f>
        <v>1.5153878073856535</v>
      </c>
      <c r="AW165" s="21">
        <f>EXP(-LN(2)/2)*AW164+(1-EXP(-LN(2)/2))/(LN(2)/2)*AQ165*AT165*VLOOKUP('Données projet'!$B$10,Paramètres!$A$1:$I$89,3,0)*0.475*44/12</f>
        <v>7.0967593328260408E-22</v>
      </c>
      <c r="AX165" s="21">
        <f t="shared" si="166"/>
        <v>20.807755683766043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266.99999999999983</v>
      </c>
      <c r="BE165" s="13">
        <f>BD165*VLOOKUP('Données projet'!$B$11,Paramètres!$A$1:$I$89,3,0)*VLOOKUP('Données projet'!$B$11,Paramètres!$A$1:$I$89,5,0)</f>
        <v>233.2511999999999</v>
      </c>
      <c r="BF165" s="13">
        <f t="shared" si="167"/>
        <v>56.985091661350864</v>
      </c>
      <c r="BG165" s="20">
        <f t="shared" si="168"/>
        <v>505.49487464351915</v>
      </c>
      <c r="BH165" s="59">
        <f t="shared" si="116"/>
        <v>798.82820797685247</v>
      </c>
      <c r="BI165" s="59">
        <f ca="1">AVERAGE(OFFSET($BH$3,0,0,'Données projet'!$E$11+1,1))-AVERAGE(OFFSET($H$3,0,0,'Données projet'!$E$11+1,1))</f>
        <v>324.86930206492627</v>
      </c>
      <c r="BJ165" s="59">
        <f t="shared" si="146"/>
        <v>317.03005098025352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9.390851305625926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9.390851305625926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306.99999999999994</v>
      </c>
      <c r="BZ165" s="13">
        <f>BY165*VLOOKUP('Données projet'!$B$12,Paramètres!$A$1:$I$89,3,0)*VLOOKUP('Données projet'!$B$12,Paramètres!$A$1:$I$89,5,0)</f>
        <v>311.298</v>
      </c>
      <c r="CA165" s="13">
        <f t="shared" si="170"/>
        <v>73.539838278528748</v>
      </c>
      <c r="CB165" s="20">
        <f t="shared" si="171"/>
        <v>670.25923500177089</v>
      </c>
      <c r="CC165" s="59">
        <f t="shared" si="119"/>
        <v>963.59256833510426</v>
      </c>
      <c r="CD165" s="59">
        <f ca="1">AVERAGE(OFFSET($CC$3,0,0,'Données projet'!$E$12+1,1))-AVERAGE(OFFSET($H$3,0,0,'Données projet'!$E$12+1,1))</f>
        <v>487.18832528146936</v>
      </c>
      <c r="CE165" s="59">
        <f t="shared" si="148"/>
        <v>306.61893266146666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44.22496356003473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44.22496356003473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20.879999999999939</v>
      </c>
      <c r="CU165" s="17">
        <f>CT165*VLOOKUP('Données projet'!$B$13,Paramètres!$A$1:$I$89,3,0)*VLOOKUP('Données projet'!$B$13,Paramètres!$A$1:$I$89,5,0)</f>
        <v>19.86940799999994</v>
      </c>
      <c r="CV165" s="13">
        <f t="shared" si="173"/>
        <v>6.4658893302320672</v>
      </c>
      <c r="CW165" s="20">
        <f t="shared" si="174"/>
        <v>45.86730951682074</v>
      </c>
      <c r="CX165" s="59">
        <f t="shared" si="122"/>
        <v>339.20064285015405</v>
      </c>
      <c r="CY165" s="59">
        <f ca="1">AVERAGE(OFFSET($CX$3,0,0,'Données projet'!$E$13+1,1))-AVERAGE(OFFSET($H$3,0,0,'Données projet'!$E$13+1,1))</f>
        <v>733.95677909788878</v>
      </c>
      <c r="CZ165" s="59">
        <f t="shared" si="150"/>
        <v>264.63778997972378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352.34247565383782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352.34247565383782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853.00000000000011</v>
      </c>
      <c r="O166" s="13">
        <f>N166*VLOOKUP('Données projet'!$B$9,Paramètres!$A$1:$I$89,3,0)*VLOOKUP('Données projet'!$B$9,Paramètres!$A$1:$I$89,5,0)</f>
        <v>399.20400000000006</v>
      </c>
      <c r="P166" s="13">
        <f t="shared" si="141"/>
        <v>91.615269732888521</v>
      </c>
      <c r="Q166" s="20">
        <f t="shared" si="162"/>
        <v>854.8435614514475</v>
      </c>
      <c r="R166" s="59">
        <f t="shared" si="109"/>
        <v>1148.1768947847809</v>
      </c>
      <c r="S166" s="59">
        <f ca="1">AVERAGE(OFFSET($R$3,0,0,'Données projet'!$E$9+1,1))-AVERAGE(OFFSET($H$3,0,0,'Données projet'!$E$9+1,1))</f>
        <v>488.67934252295686</v>
      </c>
      <c r="T166" s="59">
        <f t="shared" si="142"/>
        <v>424.50324471331095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26.783583966102807</v>
      </c>
      <c r="AA166" s="21">
        <f>EXP(-LN(2)/25)*AA165+(1-EXP(-LN(2)/25))/(LN(2)/25)*Calculateur!V166*Calculateur!X166*VLOOKUP('Données projet'!$B$9,Paramètres!$A$1:$I$89,3,0)*0.475*44/12</f>
        <v>1.2263209321108151</v>
      </c>
      <c r="AB166" s="21">
        <f>EXP(-LN(2)/2)*AB165+(1-EXP(-LN(2)/2))/(LN(2)/2)*V166*Y166*VLOOKUP('Données projet'!$B$9,Paramètres!$A$1:$I$89,3,0)*0.475*44/12</f>
        <v>7.7755797907485239E-21</v>
      </c>
      <c r="AC166" s="22">
        <f t="shared" si="163"/>
        <v>28.009904898213623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689</v>
      </c>
      <c r="AJ166" s="13">
        <f>AI166*VLOOKUP('Données projet'!$B$10,Paramètres!$A$1:$I$89,3,0)*VLOOKUP('Données projet'!$B$10,Paramètres!$A$1:$I$89,5,0)</f>
        <v>412.02199999999999</v>
      </c>
      <c r="AK166" s="13">
        <f t="shared" si="164"/>
        <v>94.209724877926391</v>
      </c>
      <c r="AL166" s="20">
        <f t="shared" si="165"/>
        <v>881.686920829055</v>
      </c>
      <c r="AM166" s="59">
        <f t="shared" si="113"/>
        <v>1175.0202541623883</v>
      </c>
      <c r="AN166" s="59">
        <f ca="1">AVERAGE(OFFSET($AM$3,0,0,'Données projet'!$E$10+1,1))-AVERAGE(OFFSET($H$3,0,0,'Données projet'!$E$10+1,1))</f>
        <v>504.81063008331739</v>
      </c>
      <c r="AO166" s="59">
        <f t="shared" si="144"/>
        <v>441.82647565372287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18.91405630950706</v>
      </c>
      <c r="AV166" s="21">
        <f>EXP(-LN(2)/25)*AV165+(1-EXP(-LN(2)/25))/(LN(2)/25)*Calculateur!AQ166*Calculateur!AS166*VLOOKUP('Données projet'!$B$10,Paramètres!$A$1:$I$89,3,0)*0.475*44/12</f>
        <v>1.4739494481019115</v>
      </c>
      <c r="AW166" s="21">
        <f>EXP(-LN(2)/2)*AW165+(1-EXP(-LN(2)/2))/(LN(2)/2)*AQ166*AT166*VLOOKUP('Données projet'!$B$10,Paramètres!$A$1:$I$89,3,0)*0.475*44/12</f>
        <v>5.0181666486902122E-22</v>
      </c>
      <c r="AX166" s="21">
        <f t="shared" si="166"/>
        <v>20.388005757608973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266.99999999999983</v>
      </c>
      <c r="BE166" s="13">
        <f>BD166*VLOOKUP('Données projet'!$B$11,Paramètres!$A$1:$I$89,3,0)*VLOOKUP('Données projet'!$B$11,Paramètres!$A$1:$I$89,5,0)</f>
        <v>233.2511999999999</v>
      </c>
      <c r="BF166" s="13">
        <f t="shared" si="167"/>
        <v>56.985091661350864</v>
      </c>
      <c r="BG166" s="20">
        <f t="shared" si="168"/>
        <v>505.49487464351915</v>
      </c>
      <c r="BH166" s="59">
        <f t="shared" si="116"/>
        <v>798.82820797685247</v>
      </c>
      <c r="BI166" s="59">
        <f ca="1">AVERAGE(OFFSET($BH$3,0,0,'Données projet'!$E$11+1,1))-AVERAGE(OFFSET($H$3,0,0,'Données projet'!$E$11+1,1))</f>
        <v>324.86930206492627</v>
      </c>
      <c r="BJ166" s="59">
        <f t="shared" si="146"/>
        <v>317.03005098025352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9.2067024393763202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9.2067024393763202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306.99999999999994</v>
      </c>
      <c r="BZ166" s="13">
        <f>BY166*VLOOKUP('Données projet'!$B$12,Paramètres!$A$1:$I$89,3,0)*VLOOKUP('Données projet'!$B$12,Paramètres!$A$1:$I$89,5,0)</f>
        <v>311.298</v>
      </c>
      <c r="CA166" s="13">
        <f t="shared" si="170"/>
        <v>73.539838278528748</v>
      </c>
      <c r="CB166" s="20">
        <f t="shared" si="171"/>
        <v>670.25923500177089</v>
      </c>
      <c r="CC166" s="59">
        <f t="shared" si="119"/>
        <v>963.59256833510426</v>
      </c>
      <c r="CD166" s="59">
        <f ca="1">AVERAGE(OFFSET($CC$3,0,0,'Données projet'!$E$12+1,1))-AVERAGE(OFFSET($H$3,0,0,'Données projet'!$E$12+1,1))</f>
        <v>487.18832528146936</v>
      </c>
      <c r="CE166" s="59">
        <f t="shared" si="148"/>
        <v>306.61893266146666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43.357738999186701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43.357738999186701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20.879999999999939</v>
      </c>
      <c r="CU166" s="17">
        <f>CT166*VLOOKUP('Données projet'!$B$13,Paramètres!$A$1:$I$89,3,0)*VLOOKUP('Données projet'!$B$13,Paramètres!$A$1:$I$89,5,0)</f>
        <v>19.86940799999994</v>
      </c>
      <c r="CV166" s="13">
        <f t="shared" si="173"/>
        <v>6.4658893302320672</v>
      </c>
      <c r="CW166" s="20">
        <f t="shared" si="174"/>
        <v>45.86730951682074</v>
      </c>
      <c r="CX166" s="59">
        <f t="shared" si="122"/>
        <v>339.20064285015405</v>
      </c>
      <c r="CY166" s="59">
        <f ca="1">AVERAGE(OFFSET($CX$3,0,0,'Données projet'!$E$13+1,1))-AVERAGE(OFFSET($H$3,0,0,'Données projet'!$E$13+1,1))</f>
        <v>733.95677909788878</v>
      </c>
      <c r="CZ166" s="59">
        <f t="shared" si="150"/>
        <v>264.63778997972378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345.43325461395585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345.43325461395585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853.00000000000011</v>
      </c>
      <c r="O167" s="13">
        <f>N167*VLOOKUP('Données projet'!$B$9,Paramètres!$A$1:$I$89,3,0)*VLOOKUP('Données projet'!$B$9,Paramètres!$A$1:$I$89,5,0)</f>
        <v>399.20400000000006</v>
      </c>
      <c r="P167" s="13">
        <f t="shared" si="141"/>
        <v>91.615269732888521</v>
      </c>
      <c r="Q167" s="20">
        <f t="shared" si="162"/>
        <v>854.8435614514475</v>
      </c>
      <c r="R167" s="59">
        <f t="shared" si="109"/>
        <v>1148.1768947847809</v>
      </c>
      <c r="S167" s="59">
        <f ca="1">AVERAGE(OFFSET($R$3,0,0,'Données projet'!$E$9+1,1))-AVERAGE(OFFSET($H$3,0,0,'Données projet'!$E$9+1,1))</f>
        <v>488.67934252295686</v>
      </c>
      <c r="T167" s="59">
        <f t="shared" si="142"/>
        <v>424.50324471331095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26.258374220900667</v>
      </c>
      <c r="AA167" s="21">
        <f>EXP(-LN(2)/25)*AA166+(1-EXP(-LN(2)/25))/(LN(2)/25)*Calculateur!V167*Calculateur!X167*VLOOKUP('Données projet'!$B$9,Paramètres!$A$1:$I$89,3,0)*0.475*44/12</f>
        <v>1.1927871217328299</v>
      </c>
      <c r="AB167" s="21">
        <f>EXP(-LN(2)/2)*AB166+(1-EXP(-LN(2)/2))/(LN(2)/2)*V167*Y167*VLOOKUP('Données projet'!$B$9,Paramètres!$A$1:$I$89,3,0)*0.475*44/12</f>
        <v>5.4981651976953576E-21</v>
      </c>
      <c r="AC167" s="22">
        <f t="shared" si="163"/>
        <v>27.451161342633497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689</v>
      </c>
      <c r="AJ167" s="13">
        <f>AI167*VLOOKUP('Données projet'!$B$10,Paramètres!$A$1:$I$89,3,0)*VLOOKUP('Données projet'!$B$10,Paramètres!$A$1:$I$89,5,0)</f>
        <v>412.02199999999999</v>
      </c>
      <c r="AK167" s="13">
        <f t="shared" si="164"/>
        <v>94.209724877926391</v>
      </c>
      <c r="AL167" s="20">
        <f t="shared" si="165"/>
        <v>881.686920829055</v>
      </c>
      <c r="AM167" s="59">
        <f t="shared" si="113"/>
        <v>1175.0202541623883</v>
      </c>
      <c r="AN167" s="59">
        <f ca="1">AVERAGE(OFFSET($AM$3,0,0,'Données projet'!$E$10+1,1))-AVERAGE(OFFSET($H$3,0,0,'Données projet'!$E$10+1,1))</f>
        <v>504.81063008331739</v>
      </c>
      <c r="AO167" s="59">
        <f t="shared" si="144"/>
        <v>441.82647565372287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18.543163201712847</v>
      </c>
      <c r="AV167" s="21">
        <f>EXP(-LN(2)/25)*AV166+(1-EXP(-LN(2)/25))/(LN(2)/25)*Calculateur!AQ167*Calculateur!AS167*VLOOKUP('Données projet'!$B$10,Paramètres!$A$1:$I$89,3,0)*0.475*44/12</f>
        <v>1.4336442229319319</v>
      </c>
      <c r="AW167" s="21">
        <f>EXP(-LN(2)/2)*AW166+(1-EXP(-LN(2)/2))/(LN(2)/2)*AQ167*AT167*VLOOKUP('Données projet'!$B$10,Paramètres!$A$1:$I$89,3,0)*0.475*44/12</f>
        <v>3.5483796664130204E-22</v>
      </c>
      <c r="AX167" s="21">
        <f t="shared" si="166"/>
        <v>19.976807424644779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266.99999999999983</v>
      </c>
      <c r="BE167" s="13">
        <f>BD167*VLOOKUP('Données projet'!$B$11,Paramètres!$A$1:$I$89,3,0)*VLOOKUP('Données projet'!$B$11,Paramètres!$A$1:$I$89,5,0)</f>
        <v>233.2511999999999</v>
      </c>
      <c r="BF167" s="13">
        <f t="shared" si="167"/>
        <v>56.985091661350864</v>
      </c>
      <c r="BG167" s="20">
        <f t="shared" si="168"/>
        <v>505.49487464351915</v>
      </c>
      <c r="BH167" s="59">
        <f t="shared" si="116"/>
        <v>798.82820797685247</v>
      </c>
      <c r="BI167" s="59">
        <f ca="1">AVERAGE(OFFSET($BH$3,0,0,'Données projet'!$E$11+1,1))-AVERAGE(OFFSET($H$3,0,0,'Données projet'!$E$11+1,1))</f>
        <v>324.86930206492627</v>
      </c>
      <c r="BJ167" s="59">
        <f t="shared" si="146"/>
        <v>317.03005098025352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9.0261646200741499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9.0261646200741499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306.99999999999994</v>
      </c>
      <c r="BZ167" s="13">
        <f>BY167*VLOOKUP('Données projet'!$B$12,Paramètres!$A$1:$I$89,3,0)*VLOOKUP('Données projet'!$B$12,Paramètres!$A$1:$I$89,5,0)</f>
        <v>311.298</v>
      </c>
      <c r="CA167" s="13">
        <f t="shared" si="170"/>
        <v>73.539838278528748</v>
      </c>
      <c r="CB167" s="20">
        <f t="shared" si="171"/>
        <v>670.25923500177089</v>
      </c>
      <c r="CC167" s="59">
        <f t="shared" si="119"/>
        <v>963.59256833510426</v>
      </c>
      <c r="CD167" s="59">
        <f ca="1">AVERAGE(OFFSET($CC$3,0,0,'Données projet'!$E$12+1,1))-AVERAGE(OFFSET($H$3,0,0,'Données projet'!$E$12+1,1))</f>
        <v>487.18832528146936</v>
      </c>
      <c r="CE167" s="59">
        <f t="shared" si="148"/>
        <v>306.61893266146666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42.507520183022152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42.507520183022152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20.879999999999939</v>
      </c>
      <c r="CU167" s="17">
        <f>CT167*VLOOKUP('Données projet'!$B$13,Paramètres!$A$1:$I$89,3,0)*VLOOKUP('Données projet'!$B$13,Paramètres!$A$1:$I$89,5,0)</f>
        <v>19.86940799999994</v>
      </c>
      <c r="CV167" s="13">
        <f t="shared" si="173"/>
        <v>6.4658893302320672</v>
      </c>
      <c r="CW167" s="20">
        <f t="shared" si="174"/>
        <v>45.86730951682074</v>
      </c>
      <c r="CX167" s="59">
        <f t="shared" si="122"/>
        <v>339.20064285015405</v>
      </c>
      <c r="CY167" s="59">
        <f ca="1">AVERAGE(OFFSET($CX$3,0,0,'Données projet'!$E$13+1,1))-AVERAGE(OFFSET($H$3,0,0,'Données projet'!$E$13+1,1))</f>
        <v>733.95677909788878</v>
      </c>
      <c r="CZ167" s="59">
        <f t="shared" si="150"/>
        <v>264.63778997972378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338.65951918445722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338.65951918445722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853.00000000000011</v>
      </c>
      <c r="O168" s="13">
        <f>N168*VLOOKUP('Données projet'!$B$9,Paramètres!$A$1:$I$89,3,0)*VLOOKUP('Données projet'!$B$9,Paramètres!$A$1:$I$89,5,0)</f>
        <v>399.20400000000006</v>
      </c>
      <c r="P168" s="13">
        <f t="shared" si="141"/>
        <v>91.615269732888521</v>
      </c>
      <c r="Q168" s="20">
        <f t="shared" si="162"/>
        <v>854.8435614514475</v>
      </c>
      <c r="R168" s="59">
        <f t="shared" si="109"/>
        <v>1148.1768947847809</v>
      </c>
      <c r="S168" s="59">
        <f ca="1">AVERAGE(OFFSET($R$3,0,0,'Données projet'!$E$9+1,1))-AVERAGE(OFFSET($H$3,0,0,'Données projet'!$E$9+1,1))</f>
        <v>488.67934252295686</v>
      </c>
      <c r="T168" s="59">
        <f t="shared" si="142"/>
        <v>424.50324471331095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25.743463518455627</v>
      </c>
      <c r="AA168" s="21">
        <f>EXP(-LN(2)/25)*AA167+(1-EXP(-LN(2)/25))/(LN(2)/25)*Calculateur!V168*Calculateur!X168*VLOOKUP('Données projet'!$B$9,Paramètres!$A$1:$I$89,3,0)*0.475*44/12</f>
        <v>1.160170295163097</v>
      </c>
      <c r="AB168" s="21">
        <f>EXP(-LN(2)/2)*AB167+(1-EXP(-LN(2)/2))/(LN(2)/2)*V168*Y168*VLOOKUP('Données projet'!$B$9,Paramètres!$A$1:$I$89,3,0)*0.475*44/12</f>
        <v>3.887789895374262E-21</v>
      </c>
      <c r="AC168" s="22">
        <f t="shared" si="163"/>
        <v>26.903633813618725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689</v>
      </c>
      <c r="AJ168" s="13">
        <f>AI168*VLOOKUP('Données projet'!$B$10,Paramètres!$A$1:$I$89,3,0)*VLOOKUP('Données projet'!$B$10,Paramètres!$A$1:$I$89,5,0)</f>
        <v>412.02199999999999</v>
      </c>
      <c r="AK168" s="13">
        <f t="shared" si="164"/>
        <v>94.209724877926391</v>
      </c>
      <c r="AL168" s="20">
        <f t="shared" si="165"/>
        <v>881.686920829055</v>
      </c>
      <c r="AM168" s="59">
        <f t="shared" si="113"/>
        <v>1175.0202541623883</v>
      </c>
      <c r="AN168" s="59">
        <f ca="1">AVERAGE(OFFSET($AM$3,0,0,'Données projet'!$E$10+1,1))-AVERAGE(OFFSET($H$3,0,0,'Données projet'!$E$10+1,1))</f>
        <v>504.81063008331739</v>
      </c>
      <c r="AO168" s="59">
        <f t="shared" si="144"/>
        <v>441.82647565372287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18.179543081540022</v>
      </c>
      <c r="AV168" s="21">
        <f>EXP(-LN(2)/25)*AV167+(1-EXP(-LN(2)/25))/(LN(2)/25)*Calculateur!AQ168*Calculateur!AS168*VLOOKUP('Données projet'!$B$10,Paramètres!$A$1:$I$89,3,0)*0.475*44/12</f>
        <v>1.3944411462637851</v>
      </c>
      <c r="AW168" s="21">
        <f>EXP(-LN(2)/2)*AW167+(1-EXP(-LN(2)/2))/(LN(2)/2)*AQ168*AT168*VLOOKUP('Données projet'!$B$10,Paramètres!$A$1:$I$89,3,0)*0.475*44/12</f>
        <v>2.5090833243451061E-22</v>
      </c>
      <c r="AX168" s="21">
        <f t="shared" si="166"/>
        <v>19.573984227803805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266.99999999999983</v>
      </c>
      <c r="BE168" s="13">
        <f>BD168*VLOOKUP('Données projet'!$B$11,Paramètres!$A$1:$I$89,3,0)*VLOOKUP('Données projet'!$B$11,Paramètres!$A$1:$I$89,5,0)</f>
        <v>233.2511999999999</v>
      </c>
      <c r="BF168" s="13">
        <f t="shared" si="167"/>
        <v>56.985091661350864</v>
      </c>
      <c r="BG168" s="20">
        <f t="shared" si="168"/>
        <v>505.49487464351915</v>
      </c>
      <c r="BH168" s="59">
        <f t="shared" si="116"/>
        <v>798.82820797685247</v>
      </c>
      <c r="BI168" s="59">
        <f ca="1">AVERAGE(OFFSET($BH$3,0,0,'Données projet'!$E$11+1,1))-AVERAGE(OFFSET($H$3,0,0,'Données projet'!$E$11+1,1))</f>
        <v>324.86930206492627</v>
      </c>
      <c r="BJ168" s="59">
        <f t="shared" si="146"/>
        <v>317.03005098025352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8.8491670372912985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8.8491670372912985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306.99999999999994</v>
      </c>
      <c r="BZ168" s="13">
        <f>BY168*VLOOKUP('Données projet'!$B$12,Paramètres!$A$1:$I$89,3,0)*VLOOKUP('Données projet'!$B$12,Paramètres!$A$1:$I$89,5,0)</f>
        <v>311.298</v>
      </c>
      <c r="CA168" s="13">
        <f t="shared" si="170"/>
        <v>73.539838278528748</v>
      </c>
      <c r="CB168" s="20">
        <f t="shared" si="171"/>
        <v>670.25923500177089</v>
      </c>
      <c r="CC168" s="59">
        <f t="shared" si="119"/>
        <v>963.59256833510426</v>
      </c>
      <c r="CD168" s="59">
        <f ca="1">AVERAGE(OFFSET($CC$3,0,0,'Données projet'!$E$12+1,1))-AVERAGE(OFFSET($H$3,0,0,'Données projet'!$E$12+1,1))</f>
        <v>487.18832528146936</v>
      </c>
      <c r="CE168" s="59">
        <f t="shared" si="148"/>
        <v>306.61893266146666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41.673973639260318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41.673973639260318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20.879999999999939</v>
      </c>
      <c r="CU168" s="17">
        <f>CT168*VLOOKUP('Données projet'!$B$13,Paramètres!$A$1:$I$89,3,0)*VLOOKUP('Données projet'!$B$13,Paramètres!$A$1:$I$89,5,0)</f>
        <v>19.86940799999994</v>
      </c>
      <c r="CV168" s="13">
        <f t="shared" si="173"/>
        <v>6.4658893302320672</v>
      </c>
      <c r="CW168" s="20">
        <f t="shared" si="174"/>
        <v>45.86730951682074</v>
      </c>
      <c r="CX168" s="59">
        <f t="shared" si="122"/>
        <v>339.20064285015405</v>
      </c>
      <c r="CY168" s="59">
        <f ca="1">AVERAGE(OFFSET($CX$3,0,0,'Données projet'!$E$13+1,1))-AVERAGE(OFFSET($H$3,0,0,'Données projet'!$E$13+1,1))</f>
        <v>733.95677909788878</v>
      </c>
      <c r="CZ168" s="59">
        <f t="shared" si="150"/>
        <v>264.63778997972378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332.01861257516043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332.01861257516043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853.00000000000011</v>
      </c>
      <c r="O169" s="13">
        <f>N169*VLOOKUP('Données projet'!$B$9,Paramètres!$A$1:$I$89,3,0)*VLOOKUP('Données projet'!$B$9,Paramètres!$A$1:$I$89,5,0)</f>
        <v>399.20400000000006</v>
      </c>
      <c r="P169" s="13">
        <f t="shared" si="141"/>
        <v>91.615269732888521</v>
      </c>
      <c r="Q169" s="20">
        <f t="shared" si="162"/>
        <v>854.8435614514475</v>
      </c>
      <c r="R169" s="59">
        <f t="shared" si="109"/>
        <v>1148.1768947847809</v>
      </c>
      <c r="S169" s="59">
        <f ca="1">AVERAGE(OFFSET($R$3,0,0,'Données projet'!$E$9+1,1))-AVERAGE(OFFSET($H$3,0,0,'Données projet'!$E$9+1,1))</f>
        <v>488.67934252295686</v>
      </c>
      <c r="T169" s="59">
        <f t="shared" si="142"/>
        <v>424.50324471331095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25.23864990082102</v>
      </c>
      <c r="AA169" s="21">
        <f>EXP(-LN(2)/25)*AA168+(1-EXP(-LN(2)/25))/(LN(2)/25)*Calculateur!V169*Calculateur!X169*VLOOKUP('Données projet'!$B$9,Paramètres!$A$1:$I$89,3,0)*0.475*44/12</f>
        <v>1.1284453774311578</v>
      </c>
      <c r="AB169" s="21">
        <f>EXP(-LN(2)/2)*AB168+(1-EXP(-LN(2)/2))/(LN(2)/2)*V169*Y169*VLOOKUP('Données projet'!$B$9,Paramètres!$A$1:$I$89,3,0)*0.475*44/12</f>
        <v>2.7490825988476788E-21</v>
      </c>
      <c r="AC169" s="22">
        <f t="shared" si="163"/>
        <v>26.367095278252179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689</v>
      </c>
      <c r="AJ169" s="13">
        <f>AI169*VLOOKUP('Données projet'!$B$10,Paramètres!$A$1:$I$89,3,0)*VLOOKUP('Données projet'!$B$10,Paramètres!$A$1:$I$89,5,0)</f>
        <v>412.02199999999999</v>
      </c>
      <c r="AK169" s="13">
        <f t="shared" si="164"/>
        <v>94.209724877926391</v>
      </c>
      <c r="AL169" s="20">
        <f t="shared" si="165"/>
        <v>881.686920829055</v>
      </c>
      <c r="AM169" s="59">
        <f t="shared" si="113"/>
        <v>1175.0202541623883</v>
      </c>
      <c r="AN169" s="59">
        <f ca="1">AVERAGE(OFFSET($AM$3,0,0,'Données projet'!$E$10+1,1))-AVERAGE(OFFSET($H$3,0,0,'Données projet'!$E$10+1,1))</f>
        <v>504.81063008331739</v>
      </c>
      <c r="AO169" s="59">
        <f t="shared" si="144"/>
        <v>441.82647565372287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17.823053330137409</v>
      </c>
      <c r="AV169" s="21">
        <f>EXP(-LN(2)/25)*AV168+(1-EXP(-LN(2)/25))/(LN(2)/25)*Calculateur!AQ169*Calculateur!AS169*VLOOKUP('Données projet'!$B$10,Paramètres!$A$1:$I$89,3,0)*0.475*44/12</f>
        <v>1.3563100797887291</v>
      </c>
      <c r="AW169" s="21">
        <f>EXP(-LN(2)/2)*AW168+(1-EXP(-LN(2)/2))/(LN(2)/2)*AQ169*AT169*VLOOKUP('Données projet'!$B$10,Paramètres!$A$1:$I$89,3,0)*0.475*44/12</f>
        <v>1.7741898332065102E-22</v>
      </c>
      <c r="AX169" s="21">
        <f t="shared" si="166"/>
        <v>19.17936340992614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266.99999999999983</v>
      </c>
      <c r="BE169" s="13">
        <f>BD169*VLOOKUP('Données projet'!$B$11,Paramètres!$A$1:$I$89,3,0)*VLOOKUP('Données projet'!$B$11,Paramètres!$A$1:$I$89,5,0)</f>
        <v>233.2511999999999</v>
      </c>
      <c r="BF169" s="13">
        <f t="shared" si="167"/>
        <v>56.985091661350864</v>
      </c>
      <c r="BG169" s="20">
        <f t="shared" si="168"/>
        <v>505.49487464351915</v>
      </c>
      <c r="BH169" s="59">
        <f t="shared" si="116"/>
        <v>798.82820797685247</v>
      </c>
      <c r="BI169" s="59">
        <f ca="1">AVERAGE(OFFSET($BH$3,0,0,'Données projet'!$E$11+1,1))-AVERAGE(OFFSET($H$3,0,0,'Données projet'!$E$11+1,1))</f>
        <v>324.86930206492627</v>
      </c>
      <c r="BJ169" s="59">
        <f t="shared" si="146"/>
        <v>317.03005098025352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8.6756402691489534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8.6756402691489534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306.99999999999994</v>
      </c>
      <c r="BZ169" s="13">
        <f>BY169*VLOOKUP('Données projet'!$B$12,Paramètres!$A$1:$I$89,3,0)*VLOOKUP('Données projet'!$B$12,Paramètres!$A$1:$I$89,5,0)</f>
        <v>311.298</v>
      </c>
      <c r="CA169" s="13">
        <f t="shared" si="170"/>
        <v>73.539838278528748</v>
      </c>
      <c r="CB169" s="20">
        <f t="shared" si="171"/>
        <v>670.25923500177089</v>
      </c>
      <c r="CC169" s="59">
        <f t="shared" si="119"/>
        <v>963.59256833510426</v>
      </c>
      <c r="CD169" s="59">
        <f ca="1">AVERAGE(OFFSET($CC$3,0,0,'Données projet'!$E$12+1,1))-AVERAGE(OFFSET($H$3,0,0,'Données projet'!$E$12+1,1))</f>
        <v>487.18832528146936</v>
      </c>
      <c r="CE169" s="59">
        <f t="shared" si="148"/>
        <v>306.61893266146666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40.856772434808462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40.856772434808462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20.879999999999939</v>
      </c>
      <c r="CU169" s="17">
        <f>CT169*VLOOKUP('Données projet'!$B$13,Paramètres!$A$1:$I$89,3,0)*VLOOKUP('Données projet'!$B$13,Paramètres!$A$1:$I$89,5,0)</f>
        <v>19.86940799999994</v>
      </c>
      <c r="CV169" s="13">
        <f t="shared" si="173"/>
        <v>6.4658893302320672</v>
      </c>
      <c r="CW169" s="20">
        <f t="shared" si="174"/>
        <v>45.86730951682074</v>
      </c>
      <c r="CX169" s="59">
        <f t="shared" si="122"/>
        <v>339.20064285015405</v>
      </c>
      <c r="CY169" s="59">
        <f ca="1">AVERAGE(OFFSET($CX$3,0,0,'Données projet'!$E$13+1,1))-AVERAGE(OFFSET($H$3,0,0,'Données projet'!$E$13+1,1))</f>
        <v>733.95677909788878</v>
      </c>
      <c r="CZ169" s="59">
        <f t="shared" si="150"/>
        <v>264.63778997972378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325.50793009391884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325.50793009391884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853.00000000000011</v>
      </c>
      <c r="O170" s="13">
        <f>N170*VLOOKUP('Données projet'!$B$9,Paramètres!$A$1:$I$89,3,0)*VLOOKUP('Données projet'!$B$9,Paramètres!$A$1:$I$89,5,0)</f>
        <v>399.20400000000006</v>
      </c>
      <c r="P170" s="13">
        <f t="shared" si="141"/>
        <v>91.615269732888521</v>
      </c>
      <c r="Q170" s="20">
        <f t="shared" si="162"/>
        <v>854.8435614514475</v>
      </c>
      <c r="R170" s="59">
        <f t="shared" si="109"/>
        <v>1148.1768947847809</v>
      </c>
      <c r="S170" s="59">
        <f ca="1">AVERAGE(OFFSET($R$3,0,0,'Données projet'!$E$9+1,1))-AVERAGE(OFFSET($H$3,0,0,'Données projet'!$E$9+1,1))</f>
        <v>488.67934252295686</v>
      </c>
      <c r="T170" s="59">
        <f t="shared" si="142"/>
        <v>424.50324471331095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24.743735370322323</v>
      </c>
      <c r="AA170" s="21">
        <f>EXP(-LN(2)/25)*AA169+(1-EXP(-LN(2)/25))/(LN(2)/25)*Calculateur!V170*Calculateur!X170*VLOOKUP('Données projet'!$B$9,Paramètres!$A$1:$I$89,3,0)*0.475*44/12</f>
        <v>1.0975879792429395</v>
      </c>
      <c r="AB170" s="21">
        <f>EXP(-LN(2)/2)*AB169+(1-EXP(-LN(2)/2))/(LN(2)/2)*V170*Y170*VLOOKUP('Données projet'!$B$9,Paramètres!$A$1:$I$89,3,0)*0.475*44/12</f>
        <v>1.943894947687131E-21</v>
      </c>
      <c r="AC170" s="22">
        <f t="shared" si="163"/>
        <v>25.841323349565261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689</v>
      </c>
      <c r="AJ170" s="13">
        <f>AI170*VLOOKUP('Données projet'!$B$10,Paramètres!$A$1:$I$89,3,0)*VLOOKUP('Données projet'!$B$10,Paramètres!$A$1:$I$89,5,0)</f>
        <v>412.02199999999999</v>
      </c>
      <c r="AK170" s="13">
        <f t="shared" si="164"/>
        <v>94.209724877926391</v>
      </c>
      <c r="AL170" s="20">
        <f t="shared" si="165"/>
        <v>881.686920829055</v>
      </c>
      <c r="AM170" s="59">
        <f t="shared" si="113"/>
        <v>1175.0202541623883</v>
      </c>
      <c r="AN170" s="59">
        <f ca="1">AVERAGE(OFFSET($AM$3,0,0,'Données projet'!$E$10+1,1))-AVERAGE(OFFSET($H$3,0,0,'Données projet'!$E$10+1,1))</f>
        <v>504.81063008331739</v>
      </c>
      <c r="AO170" s="59">
        <f t="shared" si="144"/>
        <v>441.82647565372287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17.473554125322526</v>
      </c>
      <c r="AV170" s="21">
        <f>EXP(-LN(2)/25)*AV169+(1-EXP(-LN(2)/25))/(LN(2)/25)*Calculateur!AQ170*Calculateur!AS170*VLOOKUP('Données projet'!$B$10,Paramètres!$A$1:$I$89,3,0)*0.475*44/12</f>
        <v>1.3192217093316592</v>
      </c>
      <c r="AW170" s="21">
        <f>EXP(-LN(2)/2)*AW169+(1-EXP(-LN(2)/2))/(LN(2)/2)*AQ170*AT170*VLOOKUP('Données projet'!$B$10,Paramètres!$A$1:$I$89,3,0)*0.475*44/12</f>
        <v>1.254541662172553E-22</v>
      </c>
      <c r="AX170" s="21">
        <f t="shared" si="166"/>
        <v>18.792775834654186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266.99999999999983</v>
      </c>
      <c r="BE170" s="13">
        <f>BD170*VLOOKUP('Données projet'!$B$11,Paramètres!$A$1:$I$89,3,0)*VLOOKUP('Données projet'!$B$11,Paramètres!$A$1:$I$89,5,0)</f>
        <v>233.2511999999999</v>
      </c>
      <c r="BF170" s="13">
        <f t="shared" si="167"/>
        <v>56.985091661350864</v>
      </c>
      <c r="BG170" s="20">
        <f t="shared" si="168"/>
        <v>505.49487464351915</v>
      </c>
      <c r="BH170" s="59">
        <f t="shared" si="116"/>
        <v>798.82820797685247</v>
      </c>
      <c r="BI170" s="59">
        <f ca="1">AVERAGE(OFFSET($BH$3,0,0,'Données projet'!$E$11+1,1))-AVERAGE(OFFSET($H$3,0,0,'Données projet'!$E$11+1,1))</f>
        <v>324.86930206492627</v>
      </c>
      <c r="BJ170" s="59">
        <f t="shared" si="146"/>
        <v>317.03005098025352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8.5055162550890024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8.5055162550890024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306.99999999999994</v>
      </c>
      <c r="BZ170" s="13">
        <f>BY170*VLOOKUP('Données projet'!$B$12,Paramètres!$A$1:$I$89,3,0)*VLOOKUP('Données projet'!$B$12,Paramètres!$A$1:$I$89,5,0)</f>
        <v>311.298</v>
      </c>
      <c r="CA170" s="13">
        <f t="shared" si="170"/>
        <v>73.539838278528748</v>
      </c>
      <c r="CB170" s="20">
        <f t="shared" si="171"/>
        <v>670.25923500177089</v>
      </c>
      <c r="CC170" s="59">
        <f t="shared" si="119"/>
        <v>963.59256833510426</v>
      </c>
      <c r="CD170" s="59">
        <f ca="1">AVERAGE(OFFSET($CC$3,0,0,'Données projet'!$E$12+1,1))-AVERAGE(OFFSET($H$3,0,0,'Données projet'!$E$12+1,1))</f>
        <v>487.18832528146936</v>
      </c>
      <c r="CE170" s="59">
        <f t="shared" si="148"/>
        <v>306.61893266146666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40.05559604753239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40.05559604753239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20.879999999999939</v>
      </c>
      <c r="CU170" s="17">
        <f>CT170*VLOOKUP('Données projet'!$B$13,Paramètres!$A$1:$I$89,3,0)*VLOOKUP('Données projet'!$B$13,Paramètres!$A$1:$I$89,5,0)</f>
        <v>19.86940799999994</v>
      </c>
      <c r="CV170" s="13">
        <f t="shared" si="173"/>
        <v>6.4658893302320672</v>
      </c>
      <c r="CW170" s="20">
        <f t="shared" si="174"/>
        <v>45.86730951682074</v>
      </c>
      <c r="CX170" s="59">
        <f t="shared" si="122"/>
        <v>339.20064285015405</v>
      </c>
      <c r="CY170" s="59">
        <f ca="1">AVERAGE(OFFSET($CX$3,0,0,'Données projet'!$E$13+1,1))-AVERAGE(OFFSET($H$3,0,0,'Données projet'!$E$13+1,1))</f>
        <v>733.95677909788878</v>
      </c>
      <c r="CZ170" s="59">
        <f t="shared" si="150"/>
        <v>264.63778997972378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319.12491812501025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319.12491812501025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853.00000000000011</v>
      </c>
      <c r="O171" s="13">
        <f>N171*VLOOKUP('Données projet'!$B$9,Paramètres!$A$1:$I$89,3,0)*VLOOKUP('Données projet'!$B$9,Paramètres!$A$1:$I$89,5,0)</f>
        <v>399.20400000000006</v>
      </c>
      <c r="P171" s="13">
        <f t="shared" si="141"/>
        <v>91.615269732888521</v>
      </c>
      <c r="Q171" s="20">
        <f t="shared" si="162"/>
        <v>854.8435614514475</v>
      </c>
      <c r="R171" s="59">
        <f t="shared" si="109"/>
        <v>1148.1768947847809</v>
      </c>
      <c r="S171" s="59">
        <f ca="1">AVERAGE(OFFSET($R$3,0,0,'Données projet'!$E$9+1,1))-AVERAGE(OFFSET($H$3,0,0,'Données projet'!$E$9+1,1))</f>
        <v>488.67934252295686</v>
      </c>
      <c r="T171" s="59">
        <f t="shared" si="142"/>
        <v>424.50324471331095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24.258525811898647</v>
      </c>
      <c r="AA171" s="21">
        <f>EXP(-LN(2)/25)*AA170+(1-EXP(-LN(2)/25))/(LN(2)/25)*Calculateur!V171*Calculateur!X171*VLOOKUP('Données projet'!$B$9,Paramètres!$A$1:$I$89,3,0)*0.475*44/12</f>
        <v>1.067574378230898</v>
      </c>
      <c r="AB171" s="21">
        <f>EXP(-LN(2)/2)*AB170+(1-EXP(-LN(2)/2))/(LN(2)/2)*V171*Y171*VLOOKUP('Données projet'!$B$9,Paramètres!$A$1:$I$89,3,0)*0.475*44/12</f>
        <v>1.3745412994238394E-21</v>
      </c>
      <c r="AC171" s="22">
        <f t="shared" si="163"/>
        <v>25.326100190129544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689</v>
      </c>
      <c r="AJ171" s="13">
        <f>AI171*VLOOKUP('Données projet'!$B$10,Paramètres!$A$1:$I$89,3,0)*VLOOKUP('Données projet'!$B$10,Paramètres!$A$1:$I$89,5,0)</f>
        <v>412.02199999999999</v>
      </c>
      <c r="AK171" s="13">
        <f t="shared" si="164"/>
        <v>94.209724877926391</v>
      </c>
      <c r="AL171" s="20">
        <f t="shared" si="165"/>
        <v>881.686920829055</v>
      </c>
      <c r="AM171" s="59">
        <f t="shared" si="113"/>
        <v>1175.0202541623883</v>
      </c>
      <c r="AN171" s="59">
        <f ca="1">AVERAGE(OFFSET($AM$3,0,0,'Données projet'!$E$10+1,1))-AVERAGE(OFFSET($H$3,0,0,'Données projet'!$E$10+1,1))</f>
        <v>504.81063008331739</v>
      </c>
      <c r="AO171" s="59">
        <f t="shared" si="144"/>
        <v>441.82647565372287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17.130908386740597</v>
      </c>
      <c r="AV171" s="21">
        <f>EXP(-LN(2)/25)*AV170+(1-EXP(-LN(2)/25))/(LN(2)/25)*Calculateur!AQ171*Calculateur!AS171*VLOOKUP('Données projet'!$B$10,Paramètres!$A$1:$I$89,3,0)*0.475*44/12</f>
        <v>1.2831475223151303</v>
      </c>
      <c r="AW171" s="21">
        <f>EXP(-LN(2)/2)*AW170+(1-EXP(-LN(2)/2))/(LN(2)/2)*AQ171*AT171*VLOOKUP('Données projet'!$B$10,Paramètres!$A$1:$I$89,3,0)*0.475*44/12</f>
        <v>8.8709491660325511E-23</v>
      </c>
      <c r="AX171" s="21">
        <f t="shared" si="166"/>
        <v>18.414055909055726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266.99999999999983</v>
      </c>
      <c r="BE171" s="13">
        <f>BD171*VLOOKUP('Données projet'!$B$11,Paramètres!$A$1:$I$89,3,0)*VLOOKUP('Données projet'!$B$11,Paramètres!$A$1:$I$89,5,0)</f>
        <v>233.2511999999999</v>
      </c>
      <c r="BF171" s="13">
        <f t="shared" si="167"/>
        <v>56.985091661350864</v>
      </c>
      <c r="BG171" s="20">
        <f t="shared" si="168"/>
        <v>505.49487464351915</v>
      </c>
      <c r="BH171" s="59">
        <f t="shared" si="116"/>
        <v>798.82820797685247</v>
      </c>
      <c r="BI171" s="59">
        <f ca="1">AVERAGE(OFFSET($BH$3,0,0,'Données projet'!$E$11+1,1))-AVERAGE(OFFSET($H$3,0,0,'Données projet'!$E$11+1,1))</f>
        <v>324.86930206492627</v>
      </c>
      <c r="BJ171" s="59">
        <f t="shared" si="146"/>
        <v>317.03005098025352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8.3387282691793647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8.3387282691793647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306.99999999999994</v>
      </c>
      <c r="BZ171" s="13">
        <f>BY171*VLOOKUP('Données projet'!$B$12,Paramètres!$A$1:$I$89,3,0)*VLOOKUP('Données projet'!$B$12,Paramètres!$A$1:$I$89,5,0)</f>
        <v>311.298</v>
      </c>
      <c r="CA171" s="13">
        <f t="shared" si="170"/>
        <v>73.539838278528748</v>
      </c>
      <c r="CB171" s="20">
        <f t="shared" si="171"/>
        <v>670.25923500177089</v>
      </c>
      <c r="CC171" s="59">
        <f t="shared" si="119"/>
        <v>963.59256833510426</v>
      </c>
      <c r="CD171" s="59">
        <f ca="1">AVERAGE(OFFSET($CC$3,0,0,'Données projet'!$E$12+1,1))-AVERAGE(OFFSET($H$3,0,0,'Données projet'!$E$12+1,1))</f>
        <v>487.18832528146936</v>
      </c>
      <c r="CE171" s="59">
        <f t="shared" si="148"/>
        <v>306.61893266146666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39.270130240541455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39.270130240541455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20.879999999999939</v>
      </c>
      <c r="CU171" s="17">
        <f>CT171*VLOOKUP('Données projet'!$B$13,Paramètres!$A$1:$I$89,3,0)*VLOOKUP('Données projet'!$B$13,Paramètres!$A$1:$I$89,5,0)</f>
        <v>19.86940799999994</v>
      </c>
      <c r="CV171" s="13">
        <f t="shared" si="173"/>
        <v>6.4658893302320672</v>
      </c>
      <c r="CW171" s="20">
        <f t="shared" si="174"/>
        <v>45.86730951682074</v>
      </c>
      <c r="CX171" s="59">
        <f t="shared" si="122"/>
        <v>339.20064285015405</v>
      </c>
      <c r="CY171" s="59">
        <f ca="1">AVERAGE(OFFSET($CX$3,0,0,'Données projet'!$E$13+1,1))-AVERAGE(OFFSET($H$3,0,0,'Données projet'!$E$13+1,1))</f>
        <v>733.95677909788878</v>
      </c>
      <c r="CZ171" s="59">
        <f t="shared" si="150"/>
        <v>264.63778997972378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312.86707312755908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312.86707312755908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853.00000000000011</v>
      </c>
      <c r="O172" s="13">
        <f>N172*VLOOKUP('Données projet'!$B$9,Paramètres!$A$1:$I$89,3,0)*VLOOKUP('Données projet'!$B$9,Paramètres!$A$1:$I$89,5,0)</f>
        <v>399.20400000000006</v>
      </c>
      <c r="P172" s="13">
        <f t="shared" si="141"/>
        <v>91.615269732888521</v>
      </c>
      <c r="Q172" s="20">
        <f t="shared" si="162"/>
        <v>854.8435614514475</v>
      </c>
      <c r="R172" s="59">
        <f t="shared" si="109"/>
        <v>1148.1768947847809</v>
      </c>
      <c r="S172" s="59">
        <f ca="1">AVERAGE(OFFSET($R$3,0,0,'Données projet'!$E$9+1,1))-AVERAGE(OFFSET($H$3,0,0,'Données projet'!$E$9+1,1))</f>
        <v>488.67934252295686</v>
      </c>
      <c r="T172" s="59">
        <f t="shared" si="142"/>
        <v>424.50324471331095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23.78283091696705</v>
      </c>
      <c r="AA172" s="21">
        <f>EXP(-LN(2)/25)*AA171+(1-EXP(-LN(2)/25))/(LN(2)/25)*Calculateur!V172*Calculateur!X172*VLOOKUP('Données projet'!$B$9,Paramètres!$A$1:$I$89,3,0)*0.475*44/12</f>
        <v>1.0383815007168775</v>
      </c>
      <c r="AB172" s="21">
        <f>EXP(-LN(2)/2)*AB171+(1-EXP(-LN(2)/2))/(LN(2)/2)*V172*Y172*VLOOKUP('Données projet'!$B$9,Paramètres!$A$1:$I$89,3,0)*0.475*44/12</f>
        <v>9.7194747384356549E-22</v>
      </c>
      <c r="AC172" s="22">
        <f t="shared" si="163"/>
        <v>24.821212417683927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689</v>
      </c>
      <c r="AJ172" s="13">
        <f>AI172*VLOOKUP('Données projet'!$B$10,Paramètres!$A$1:$I$89,3,0)*VLOOKUP('Données projet'!$B$10,Paramètres!$A$1:$I$89,5,0)</f>
        <v>412.02199999999999</v>
      </c>
      <c r="AK172" s="13">
        <f t="shared" si="164"/>
        <v>94.209724877926391</v>
      </c>
      <c r="AL172" s="20">
        <f t="shared" si="165"/>
        <v>881.686920829055</v>
      </c>
      <c r="AM172" s="59">
        <f t="shared" si="113"/>
        <v>1175.0202541623883</v>
      </c>
      <c r="AN172" s="59">
        <f ca="1">AVERAGE(OFFSET($AM$3,0,0,'Données projet'!$E$10+1,1))-AVERAGE(OFFSET($H$3,0,0,'Données projet'!$E$10+1,1))</f>
        <v>504.81063008331739</v>
      </c>
      <c r="AO172" s="59">
        <f t="shared" si="144"/>
        <v>441.82647565372287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16.794981722098996</v>
      </c>
      <c r="AV172" s="21">
        <f>EXP(-LN(2)/25)*AV171+(1-EXP(-LN(2)/25))/(LN(2)/25)*Calculateur!AQ172*Calculateur!AS172*VLOOKUP('Données projet'!$B$10,Paramètres!$A$1:$I$89,3,0)*0.475*44/12</f>
        <v>1.2480597858396276</v>
      </c>
      <c r="AW172" s="21">
        <f>EXP(-LN(2)/2)*AW171+(1-EXP(-LN(2)/2))/(LN(2)/2)*AQ172*AT172*VLOOKUP('Données projet'!$B$10,Paramètres!$A$1:$I$89,3,0)*0.475*44/12</f>
        <v>6.2727083108627652E-23</v>
      </c>
      <c r="AX172" s="21">
        <f t="shared" si="166"/>
        <v>18.043041507938625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266.99999999999983</v>
      </c>
      <c r="BE172" s="13">
        <f>BD172*VLOOKUP('Données projet'!$B$11,Paramètres!$A$1:$I$89,3,0)*VLOOKUP('Données projet'!$B$11,Paramètres!$A$1:$I$89,5,0)</f>
        <v>233.2511999999999</v>
      </c>
      <c r="BF172" s="13">
        <f t="shared" si="167"/>
        <v>56.985091661350864</v>
      </c>
      <c r="BG172" s="20">
        <f t="shared" si="168"/>
        <v>505.49487464351915</v>
      </c>
      <c r="BH172" s="59">
        <f t="shared" si="116"/>
        <v>798.82820797685247</v>
      </c>
      <c r="BI172" s="59">
        <f ca="1">AVERAGE(OFFSET($BH$3,0,0,'Données projet'!$E$11+1,1))-AVERAGE(OFFSET($H$3,0,0,'Données projet'!$E$11+1,1))</f>
        <v>324.86930206492627</v>
      </c>
      <c r="BJ172" s="59">
        <f t="shared" si="146"/>
        <v>317.03005098025352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8.1752108939427881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8.1752108939427881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306.99999999999994</v>
      </c>
      <c r="BZ172" s="13">
        <f>BY172*VLOOKUP('Données projet'!$B$12,Paramètres!$A$1:$I$89,3,0)*VLOOKUP('Données projet'!$B$12,Paramètres!$A$1:$I$89,5,0)</f>
        <v>311.298</v>
      </c>
      <c r="CA172" s="13">
        <f t="shared" si="170"/>
        <v>73.539838278528748</v>
      </c>
      <c r="CB172" s="20">
        <f t="shared" si="171"/>
        <v>670.25923500177089</v>
      </c>
      <c r="CC172" s="59">
        <f t="shared" si="119"/>
        <v>963.59256833510426</v>
      </c>
      <c r="CD172" s="59">
        <f ca="1">AVERAGE(OFFSET($CC$3,0,0,'Données projet'!$E$12+1,1))-AVERAGE(OFFSET($H$3,0,0,'Données projet'!$E$12+1,1))</f>
        <v>487.18832528146936</v>
      </c>
      <c r="CE172" s="59">
        <f t="shared" si="148"/>
        <v>306.61893266146666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38.50006693893878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38.50006693893878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20.879999999999939</v>
      </c>
      <c r="CU172" s="17">
        <f>CT172*VLOOKUP('Données projet'!$B$13,Paramètres!$A$1:$I$89,3,0)*VLOOKUP('Données projet'!$B$13,Paramètres!$A$1:$I$89,5,0)</f>
        <v>19.86940799999994</v>
      </c>
      <c r="CV172" s="13">
        <f t="shared" si="173"/>
        <v>6.4658893302320672</v>
      </c>
      <c r="CW172" s="20">
        <f t="shared" si="174"/>
        <v>45.86730951682074</v>
      </c>
      <c r="CX172" s="59">
        <f t="shared" si="122"/>
        <v>339.20064285015405</v>
      </c>
      <c r="CY172" s="59">
        <f ca="1">AVERAGE(OFFSET($CX$3,0,0,'Données projet'!$E$13+1,1))-AVERAGE(OFFSET($H$3,0,0,'Données projet'!$E$13+1,1))</f>
        <v>733.95677909788878</v>
      </c>
      <c r="CZ172" s="59">
        <f t="shared" si="150"/>
        <v>264.63778997972378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306.73194065359934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306.73194065359934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853.00000000000011</v>
      </c>
      <c r="O173" s="13">
        <f>N173*VLOOKUP('Données projet'!$B$9,Paramètres!$A$1:$I$89,3,0)*VLOOKUP('Données projet'!$B$9,Paramètres!$A$1:$I$89,5,0)</f>
        <v>399.20400000000006</v>
      </c>
      <c r="P173" s="13">
        <f t="shared" si="141"/>
        <v>91.615269732888521</v>
      </c>
      <c r="Q173" s="20">
        <f t="shared" si="162"/>
        <v>854.8435614514475</v>
      </c>
      <c r="R173" s="59">
        <f t="shared" si="109"/>
        <v>1148.1768947847809</v>
      </c>
      <c r="S173" s="59">
        <f ca="1">AVERAGE(OFFSET($R$3,0,0,'Données projet'!$E$9+1,1))-AVERAGE(OFFSET($H$3,0,0,'Données projet'!$E$9+1,1))</f>
        <v>488.67934252295686</v>
      </c>
      <c r="T173" s="59">
        <f t="shared" si="142"/>
        <v>424.50324471331095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23.316464108779829</v>
      </c>
      <c r="AA173" s="21">
        <f>EXP(-LN(2)/25)*AA172+(1-EXP(-LN(2)/25))/(LN(2)/25)*Calculateur!V173*Calculateur!X173*VLOOKUP('Données projet'!$B$9,Paramètres!$A$1:$I$89,3,0)*0.475*44/12</f>
        <v>1.0099869039736646</v>
      </c>
      <c r="AB173" s="21">
        <f>EXP(-LN(2)/2)*AB172+(1-EXP(-LN(2)/2))/(LN(2)/2)*V173*Y173*VLOOKUP('Données projet'!$B$9,Paramètres!$A$1:$I$89,3,0)*0.475*44/12</f>
        <v>6.8727064971191971E-22</v>
      </c>
      <c r="AC173" s="22">
        <f t="shared" si="163"/>
        <v>24.326451012753495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689</v>
      </c>
      <c r="AJ173" s="13">
        <f>AI173*VLOOKUP('Données projet'!$B$10,Paramètres!$A$1:$I$89,3,0)*VLOOKUP('Données projet'!$B$10,Paramètres!$A$1:$I$89,5,0)</f>
        <v>412.02199999999999</v>
      </c>
      <c r="AK173" s="13">
        <f t="shared" si="164"/>
        <v>94.209724877926391</v>
      </c>
      <c r="AL173" s="20">
        <f t="shared" si="165"/>
        <v>881.686920829055</v>
      </c>
      <c r="AM173" s="59">
        <f t="shared" si="113"/>
        <v>1175.0202541623883</v>
      </c>
      <c r="AN173" s="59">
        <f ca="1">AVERAGE(OFFSET($AM$3,0,0,'Données projet'!$E$10+1,1))-AVERAGE(OFFSET($H$3,0,0,'Données projet'!$E$10+1,1))</f>
        <v>504.81063008331739</v>
      </c>
      <c r="AO173" s="59">
        <f t="shared" si="144"/>
        <v>441.82647565372287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16.465642374455982</v>
      </c>
      <c r="AV173" s="21">
        <f>EXP(-LN(2)/25)*AV172+(1-EXP(-LN(2)/25))/(LN(2)/25)*Calculateur!AQ173*Calculateur!AS173*VLOOKUP('Données projet'!$B$10,Paramètres!$A$1:$I$89,3,0)*0.475*44/12</f>
        <v>1.2139315253632315</v>
      </c>
      <c r="AW173" s="21">
        <f>EXP(-LN(2)/2)*AW172+(1-EXP(-LN(2)/2))/(LN(2)/2)*AQ173*AT173*VLOOKUP('Données projet'!$B$10,Paramètres!$A$1:$I$89,3,0)*0.475*44/12</f>
        <v>4.4354745830162755E-23</v>
      </c>
      <c r="AX173" s="21">
        <f t="shared" si="166"/>
        <v>17.679573899819214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266.99999999999983</v>
      </c>
      <c r="BE173" s="13">
        <f>BD173*VLOOKUP('Données projet'!$B$11,Paramètres!$A$1:$I$89,3,0)*VLOOKUP('Données projet'!$B$11,Paramètres!$A$1:$I$89,5,0)</f>
        <v>233.2511999999999</v>
      </c>
      <c r="BF173" s="13">
        <f t="shared" si="167"/>
        <v>56.985091661350864</v>
      </c>
      <c r="BG173" s="20">
        <f t="shared" si="168"/>
        <v>505.49487464351915</v>
      </c>
      <c r="BH173" s="59">
        <f t="shared" si="116"/>
        <v>798.82820797685247</v>
      </c>
      <c r="BI173" s="59">
        <f ca="1">AVERAGE(OFFSET($BH$3,0,0,'Données projet'!$E$11+1,1))-AVERAGE(OFFSET($H$3,0,0,'Données projet'!$E$11+1,1))</f>
        <v>324.86930206492627</v>
      </c>
      <c r="BJ173" s="59">
        <f t="shared" si="146"/>
        <v>317.03005098025352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8.0148999946988511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8.0148999946988511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306.99999999999994</v>
      </c>
      <c r="BZ173" s="13">
        <f>BY173*VLOOKUP('Données projet'!$B$12,Paramètres!$A$1:$I$89,3,0)*VLOOKUP('Données projet'!$B$12,Paramètres!$A$1:$I$89,5,0)</f>
        <v>311.298</v>
      </c>
      <c r="CA173" s="13">
        <f t="shared" si="170"/>
        <v>73.539838278528748</v>
      </c>
      <c r="CB173" s="20">
        <f t="shared" si="171"/>
        <v>670.25923500177089</v>
      </c>
      <c r="CC173" s="59">
        <f t="shared" si="119"/>
        <v>963.59256833510426</v>
      </c>
      <c r="CD173" s="59">
        <f ca="1">AVERAGE(OFFSET($CC$3,0,0,'Données projet'!$E$12+1,1))-AVERAGE(OFFSET($H$3,0,0,'Données projet'!$E$12+1,1))</f>
        <v>487.18832528146936</v>
      </c>
      <c r="CE173" s="59">
        <f t="shared" si="148"/>
        <v>306.61893266146666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37.745104108988293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37.745104108988293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20.879999999999939</v>
      </c>
      <c r="CU173" s="17">
        <f>CT173*VLOOKUP('Données projet'!$B$13,Paramètres!$A$1:$I$89,3,0)*VLOOKUP('Données projet'!$B$13,Paramètres!$A$1:$I$89,5,0)</f>
        <v>19.86940799999994</v>
      </c>
      <c r="CV173" s="13">
        <f t="shared" si="173"/>
        <v>6.4658893302320672</v>
      </c>
      <c r="CW173" s="20">
        <f t="shared" si="174"/>
        <v>45.86730951682074</v>
      </c>
      <c r="CX173" s="59">
        <f t="shared" si="122"/>
        <v>339.20064285015405</v>
      </c>
      <c r="CY173" s="59">
        <f ca="1">AVERAGE(OFFSET($CX$3,0,0,'Données projet'!$E$13+1,1))-AVERAGE(OFFSET($H$3,0,0,'Données projet'!$E$13+1,1))</f>
        <v>733.95677909788878</v>
      </c>
      <c r="CZ173" s="59">
        <f t="shared" si="150"/>
        <v>264.63778997972378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300.71711438539262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300.71711438539262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853.00000000000011</v>
      </c>
      <c r="O174" s="13">
        <f>N174*VLOOKUP('Données projet'!$B$9,Paramètres!$A$1:$I$89,3,0)*VLOOKUP('Données projet'!$B$9,Paramètres!$A$1:$I$89,5,0)</f>
        <v>399.20400000000006</v>
      </c>
      <c r="P174" s="13">
        <f t="shared" si="141"/>
        <v>91.615269732888521</v>
      </c>
      <c r="Q174" s="20">
        <f t="shared" si="162"/>
        <v>854.8435614514475</v>
      </c>
      <c r="R174" s="59">
        <f t="shared" si="109"/>
        <v>1148.1768947847809</v>
      </c>
      <c r="S174" s="59">
        <f ca="1">AVERAGE(OFFSET($R$3,0,0,'Données projet'!$E$9+1,1))-AVERAGE(OFFSET($H$3,0,0,'Données projet'!$E$9+1,1))</f>
        <v>488.67934252295686</v>
      </c>
      <c r="T174" s="59">
        <f t="shared" si="142"/>
        <v>424.50324471331095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22.859242469245494</v>
      </c>
      <c r="AA174" s="21">
        <f>EXP(-LN(2)/25)*AA173+(1-EXP(-LN(2)/25))/(LN(2)/25)*Calculateur!V174*Calculateur!X174*VLOOKUP('Données projet'!$B$9,Paramètres!$A$1:$I$89,3,0)*0.475*44/12</f>
        <v>0.98236875897160181</v>
      </c>
      <c r="AB174" s="21">
        <f>EXP(-LN(2)/2)*AB173+(1-EXP(-LN(2)/2))/(LN(2)/2)*V174*Y174*VLOOKUP('Données projet'!$B$9,Paramètres!$A$1:$I$89,3,0)*0.475*44/12</f>
        <v>4.8597373692178275E-22</v>
      </c>
      <c r="AC174" s="22">
        <f t="shared" si="163"/>
        <v>23.841611228217097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689</v>
      </c>
      <c r="AJ174" s="13">
        <f>AI174*VLOOKUP('Données projet'!$B$10,Paramètres!$A$1:$I$89,3,0)*VLOOKUP('Données projet'!$B$10,Paramètres!$A$1:$I$89,5,0)</f>
        <v>412.02199999999999</v>
      </c>
      <c r="AK174" s="13">
        <f t="shared" si="164"/>
        <v>94.209724877926391</v>
      </c>
      <c r="AL174" s="20">
        <f t="shared" si="165"/>
        <v>881.686920829055</v>
      </c>
      <c r="AM174" s="59">
        <f t="shared" si="113"/>
        <v>1175.0202541623883</v>
      </c>
      <c r="AN174" s="59">
        <f ca="1">AVERAGE(OFFSET($AM$3,0,0,'Données projet'!$E$10+1,1))-AVERAGE(OFFSET($H$3,0,0,'Données projet'!$E$10+1,1))</f>
        <v>504.81063008331739</v>
      </c>
      <c r="AO174" s="59">
        <f t="shared" si="144"/>
        <v>441.82647565372287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16.142761170543078</v>
      </c>
      <c r="AV174" s="21">
        <f>EXP(-LN(2)/25)*AV173+(1-EXP(-LN(2)/25))/(LN(2)/25)*Calculateur!AQ174*Calculateur!AS174*VLOOKUP('Données projet'!$B$10,Paramètres!$A$1:$I$89,3,0)*0.475*44/12</f>
        <v>1.1807365039642894</v>
      </c>
      <c r="AW174" s="21">
        <f>EXP(-LN(2)/2)*AW173+(1-EXP(-LN(2)/2))/(LN(2)/2)*AQ174*AT174*VLOOKUP('Données projet'!$B$10,Paramètres!$A$1:$I$89,3,0)*0.475*44/12</f>
        <v>3.1363541554313826E-23</v>
      </c>
      <c r="AX174" s="21">
        <f t="shared" si="166"/>
        <v>17.323497674507369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266.99999999999983</v>
      </c>
      <c r="BE174" s="13">
        <f>BD174*VLOOKUP('Données projet'!$B$11,Paramètres!$A$1:$I$89,3,0)*VLOOKUP('Données projet'!$B$11,Paramètres!$A$1:$I$89,5,0)</f>
        <v>233.2511999999999</v>
      </c>
      <c r="BF174" s="13">
        <f t="shared" si="167"/>
        <v>56.985091661350864</v>
      </c>
      <c r="BG174" s="20">
        <f t="shared" si="168"/>
        <v>505.49487464351915</v>
      </c>
      <c r="BH174" s="59">
        <f t="shared" si="116"/>
        <v>798.82820797685247</v>
      </c>
      <c r="BI174" s="59">
        <f ca="1">AVERAGE(OFFSET($BH$3,0,0,'Données projet'!$E$11+1,1))-AVERAGE(OFFSET($H$3,0,0,'Données projet'!$E$11+1,1))</f>
        <v>324.86930206492627</v>
      </c>
      <c r="BJ174" s="59">
        <f t="shared" si="146"/>
        <v>317.03005098025352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7.8577326944090933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7.8577326944090933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306.99999999999994</v>
      </c>
      <c r="BZ174" s="13">
        <f>BY174*VLOOKUP('Données projet'!$B$12,Paramètres!$A$1:$I$89,3,0)*VLOOKUP('Données projet'!$B$12,Paramètres!$A$1:$I$89,5,0)</f>
        <v>311.298</v>
      </c>
      <c r="CA174" s="13">
        <f t="shared" si="170"/>
        <v>73.539838278528748</v>
      </c>
      <c r="CB174" s="20">
        <f t="shared" si="171"/>
        <v>670.25923500177089</v>
      </c>
      <c r="CC174" s="59">
        <f t="shared" si="119"/>
        <v>963.59256833510426</v>
      </c>
      <c r="CD174" s="59">
        <f ca="1">AVERAGE(OFFSET($CC$3,0,0,'Données projet'!$E$12+1,1))-AVERAGE(OFFSET($H$3,0,0,'Données projet'!$E$12+1,1))</f>
        <v>487.18832528146936</v>
      </c>
      <c r="CE174" s="59">
        <f t="shared" si="148"/>
        <v>306.61893266146666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37.004945639651282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37.004945639651282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20.879999999999939</v>
      </c>
      <c r="CU174" s="17">
        <f>CT174*VLOOKUP('Données projet'!$B$13,Paramètres!$A$1:$I$89,3,0)*VLOOKUP('Données projet'!$B$13,Paramètres!$A$1:$I$89,5,0)</f>
        <v>19.86940799999994</v>
      </c>
      <c r="CV174" s="13">
        <f t="shared" si="173"/>
        <v>6.4658893302320672</v>
      </c>
      <c r="CW174" s="20">
        <f t="shared" si="174"/>
        <v>45.86730951682074</v>
      </c>
      <c r="CX174" s="59">
        <f t="shared" si="122"/>
        <v>339.20064285015405</v>
      </c>
      <c r="CY174" s="59">
        <f ca="1">AVERAGE(OFFSET($CX$3,0,0,'Données projet'!$E$13+1,1))-AVERAGE(OFFSET($H$3,0,0,'Données projet'!$E$13+1,1))</f>
        <v>733.95677909788878</v>
      </c>
      <c r="CZ174" s="59">
        <f t="shared" si="150"/>
        <v>264.63778997972378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294.82023519162368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294.82023519162368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853.00000000000011</v>
      </c>
      <c r="O175" s="13">
        <f>N175*VLOOKUP('Données projet'!$B$9,Paramètres!$A$1:$I$89,3,0)*VLOOKUP('Données projet'!$B$9,Paramètres!$A$1:$I$89,5,0)</f>
        <v>399.20400000000006</v>
      </c>
      <c r="P175" s="13">
        <f t="shared" si="141"/>
        <v>91.615269732888521</v>
      </c>
      <c r="Q175" s="20">
        <f t="shared" si="162"/>
        <v>854.8435614514475</v>
      </c>
      <c r="R175" s="59">
        <f t="shared" si="109"/>
        <v>1148.1768947847809</v>
      </c>
      <c r="S175" s="59">
        <f ca="1">AVERAGE(OFFSET($R$3,0,0,'Données projet'!$E$9+1,1))-AVERAGE(OFFSET($H$3,0,0,'Données projet'!$E$9+1,1))</f>
        <v>488.67934252295686</v>
      </c>
      <c r="T175" s="59">
        <f t="shared" si="142"/>
        <v>424.50324471331095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22.410986667184762</v>
      </c>
      <c r="AA175" s="21">
        <f>EXP(-LN(2)/25)*AA174+(1-EXP(-LN(2)/25))/(LN(2)/25)*Calculateur!V175*Calculateur!X175*VLOOKUP('Données projet'!$B$9,Paramètres!$A$1:$I$89,3,0)*0.475*44/12</f>
        <v>0.95550583359699559</v>
      </c>
      <c r="AB175" s="21">
        <f>EXP(-LN(2)/2)*AB174+(1-EXP(-LN(2)/2))/(LN(2)/2)*V175*Y175*VLOOKUP('Données projet'!$B$9,Paramètres!$A$1:$I$89,3,0)*0.475*44/12</f>
        <v>3.4363532485595985E-22</v>
      </c>
      <c r="AC175" s="22">
        <f t="shared" si="163"/>
        <v>23.366492500781757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689</v>
      </c>
      <c r="AJ175" s="13">
        <f>AI175*VLOOKUP('Données projet'!$B$10,Paramètres!$A$1:$I$89,3,0)*VLOOKUP('Données projet'!$B$10,Paramètres!$A$1:$I$89,5,0)</f>
        <v>412.02199999999999</v>
      </c>
      <c r="AK175" s="13">
        <f t="shared" si="164"/>
        <v>94.209724877926391</v>
      </c>
      <c r="AL175" s="20">
        <f t="shared" si="165"/>
        <v>881.686920829055</v>
      </c>
      <c r="AM175" s="59">
        <f t="shared" si="113"/>
        <v>1175.0202541623883</v>
      </c>
      <c r="AN175" s="59">
        <f ca="1">AVERAGE(OFFSET($AM$3,0,0,'Données projet'!$E$10+1,1))-AVERAGE(OFFSET($H$3,0,0,'Données projet'!$E$10+1,1))</f>
        <v>504.81063008331739</v>
      </c>
      <c r="AO175" s="59">
        <f t="shared" si="144"/>
        <v>441.82647565372287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15.826211470100819</v>
      </c>
      <c r="AV175" s="21">
        <f>EXP(-LN(2)/25)*AV174+(1-EXP(-LN(2)/25))/(LN(2)/25)*Calculateur!AQ175*Calculateur!AS175*VLOOKUP('Données projet'!$B$10,Paramètres!$A$1:$I$89,3,0)*0.475*44/12</f>
        <v>1.1484492021711519</v>
      </c>
      <c r="AW175" s="21">
        <f>EXP(-LN(2)/2)*AW174+(1-EXP(-LN(2)/2))/(LN(2)/2)*AQ175*AT175*VLOOKUP('Données projet'!$B$10,Paramètres!$A$1:$I$89,3,0)*0.475*44/12</f>
        <v>2.2177372915081378E-23</v>
      </c>
      <c r="AX175" s="21">
        <f t="shared" si="166"/>
        <v>16.97466067227197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266.99999999999983</v>
      </c>
      <c r="BE175" s="13">
        <f>BD175*VLOOKUP('Données projet'!$B$11,Paramètres!$A$1:$I$89,3,0)*VLOOKUP('Données projet'!$B$11,Paramètres!$A$1:$I$89,5,0)</f>
        <v>233.2511999999999</v>
      </c>
      <c r="BF175" s="13">
        <f t="shared" si="167"/>
        <v>56.985091661350864</v>
      </c>
      <c r="BG175" s="20">
        <f t="shared" si="168"/>
        <v>505.49487464351915</v>
      </c>
      <c r="BH175" s="59">
        <f t="shared" si="116"/>
        <v>798.82820797685247</v>
      </c>
      <c r="BI175" s="59">
        <f ca="1">AVERAGE(OFFSET($BH$3,0,0,'Données projet'!$E$11+1,1))-AVERAGE(OFFSET($H$3,0,0,'Données projet'!$E$11+1,1))</f>
        <v>324.86930206492627</v>
      </c>
      <c r="BJ175" s="59">
        <f t="shared" si="146"/>
        <v>317.03005098025352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7.70364734901543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7.70364734901543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306.99999999999994</v>
      </c>
      <c r="BZ175" s="13">
        <f>BY175*VLOOKUP('Données projet'!$B$12,Paramètres!$A$1:$I$89,3,0)*VLOOKUP('Données projet'!$B$12,Paramètres!$A$1:$I$89,5,0)</f>
        <v>311.298</v>
      </c>
      <c r="CA175" s="13">
        <f t="shared" si="170"/>
        <v>73.539838278528748</v>
      </c>
      <c r="CB175" s="20">
        <f t="shared" si="171"/>
        <v>670.25923500177089</v>
      </c>
      <c r="CC175" s="59">
        <f t="shared" si="119"/>
        <v>963.59256833510426</v>
      </c>
      <c r="CD175" s="59">
        <f ca="1">AVERAGE(OFFSET($CC$3,0,0,'Données projet'!$E$12+1,1))-AVERAGE(OFFSET($H$3,0,0,'Données projet'!$E$12+1,1))</f>
        <v>487.18832528146936</v>
      </c>
      <c r="CE175" s="59">
        <f t="shared" si="148"/>
        <v>306.61893266146666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36.279301226445881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36.279301226445881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20.879999999999939</v>
      </c>
      <c r="CU175" s="17">
        <f>CT175*VLOOKUP('Données projet'!$B$13,Paramètres!$A$1:$I$89,3,0)*VLOOKUP('Données projet'!$B$13,Paramètres!$A$1:$I$89,5,0)</f>
        <v>19.86940799999994</v>
      </c>
      <c r="CV175" s="13">
        <f t="shared" si="173"/>
        <v>6.4658893302320672</v>
      </c>
      <c r="CW175" s="20">
        <f t="shared" si="174"/>
        <v>45.86730951682074</v>
      </c>
      <c r="CX175" s="59">
        <f t="shared" si="122"/>
        <v>339.20064285015405</v>
      </c>
      <c r="CY175" s="59">
        <f ca="1">AVERAGE(OFFSET($CX$3,0,0,'Données projet'!$E$13+1,1))-AVERAGE(OFFSET($H$3,0,0,'Données projet'!$E$13+1,1))</f>
        <v>733.95677909788878</v>
      </c>
      <c r="CZ175" s="59">
        <f t="shared" si="150"/>
        <v>264.63778997972378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289.03899020210338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289.03899020210338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853.00000000000011</v>
      </c>
      <c r="O176" s="13">
        <f>N176*VLOOKUP('Données projet'!$B$9,Paramètres!$A$1:$I$89,3,0)*VLOOKUP('Données projet'!$B$9,Paramètres!$A$1:$I$89,5,0)</f>
        <v>399.20400000000006</v>
      </c>
      <c r="P176" s="13">
        <f t="shared" si="141"/>
        <v>91.615269732888521</v>
      </c>
      <c r="Q176" s="20">
        <f t="shared" si="162"/>
        <v>854.8435614514475</v>
      </c>
      <c r="R176" s="59">
        <f t="shared" si="109"/>
        <v>1148.1768947847809</v>
      </c>
      <c r="S176" s="59">
        <f ca="1">AVERAGE(OFFSET($R$3,0,0,'Données projet'!$E$9+1,1))-AVERAGE(OFFSET($H$3,0,0,'Données projet'!$E$9+1,1))</f>
        <v>488.67934252295686</v>
      </c>
      <c r="T176" s="59">
        <f t="shared" si="142"/>
        <v>424.50324471331095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21.9715208879934</v>
      </c>
      <c r="AA176" s="21">
        <f>EXP(-LN(2)/25)*AA175+(1-EXP(-LN(2)/25))/(LN(2)/25)*Calculateur!V176*Calculateur!X176*VLOOKUP('Données projet'!$B$9,Paramètres!$A$1:$I$89,3,0)*0.475*44/12</f>
        <v>0.92937747632941781</v>
      </c>
      <c r="AB176" s="21">
        <f>EXP(-LN(2)/2)*AB175+(1-EXP(-LN(2)/2))/(LN(2)/2)*V176*Y176*VLOOKUP('Données projet'!$B$9,Paramètres!$A$1:$I$89,3,0)*0.475*44/12</f>
        <v>2.4298686846089137E-22</v>
      </c>
      <c r="AC176" s="22">
        <f t="shared" si="163"/>
        <v>22.900898364322817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689</v>
      </c>
      <c r="AJ176" s="13">
        <f>AI176*VLOOKUP('Données projet'!$B$10,Paramètres!$A$1:$I$89,3,0)*VLOOKUP('Données projet'!$B$10,Paramètres!$A$1:$I$89,5,0)</f>
        <v>412.02199999999999</v>
      </c>
      <c r="AK176" s="13">
        <f t="shared" si="164"/>
        <v>94.209724877926391</v>
      </c>
      <c r="AL176" s="20">
        <f t="shared" si="165"/>
        <v>881.686920829055</v>
      </c>
      <c r="AM176" s="59">
        <f t="shared" si="113"/>
        <v>1175.0202541623883</v>
      </c>
      <c r="AN176" s="59">
        <f ca="1">AVERAGE(OFFSET($AM$3,0,0,'Données projet'!$E$10+1,1))-AVERAGE(OFFSET($H$3,0,0,'Données projet'!$E$10+1,1))</f>
        <v>504.81063008331739</v>
      </c>
      <c r="AO176" s="59">
        <f t="shared" si="144"/>
        <v>441.82647565372287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15.51586911620798</v>
      </c>
      <c r="AV176" s="21">
        <f>EXP(-LN(2)/25)*AV175+(1-EXP(-LN(2)/25))/(LN(2)/25)*Calculateur!AQ176*Calculateur!AS176*VLOOKUP('Données projet'!$B$10,Paramètres!$A$1:$I$89,3,0)*0.475*44/12</f>
        <v>1.117044798343463</v>
      </c>
      <c r="AW176" s="21">
        <f>EXP(-LN(2)/2)*AW175+(1-EXP(-LN(2)/2))/(LN(2)/2)*AQ176*AT176*VLOOKUP('Données projet'!$B$10,Paramètres!$A$1:$I$89,3,0)*0.475*44/12</f>
        <v>1.5681770777156913E-23</v>
      </c>
      <c r="AX176" s="21">
        <f t="shared" si="166"/>
        <v>16.632913914551445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266.99999999999983</v>
      </c>
      <c r="BE176" s="13">
        <f>BD176*VLOOKUP('Données projet'!$B$11,Paramètres!$A$1:$I$89,3,0)*VLOOKUP('Données projet'!$B$11,Paramètres!$A$1:$I$89,5,0)</f>
        <v>233.2511999999999</v>
      </c>
      <c r="BF176" s="13">
        <f t="shared" si="167"/>
        <v>56.985091661350864</v>
      </c>
      <c r="BG176" s="20">
        <f t="shared" si="168"/>
        <v>505.49487464351915</v>
      </c>
      <c r="BH176" s="59">
        <f t="shared" si="116"/>
        <v>798.82820797685247</v>
      </c>
      <c r="BI176" s="59">
        <f ca="1">AVERAGE(OFFSET($BH$3,0,0,'Données projet'!$E$11+1,1))-AVERAGE(OFFSET($H$3,0,0,'Données projet'!$E$11+1,1))</f>
        <v>324.86930206492627</v>
      </c>
      <c r="BJ176" s="59">
        <f t="shared" si="146"/>
        <v>317.03005098025352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7.5525835232621565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7.5525835232621565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306.99999999999994</v>
      </c>
      <c r="BZ176" s="13">
        <f>BY176*VLOOKUP('Données projet'!$B$12,Paramètres!$A$1:$I$89,3,0)*VLOOKUP('Données projet'!$B$12,Paramètres!$A$1:$I$89,5,0)</f>
        <v>311.298</v>
      </c>
      <c r="CA176" s="13">
        <f t="shared" si="170"/>
        <v>73.539838278528748</v>
      </c>
      <c r="CB176" s="20">
        <f t="shared" si="171"/>
        <v>670.25923500177089</v>
      </c>
      <c r="CC176" s="59">
        <f t="shared" si="119"/>
        <v>963.59256833510426</v>
      </c>
      <c r="CD176" s="59">
        <f ca="1">AVERAGE(OFFSET($CC$3,0,0,'Données projet'!$E$12+1,1))-AVERAGE(OFFSET($H$3,0,0,'Données projet'!$E$12+1,1))</f>
        <v>487.18832528146936</v>
      </c>
      <c r="CE176" s="59">
        <f t="shared" si="148"/>
        <v>306.61893266146666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35.56788625758405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35.56788625758405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20.879999999999939</v>
      </c>
      <c r="CU176" s="17">
        <f>CT176*VLOOKUP('Données projet'!$B$13,Paramètres!$A$1:$I$89,3,0)*VLOOKUP('Données projet'!$B$13,Paramètres!$A$1:$I$89,5,0)</f>
        <v>19.86940799999994</v>
      </c>
      <c r="CV176" s="13">
        <f t="shared" si="173"/>
        <v>6.4658893302320672</v>
      </c>
      <c r="CW176" s="20">
        <f t="shared" si="174"/>
        <v>45.86730951682074</v>
      </c>
      <c r="CX176" s="59">
        <f t="shared" si="122"/>
        <v>339.20064285015405</v>
      </c>
      <c r="CY176" s="59">
        <f ca="1">AVERAGE(OFFSET($CX$3,0,0,'Données projet'!$E$13+1,1))-AVERAGE(OFFSET($H$3,0,0,'Données projet'!$E$13+1,1))</f>
        <v>733.95677909788878</v>
      </c>
      <c r="CZ176" s="59">
        <f t="shared" si="150"/>
        <v>264.63778997972378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283.37111190061631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283.37111190061631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853.00000000000011</v>
      </c>
      <c r="O177" s="13">
        <f>N177*VLOOKUP('Données projet'!$B$9,Paramètres!$A$1:$I$89,3,0)*VLOOKUP('Données projet'!$B$9,Paramètres!$A$1:$I$89,5,0)</f>
        <v>399.20400000000006</v>
      </c>
      <c r="P177" s="13">
        <f t="shared" si="141"/>
        <v>91.615269732888521</v>
      </c>
      <c r="Q177" s="20">
        <f t="shared" si="162"/>
        <v>854.8435614514475</v>
      </c>
      <c r="R177" s="59">
        <f t="shared" si="109"/>
        <v>1148.1768947847809</v>
      </c>
      <c r="S177" s="59">
        <f ca="1">AVERAGE(OFFSET($R$3,0,0,'Données projet'!$E$9+1,1))-AVERAGE(OFFSET($H$3,0,0,'Données projet'!$E$9+1,1))</f>
        <v>488.67934252295686</v>
      </c>
      <c r="T177" s="59">
        <f t="shared" si="142"/>
        <v>424.50324471331095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21.54067276468432</v>
      </c>
      <c r="AA177" s="21">
        <f>EXP(-LN(2)/25)*AA176+(1-EXP(-LN(2)/25))/(LN(2)/25)*Calculateur!V177*Calculateur!X177*VLOOKUP('Données projet'!$B$9,Paramètres!$A$1:$I$89,3,0)*0.475*44/12</f>
        <v>0.9039636003653525</v>
      </c>
      <c r="AB177" s="21">
        <f>EXP(-LN(2)/2)*AB176+(1-EXP(-LN(2)/2))/(LN(2)/2)*V177*Y177*VLOOKUP('Données projet'!$B$9,Paramètres!$A$1:$I$89,3,0)*0.475*44/12</f>
        <v>1.7181766242797993E-22</v>
      </c>
      <c r="AC177" s="22">
        <f t="shared" si="163"/>
        <v>22.444636365049671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689</v>
      </c>
      <c r="AJ177" s="13">
        <f>AI177*VLOOKUP('Données projet'!$B$10,Paramètres!$A$1:$I$89,3,0)*VLOOKUP('Données projet'!$B$10,Paramètres!$A$1:$I$89,5,0)</f>
        <v>412.02199999999999</v>
      </c>
      <c r="AK177" s="13">
        <f t="shared" si="164"/>
        <v>94.209724877926391</v>
      </c>
      <c r="AL177" s="20">
        <f t="shared" si="165"/>
        <v>881.686920829055</v>
      </c>
      <c r="AM177" s="59">
        <f t="shared" si="113"/>
        <v>1175.0202541623883</v>
      </c>
      <c r="AN177" s="59">
        <f ca="1">AVERAGE(OFFSET($AM$3,0,0,'Données projet'!$E$10+1,1))-AVERAGE(OFFSET($H$3,0,0,'Données projet'!$E$10+1,1))</f>
        <v>504.81063008331739</v>
      </c>
      <c r="AO177" s="59">
        <f t="shared" si="144"/>
        <v>441.82647565372287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15.211612386584836</v>
      </c>
      <c r="AV177" s="21">
        <f>EXP(-LN(2)/25)*AV176+(1-EXP(-LN(2)/25))/(LN(2)/25)*Calculateur!AQ177*Calculateur!AS177*VLOOKUP('Données projet'!$B$10,Paramètres!$A$1:$I$89,3,0)*0.475*44/12</f>
        <v>1.0864991495899281</v>
      </c>
      <c r="AW177" s="21">
        <f>EXP(-LN(2)/2)*AW176+(1-EXP(-LN(2)/2))/(LN(2)/2)*AQ177*AT177*VLOOKUP('Données projet'!$B$10,Paramètres!$A$1:$I$89,3,0)*0.475*44/12</f>
        <v>1.1088686457540689E-23</v>
      </c>
      <c r="AX177" s="21">
        <f t="shared" si="166"/>
        <v>16.298111536174765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266.99999999999983</v>
      </c>
      <c r="BE177" s="13">
        <f>BD177*VLOOKUP('Données projet'!$B$11,Paramètres!$A$1:$I$89,3,0)*VLOOKUP('Données projet'!$B$11,Paramètres!$A$1:$I$89,5,0)</f>
        <v>233.2511999999999</v>
      </c>
      <c r="BF177" s="13">
        <f t="shared" si="167"/>
        <v>56.985091661350864</v>
      </c>
      <c r="BG177" s="20">
        <f t="shared" si="168"/>
        <v>505.49487464351915</v>
      </c>
      <c r="BH177" s="59">
        <f t="shared" si="116"/>
        <v>798.82820797685247</v>
      </c>
      <c r="BI177" s="59">
        <f ca="1">AVERAGE(OFFSET($BH$3,0,0,'Données projet'!$E$11+1,1))-AVERAGE(OFFSET($H$3,0,0,'Données projet'!$E$11+1,1))</f>
        <v>324.86930206492627</v>
      </c>
      <c r="BJ177" s="59">
        <f t="shared" si="146"/>
        <v>317.03005098025352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7.4044819669920692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7.4044819669920692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306.99999999999994</v>
      </c>
      <c r="BZ177" s="13">
        <f>BY177*VLOOKUP('Données projet'!$B$12,Paramètres!$A$1:$I$89,3,0)*VLOOKUP('Données projet'!$B$12,Paramètres!$A$1:$I$89,5,0)</f>
        <v>311.298</v>
      </c>
      <c r="CA177" s="13">
        <f t="shared" si="170"/>
        <v>73.539838278528748</v>
      </c>
      <c r="CB177" s="20">
        <f t="shared" si="171"/>
        <v>670.25923500177089</v>
      </c>
      <c r="CC177" s="59">
        <f t="shared" si="119"/>
        <v>963.59256833510426</v>
      </c>
      <c r="CD177" s="59">
        <f ca="1">AVERAGE(OFFSET($CC$3,0,0,'Données projet'!$E$12+1,1))-AVERAGE(OFFSET($H$3,0,0,'Données projet'!$E$12+1,1))</f>
        <v>487.18832528146936</v>
      </c>
      <c r="CE177" s="59">
        <f t="shared" si="148"/>
        <v>306.61893266146666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34.870421702341311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34.870421702341311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20.879999999999939</v>
      </c>
      <c r="CU177" s="17">
        <f>CT177*VLOOKUP('Données projet'!$B$13,Paramètres!$A$1:$I$89,3,0)*VLOOKUP('Données projet'!$B$13,Paramètres!$A$1:$I$89,5,0)</f>
        <v>19.86940799999994</v>
      </c>
      <c r="CV177" s="13">
        <f t="shared" si="173"/>
        <v>6.4658893302320672</v>
      </c>
      <c r="CW177" s="20">
        <f t="shared" si="174"/>
        <v>45.86730951682074</v>
      </c>
      <c r="CX177" s="59">
        <f t="shared" si="122"/>
        <v>339.20064285015405</v>
      </c>
      <c r="CY177" s="59">
        <f ca="1">AVERAGE(OFFSET($CX$3,0,0,'Données projet'!$E$13+1,1))-AVERAGE(OFFSET($H$3,0,0,'Données projet'!$E$13+1,1))</f>
        <v>733.95677909788878</v>
      </c>
      <c r="CZ177" s="59">
        <f t="shared" si="150"/>
        <v>264.63778997972378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277.814377235557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277.814377235557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853.00000000000011</v>
      </c>
      <c r="O178" s="13">
        <f>N178*VLOOKUP('Données projet'!$B$9,Paramètres!$A$1:$I$89,3,0)*VLOOKUP('Données projet'!$B$9,Paramètres!$A$1:$I$89,5,0)</f>
        <v>399.20400000000006</v>
      </c>
      <c r="P178" s="13">
        <f t="shared" si="141"/>
        <v>91.615269732888521</v>
      </c>
      <c r="Q178" s="20">
        <f t="shared" si="162"/>
        <v>854.8435614514475</v>
      </c>
      <c r="R178" s="59">
        <f t="shared" si="109"/>
        <v>1148.1768947847809</v>
      </c>
      <c r="S178" s="59">
        <f ca="1">AVERAGE(OFFSET($R$3,0,0,'Données projet'!$E$9+1,1))-AVERAGE(OFFSET($H$3,0,0,'Données projet'!$E$9+1,1))</f>
        <v>488.67934252295686</v>
      </c>
      <c r="T178" s="59">
        <f t="shared" si="142"/>
        <v>424.50324471331095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21.118273310281925</v>
      </c>
      <c r="AA178" s="21">
        <f>EXP(-LN(2)/25)*AA177+(1-EXP(-LN(2)/25))/(LN(2)/25)*Calculateur!V178*Calculateur!X178*VLOOKUP('Données projet'!$B$9,Paramètres!$A$1:$I$89,3,0)*0.475*44/12</f>
        <v>0.87924466817598224</v>
      </c>
      <c r="AB178" s="21">
        <f>EXP(-LN(2)/2)*AB177+(1-EXP(-LN(2)/2))/(LN(2)/2)*V178*Y178*VLOOKUP('Données projet'!$B$9,Paramètres!$A$1:$I$89,3,0)*0.475*44/12</f>
        <v>1.2149343423044569E-22</v>
      </c>
      <c r="AC178" s="22">
        <f t="shared" si="163"/>
        <v>21.997517978457907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689</v>
      </c>
      <c r="AJ178" s="13">
        <f>AI178*VLOOKUP('Données projet'!$B$10,Paramètres!$A$1:$I$89,3,0)*VLOOKUP('Données projet'!$B$10,Paramètres!$A$1:$I$89,5,0)</f>
        <v>412.02199999999999</v>
      </c>
      <c r="AK178" s="13">
        <f t="shared" si="164"/>
        <v>94.209724877926391</v>
      </c>
      <c r="AL178" s="20">
        <f t="shared" si="165"/>
        <v>881.686920829055</v>
      </c>
      <c r="AM178" s="59">
        <f t="shared" si="113"/>
        <v>1175.0202541623883</v>
      </c>
      <c r="AN178" s="59">
        <f ca="1">AVERAGE(OFFSET($AM$3,0,0,'Données projet'!$E$10+1,1))-AVERAGE(OFFSET($H$3,0,0,'Données projet'!$E$10+1,1))</f>
        <v>504.81063008331739</v>
      </c>
      <c r="AO178" s="59">
        <f t="shared" si="144"/>
        <v>441.82647565372287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14.913321945851321</v>
      </c>
      <c r="AV178" s="21">
        <f>EXP(-LN(2)/25)*AV177+(1-EXP(-LN(2)/25))/(LN(2)/25)*Calculateur!AQ178*Calculateur!AS178*VLOOKUP('Données projet'!$B$10,Paramètres!$A$1:$I$89,3,0)*0.475*44/12</f>
        <v>1.0567887732078844</v>
      </c>
      <c r="AW178" s="21">
        <f>EXP(-LN(2)/2)*AW177+(1-EXP(-LN(2)/2))/(LN(2)/2)*AQ178*AT178*VLOOKUP('Données projet'!$B$10,Paramètres!$A$1:$I$89,3,0)*0.475*44/12</f>
        <v>7.8408853885784565E-24</v>
      </c>
      <c r="AX178" s="21">
        <f t="shared" si="166"/>
        <v>15.970110719059205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266.99999999999983</v>
      </c>
      <c r="BE178" s="13">
        <f>BD178*VLOOKUP('Données projet'!$B$11,Paramètres!$A$1:$I$89,3,0)*VLOOKUP('Données projet'!$B$11,Paramètres!$A$1:$I$89,5,0)</f>
        <v>233.2511999999999</v>
      </c>
      <c r="BF178" s="13">
        <f t="shared" si="167"/>
        <v>56.985091661350864</v>
      </c>
      <c r="BG178" s="20">
        <f t="shared" si="168"/>
        <v>505.49487464351915</v>
      </c>
      <c r="BH178" s="59">
        <f t="shared" si="116"/>
        <v>798.82820797685247</v>
      </c>
      <c r="BI178" s="59">
        <f ca="1">AVERAGE(OFFSET($BH$3,0,0,'Données projet'!$E$11+1,1))-AVERAGE(OFFSET($H$3,0,0,'Données projet'!$E$11+1,1))</f>
        <v>324.86930206492627</v>
      </c>
      <c r="BJ178" s="59">
        <f t="shared" si="146"/>
        <v>317.03005098025352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7.2592845919074085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7.2592845919074085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306.99999999999994</v>
      </c>
      <c r="BZ178" s="13">
        <f>BY178*VLOOKUP('Données projet'!$B$12,Paramètres!$A$1:$I$89,3,0)*VLOOKUP('Données projet'!$B$12,Paramètres!$A$1:$I$89,5,0)</f>
        <v>311.298</v>
      </c>
      <c r="CA178" s="13">
        <f t="shared" si="170"/>
        <v>73.539838278528748</v>
      </c>
      <c r="CB178" s="20">
        <f t="shared" si="171"/>
        <v>670.25923500177089</v>
      </c>
      <c r="CC178" s="59">
        <f t="shared" si="119"/>
        <v>963.59256833510426</v>
      </c>
      <c r="CD178" s="59">
        <f ca="1">AVERAGE(OFFSET($CC$3,0,0,'Données projet'!$E$12+1,1))-AVERAGE(OFFSET($H$3,0,0,'Données projet'!$E$12+1,1))</f>
        <v>487.18832528146936</v>
      </c>
      <c r="CE178" s="59">
        <f t="shared" si="148"/>
        <v>306.61893266146666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34.186634001615509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34.186634001615509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20.879999999999939</v>
      </c>
      <c r="CU178" s="17">
        <f>CT178*VLOOKUP('Données projet'!$B$13,Paramètres!$A$1:$I$89,3,0)*VLOOKUP('Données projet'!$B$13,Paramètres!$A$1:$I$89,5,0)</f>
        <v>19.86940799999994</v>
      </c>
      <c r="CV178" s="13">
        <f t="shared" si="173"/>
        <v>6.4658893302320672</v>
      </c>
      <c r="CW178" s="20">
        <f t="shared" si="174"/>
        <v>45.86730951682074</v>
      </c>
      <c r="CX178" s="59">
        <f t="shared" si="122"/>
        <v>339.20064285015405</v>
      </c>
      <c r="CY178" s="59">
        <f ca="1">AVERAGE(OFFSET($CX$3,0,0,'Données projet'!$E$13+1,1))-AVERAGE(OFFSET($H$3,0,0,'Données projet'!$E$13+1,1))</f>
        <v>733.95677909788878</v>
      </c>
      <c r="CZ178" s="59">
        <f t="shared" si="150"/>
        <v>264.63778997972378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272.36660674800606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272.36660674800606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853.00000000000011</v>
      </c>
      <c r="O179" s="13">
        <f>N179*VLOOKUP('Données projet'!$B$9,Paramètres!$A$1:$I$89,3,0)*VLOOKUP('Données projet'!$B$9,Paramètres!$A$1:$I$89,5,0)</f>
        <v>399.20400000000006</v>
      </c>
      <c r="P179" s="13">
        <f t="shared" si="141"/>
        <v>91.615269732888521</v>
      </c>
      <c r="Q179" s="20">
        <f t="shared" si="162"/>
        <v>854.8435614514475</v>
      </c>
      <c r="R179" s="59">
        <f t="shared" si="109"/>
        <v>1148.1768947847809</v>
      </c>
      <c r="S179" s="59">
        <f ca="1">AVERAGE(OFFSET($R$3,0,0,'Données projet'!$E$9+1,1))-AVERAGE(OFFSET($H$3,0,0,'Données projet'!$E$9+1,1))</f>
        <v>488.67934252295686</v>
      </c>
      <c r="T179" s="59">
        <f t="shared" si="142"/>
        <v>424.50324471331095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20.704156851542134</v>
      </c>
      <c r="AA179" s="21">
        <f>EXP(-LN(2)/25)*AA178+(1-EXP(-LN(2)/25))/(LN(2)/25)*Calculateur!V179*Calculateur!X179*VLOOKUP('Données projet'!$B$9,Paramètres!$A$1:$I$89,3,0)*0.475*44/12</f>
        <v>0.85520167648724243</v>
      </c>
      <c r="AB179" s="21">
        <f>EXP(-LN(2)/2)*AB178+(1-EXP(-LN(2)/2))/(LN(2)/2)*V179*Y179*VLOOKUP('Données projet'!$B$9,Paramètres!$A$1:$I$89,3,0)*0.475*44/12</f>
        <v>8.5908831213989963E-23</v>
      </c>
      <c r="AC179" s="22">
        <f t="shared" si="163"/>
        <v>21.559358528029378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689</v>
      </c>
      <c r="AJ179" s="13">
        <f>AI179*VLOOKUP('Données projet'!$B$10,Paramètres!$A$1:$I$89,3,0)*VLOOKUP('Données projet'!$B$10,Paramètres!$A$1:$I$89,5,0)</f>
        <v>412.02199999999999</v>
      </c>
      <c r="AK179" s="13">
        <f t="shared" si="164"/>
        <v>94.209724877926391</v>
      </c>
      <c r="AL179" s="20">
        <f t="shared" si="165"/>
        <v>881.686920829055</v>
      </c>
      <c r="AM179" s="59">
        <f t="shared" si="113"/>
        <v>1175.0202541623883</v>
      </c>
      <c r="AN179" s="59">
        <f ca="1">AVERAGE(OFFSET($AM$3,0,0,'Données projet'!$E$10+1,1))-AVERAGE(OFFSET($H$3,0,0,'Données projet'!$E$10+1,1))</f>
        <v>504.81063008331739</v>
      </c>
      <c r="AO179" s="59">
        <f t="shared" si="144"/>
        <v>441.82647565372287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14.620880798721386</v>
      </c>
      <c r="AV179" s="21">
        <f>EXP(-LN(2)/25)*AV178+(1-EXP(-LN(2)/25))/(LN(2)/25)*Calculateur!AQ179*Calculateur!AS179*VLOOKUP('Données projet'!$B$10,Paramètres!$A$1:$I$89,3,0)*0.475*44/12</f>
        <v>1.0278908286304085</v>
      </c>
      <c r="AW179" s="21">
        <f>EXP(-LN(2)/2)*AW178+(1-EXP(-LN(2)/2))/(LN(2)/2)*AQ179*AT179*VLOOKUP('Données projet'!$B$10,Paramètres!$A$1:$I$89,3,0)*0.475*44/12</f>
        <v>5.5443432287703444E-24</v>
      </c>
      <c r="AX179" s="21">
        <f t="shared" si="166"/>
        <v>15.648771627351794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266.99999999999983</v>
      </c>
      <c r="BE179" s="13">
        <f>BD179*VLOOKUP('Données projet'!$B$11,Paramètres!$A$1:$I$89,3,0)*VLOOKUP('Données projet'!$B$11,Paramètres!$A$1:$I$89,5,0)</f>
        <v>233.2511999999999</v>
      </c>
      <c r="BF179" s="13">
        <f t="shared" si="167"/>
        <v>56.985091661350864</v>
      </c>
      <c r="BG179" s="20">
        <f t="shared" si="168"/>
        <v>505.49487464351915</v>
      </c>
      <c r="BH179" s="59">
        <f t="shared" si="116"/>
        <v>798.82820797685247</v>
      </c>
      <c r="BI179" s="59">
        <f ca="1">AVERAGE(OFFSET($BH$3,0,0,'Données projet'!$E$11+1,1))-AVERAGE(OFFSET($H$3,0,0,'Données projet'!$E$11+1,1))</f>
        <v>324.86930206492627</v>
      </c>
      <c r="BJ179" s="59">
        <f t="shared" si="146"/>
        <v>317.03005098025352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7.1169344487865036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7.1169344487865036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306.99999999999994</v>
      </c>
      <c r="BZ179" s="13">
        <f>BY179*VLOOKUP('Données projet'!$B$12,Paramètres!$A$1:$I$89,3,0)*VLOOKUP('Données projet'!$B$12,Paramètres!$A$1:$I$89,5,0)</f>
        <v>311.298</v>
      </c>
      <c r="CA179" s="13">
        <f t="shared" si="170"/>
        <v>73.539838278528748</v>
      </c>
      <c r="CB179" s="20">
        <f t="shared" si="171"/>
        <v>670.25923500177089</v>
      </c>
      <c r="CC179" s="59">
        <f t="shared" si="119"/>
        <v>963.59256833510426</v>
      </c>
      <c r="CD179" s="59">
        <f ca="1">AVERAGE(OFFSET($CC$3,0,0,'Données projet'!$E$12+1,1))-AVERAGE(OFFSET($H$3,0,0,'Données projet'!$E$12+1,1))</f>
        <v>487.18832528146936</v>
      </c>
      <c r="CE179" s="59">
        <f t="shared" si="148"/>
        <v>306.61893266146666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33.516254960631628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33.516254960631628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20.879999999999939</v>
      </c>
      <c r="CU179" s="17">
        <f>CT179*VLOOKUP('Données projet'!$B$13,Paramètres!$A$1:$I$89,3,0)*VLOOKUP('Données projet'!$B$13,Paramètres!$A$1:$I$89,5,0)</f>
        <v>19.86940799999994</v>
      </c>
      <c r="CV179" s="13">
        <f t="shared" si="173"/>
        <v>6.4658893302320672</v>
      </c>
      <c r="CW179" s="20">
        <f t="shared" si="174"/>
        <v>45.86730951682074</v>
      </c>
      <c r="CX179" s="59">
        <f t="shared" si="122"/>
        <v>339.20064285015405</v>
      </c>
      <c r="CY179" s="59">
        <f ca="1">AVERAGE(OFFSET($CX$3,0,0,'Données projet'!$E$13+1,1))-AVERAGE(OFFSET($H$3,0,0,'Données projet'!$E$13+1,1))</f>
        <v>733.95677909788878</v>
      </c>
      <c r="CZ179" s="59">
        <f t="shared" si="150"/>
        <v>264.63778997972378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267.02566371690409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267.02566371690409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853.00000000000011</v>
      </c>
      <c r="O180" s="13">
        <f>N180*VLOOKUP('Données projet'!$B$9,Paramètres!$A$1:$I$89,3,0)*VLOOKUP('Données projet'!$B$9,Paramètres!$A$1:$I$89,5,0)</f>
        <v>399.20400000000006</v>
      </c>
      <c r="P180" s="13">
        <f t="shared" si="141"/>
        <v>91.615269732888521</v>
      </c>
      <c r="Q180" s="20">
        <f t="shared" si="162"/>
        <v>854.8435614514475</v>
      </c>
      <c r="R180" s="59">
        <f t="shared" si="109"/>
        <v>1148.1768947847809</v>
      </c>
      <c r="S180" s="59">
        <f ca="1">AVERAGE(OFFSET($R$3,0,0,'Données projet'!$E$9+1,1))-AVERAGE(OFFSET($H$3,0,0,'Données projet'!$E$9+1,1))</f>
        <v>488.67934252295686</v>
      </c>
      <c r="T180" s="59">
        <f t="shared" si="142"/>
        <v>424.50324471331095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20.298160963972133</v>
      </c>
      <c r="AA180" s="21">
        <f>EXP(-LN(2)/25)*AA179+(1-EXP(-LN(2)/25))/(LN(2)/25)*Calculateur!V180*Calculateur!X180*VLOOKUP('Données projet'!$B$9,Paramètres!$A$1:$I$89,3,0)*0.475*44/12</f>
        <v>0.83181614167059725</v>
      </c>
      <c r="AB180" s="21">
        <f>EXP(-LN(2)/2)*AB179+(1-EXP(-LN(2)/2))/(LN(2)/2)*V180*Y180*VLOOKUP('Données projet'!$B$9,Paramètres!$A$1:$I$89,3,0)*0.475*44/12</f>
        <v>6.0746717115222843E-23</v>
      </c>
      <c r="AC180" s="22">
        <f t="shared" si="163"/>
        <v>21.12997710564273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689</v>
      </c>
      <c r="AJ180" s="13">
        <f>AI180*VLOOKUP('Données projet'!$B$10,Paramètres!$A$1:$I$89,3,0)*VLOOKUP('Données projet'!$B$10,Paramètres!$A$1:$I$89,5,0)</f>
        <v>412.02199999999999</v>
      </c>
      <c r="AK180" s="13">
        <f t="shared" si="164"/>
        <v>94.209724877926391</v>
      </c>
      <c r="AL180" s="20">
        <f t="shared" si="165"/>
        <v>881.686920829055</v>
      </c>
      <c r="AM180" s="59">
        <f t="shared" si="113"/>
        <v>1175.0202541623883</v>
      </c>
      <c r="AN180" s="59">
        <f ca="1">AVERAGE(OFFSET($AM$3,0,0,'Données projet'!$E$10+1,1))-AVERAGE(OFFSET($H$3,0,0,'Données projet'!$E$10+1,1))</f>
        <v>504.81063008331739</v>
      </c>
      <c r="AO180" s="59">
        <f t="shared" si="144"/>
        <v>441.82647565372287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14.33417424411518</v>
      </c>
      <c r="AV180" s="21">
        <f>EXP(-LN(2)/25)*AV179+(1-EXP(-LN(2)/25))/(LN(2)/25)*Calculateur!AQ180*Calculateur!AS180*VLOOKUP('Données projet'!$B$10,Paramètres!$A$1:$I$89,3,0)*0.475*44/12</f>
        <v>0.99978309986708058</v>
      </c>
      <c r="AW180" s="21">
        <f>EXP(-LN(2)/2)*AW179+(1-EXP(-LN(2)/2))/(LN(2)/2)*AQ180*AT180*VLOOKUP('Données projet'!$B$10,Paramètres!$A$1:$I$89,3,0)*0.475*44/12</f>
        <v>3.9204426942892283E-24</v>
      </c>
      <c r="AX180" s="21">
        <f t="shared" si="166"/>
        <v>15.333957343982261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266.99999999999983</v>
      </c>
      <c r="BE180" s="13">
        <f>BD180*VLOOKUP('Données projet'!$B$11,Paramètres!$A$1:$I$89,3,0)*VLOOKUP('Données projet'!$B$11,Paramètres!$A$1:$I$89,5,0)</f>
        <v>233.2511999999999</v>
      </c>
      <c r="BF180" s="13">
        <f t="shared" si="167"/>
        <v>56.985091661350864</v>
      </c>
      <c r="BG180" s="20">
        <f t="shared" si="168"/>
        <v>505.49487464351915</v>
      </c>
      <c r="BH180" s="59">
        <f t="shared" si="116"/>
        <v>798.82820797685247</v>
      </c>
      <c r="BI180" s="59">
        <f ca="1">AVERAGE(OFFSET($BH$3,0,0,'Données projet'!$E$11+1,1))-AVERAGE(OFFSET($H$3,0,0,'Données projet'!$E$11+1,1))</f>
        <v>324.86930206492627</v>
      </c>
      <c r="BJ180" s="59">
        <f t="shared" si="146"/>
        <v>317.03005098025352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6.9773757051471854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6.9773757051471854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306.99999999999994</v>
      </c>
      <c r="BZ180" s="13">
        <f>BY180*VLOOKUP('Données projet'!$B$12,Paramètres!$A$1:$I$89,3,0)*VLOOKUP('Données projet'!$B$12,Paramètres!$A$1:$I$89,5,0)</f>
        <v>311.298</v>
      </c>
      <c r="CA180" s="13">
        <f t="shared" si="170"/>
        <v>73.539838278528748</v>
      </c>
      <c r="CB180" s="20">
        <f t="shared" si="171"/>
        <v>670.25923500177089</v>
      </c>
      <c r="CC180" s="59">
        <f t="shared" si="119"/>
        <v>963.59256833510426</v>
      </c>
      <c r="CD180" s="59">
        <f ca="1">AVERAGE(OFFSET($CC$3,0,0,'Données projet'!$E$12+1,1))-AVERAGE(OFFSET($H$3,0,0,'Données projet'!$E$12+1,1))</f>
        <v>487.18832528146936</v>
      </c>
      <c r="CE180" s="59">
        <f t="shared" si="148"/>
        <v>306.61893266146666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32.859021643750602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32.859021643750602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20.879999999999939</v>
      </c>
      <c r="CU180" s="17">
        <f>CT180*VLOOKUP('Données projet'!$B$13,Paramètres!$A$1:$I$89,3,0)*VLOOKUP('Données projet'!$B$13,Paramètres!$A$1:$I$89,5,0)</f>
        <v>19.86940799999994</v>
      </c>
      <c r="CV180" s="13">
        <f t="shared" si="173"/>
        <v>6.4658893302320672</v>
      </c>
      <c r="CW180" s="20">
        <f t="shared" si="174"/>
        <v>45.86730951682074</v>
      </c>
      <c r="CX180" s="59">
        <f t="shared" si="122"/>
        <v>339.20064285015405</v>
      </c>
      <c r="CY180" s="59">
        <f ca="1">AVERAGE(OFFSET($CX$3,0,0,'Données projet'!$E$13+1,1))-AVERAGE(OFFSET($H$3,0,0,'Données projet'!$E$13+1,1))</f>
        <v>733.95677909788878</v>
      </c>
      <c r="CZ180" s="59">
        <f t="shared" si="150"/>
        <v>264.63778997972378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261.78945332098846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261.78945332098846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853.00000000000011</v>
      </c>
      <c r="O181" s="13">
        <f>N181*VLOOKUP('Données projet'!$B$9,Paramètres!$A$1:$I$89,3,0)*VLOOKUP('Données projet'!$B$9,Paramètres!$A$1:$I$89,5,0)</f>
        <v>399.20400000000006</v>
      </c>
      <c r="P181" s="13">
        <f t="shared" si="141"/>
        <v>91.615269732888521</v>
      </c>
      <c r="Q181" s="20">
        <f t="shared" si="162"/>
        <v>854.8435614514475</v>
      </c>
      <c r="R181" s="59">
        <f t="shared" si="109"/>
        <v>1148.1768947847809</v>
      </c>
      <c r="S181" s="59">
        <f ca="1">AVERAGE(OFFSET($R$3,0,0,'Données projet'!$E$9+1,1))-AVERAGE(OFFSET($H$3,0,0,'Données projet'!$E$9+1,1))</f>
        <v>488.67934252295686</v>
      </c>
      <c r="T181" s="59">
        <f t="shared" si="142"/>
        <v>424.50324471331095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19.90012640812434</v>
      </c>
      <c r="AA181" s="21">
        <f>EXP(-LN(2)/25)*AA180+(1-EXP(-LN(2)/25))/(LN(2)/25)*Calculateur!V181*Calculateur!X181*VLOOKUP('Données projet'!$B$9,Paramètres!$A$1:$I$89,3,0)*0.475*44/12</f>
        <v>0.80907008553330506</v>
      </c>
      <c r="AB181" s="21">
        <f>EXP(-LN(2)/2)*AB180+(1-EXP(-LN(2)/2))/(LN(2)/2)*V181*Y181*VLOOKUP('Données projet'!$B$9,Paramètres!$A$1:$I$89,3,0)*0.475*44/12</f>
        <v>4.2954415606994982E-23</v>
      </c>
      <c r="AC181" s="22">
        <f t="shared" si="163"/>
        <v>20.709196493657643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689</v>
      </c>
      <c r="AJ181" s="13">
        <f>AI181*VLOOKUP('Données projet'!$B$10,Paramètres!$A$1:$I$89,3,0)*VLOOKUP('Données projet'!$B$10,Paramètres!$A$1:$I$89,5,0)</f>
        <v>412.02199999999999</v>
      </c>
      <c r="AK181" s="13">
        <f t="shared" si="164"/>
        <v>94.209724877926391</v>
      </c>
      <c r="AL181" s="20">
        <f t="shared" si="165"/>
        <v>881.686920829055</v>
      </c>
      <c r="AM181" s="59">
        <f t="shared" si="113"/>
        <v>1175.0202541623883</v>
      </c>
      <c r="AN181" s="59">
        <f ca="1">AVERAGE(OFFSET($AM$3,0,0,'Données projet'!$E$10+1,1))-AVERAGE(OFFSET($H$3,0,0,'Données projet'!$E$10+1,1))</f>
        <v>504.81063008331739</v>
      </c>
      <c r="AO181" s="59">
        <f t="shared" si="144"/>
        <v>441.82647565372287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14.053089830171073</v>
      </c>
      <c r="AV181" s="21">
        <f>EXP(-LN(2)/25)*AV180+(1-EXP(-LN(2)/25))/(LN(2)/25)*Calculateur!AQ181*Calculateur!AS181*VLOOKUP('Données projet'!$B$10,Paramètres!$A$1:$I$89,3,0)*0.475*44/12</f>
        <v>0.97244397842490704</v>
      </c>
      <c r="AW181" s="21">
        <f>EXP(-LN(2)/2)*AW180+(1-EXP(-LN(2)/2))/(LN(2)/2)*AQ181*AT181*VLOOKUP('Données projet'!$B$10,Paramètres!$A$1:$I$89,3,0)*0.475*44/12</f>
        <v>2.7721716143851722E-24</v>
      </c>
      <c r="AX181" s="21">
        <f t="shared" si="166"/>
        <v>15.025533808595981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266.99999999999983</v>
      </c>
      <c r="BE181" s="13">
        <f>BD181*VLOOKUP('Données projet'!$B$11,Paramètres!$A$1:$I$89,3,0)*VLOOKUP('Données projet'!$B$11,Paramètres!$A$1:$I$89,5,0)</f>
        <v>233.2511999999999</v>
      </c>
      <c r="BF181" s="13">
        <f t="shared" si="167"/>
        <v>56.985091661350864</v>
      </c>
      <c r="BG181" s="20">
        <f t="shared" si="168"/>
        <v>505.49487464351915</v>
      </c>
      <c r="BH181" s="59">
        <f t="shared" si="116"/>
        <v>798.82820797685247</v>
      </c>
      <c r="BI181" s="59">
        <f ca="1">AVERAGE(OFFSET($BH$3,0,0,'Données projet'!$E$11+1,1))-AVERAGE(OFFSET($H$3,0,0,'Données projet'!$E$11+1,1))</f>
        <v>324.86930206492627</v>
      </c>
      <c r="BJ181" s="59">
        <f t="shared" si="146"/>
        <v>317.03005098025352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6.8405536233482058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6.8405536233482058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306.99999999999994</v>
      </c>
      <c r="BZ181" s="13">
        <f>BY181*VLOOKUP('Données projet'!$B$12,Paramètres!$A$1:$I$89,3,0)*VLOOKUP('Données projet'!$B$12,Paramètres!$A$1:$I$89,5,0)</f>
        <v>311.298</v>
      </c>
      <c r="CA181" s="13">
        <f t="shared" si="170"/>
        <v>73.539838278528748</v>
      </c>
      <c r="CB181" s="20">
        <f t="shared" si="171"/>
        <v>670.25923500177089</v>
      </c>
      <c r="CC181" s="59">
        <f t="shared" si="119"/>
        <v>963.59256833510426</v>
      </c>
      <c r="CD181" s="59">
        <f ca="1">AVERAGE(OFFSET($CC$3,0,0,'Données projet'!$E$12+1,1))-AVERAGE(OFFSET($H$3,0,0,'Données projet'!$E$12+1,1))</f>
        <v>487.18832528146936</v>
      </c>
      <c r="CE181" s="59">
        <f t="shared" si="148"/>
        <v>306.61893266146666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32.214676271340871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32.214676271340871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20.879999999999939</v>
      </c>
      <c r="CU181" s="17">
        <f>CT181*VLOOKUP('Données projet'!$B$13,Paramètres!$A$1:$I$89,3,0)*VLOOKUP('Données projet'!$B$13,Paramètres!$A$1:$I$89,5,0)</f>
        <v>19.86940799999994</v>
      </c>
      <c r="CV181" s="13">
        <f t="shared" si="173"/>
        <v>6.4658893302320672</v>
      </c>
      <c r="CW181" s="20">
        <f t="shared" si="174"/>
        <v>45.86730951682074</v>
      </c>
      <c r="CX181" s="59">
        <f t="shared" si="122"/>
        <v>339.20064285015405</v>
      </c>
      <c r="CY181" s="59">
        <f ca="1">AVERAGE(OFFSET($CX$3,0,0,'Données projet'!$E$13+1,1))-AVERAGE(OFFSET($H$3,0,0,'Données projet'!$E$13+1,1))</f>
        <v>733.95677909788878</v>
      </c>
      <c r="CZ181" s="59">
        <f t="shared" si="150"/>
        <v>264.63778997972378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256.65592181716374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256.65592181716374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853.00000000000011</v>
      </c>
      <c r="O182" s="13">
        <f>N182*VLOOKUP('Données projet'!$B$9,Paramètres!$A$1:$I$89,3,0)*VLOOKUP('Données projet'!$B$9,Paramètres!$A$1:$I$89,5,0)</f>
        <v>399.20400000000006</v>
      </c>
      <c r="P182" s="13">
        <f t="shared" si="141"/>
        <v>91.615269732888521</v>
      </c>
      <c r="Q182" s="20">
        <f t="shared" si="162"/>
        <v>854.8435614514475</v>
      </c>
      <c r="R182" s="59">
        <f t="shared" si="109"/>
        <v>1148.1768947847809</v>
      </c>
      <c r="S182" s="59">
        <f ca="1">AVERAGE(OFFSET($R$3,0,0,'Données projet'!$E$9+1,1))-AVERAGE(OFFSET($H$3,0,0,'Données projet'!$E$9+1,1))</f>
        <v>488.67934252295686</v>
      </c>
      <c r="T182" s="59">
        <f t="shared" si="142"/>
        <v>424.50324471331095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19.509897067139615</v>
      </c>
      <c r="AA182" s="21">
        <f>EXP(-LN(2)/25)*AA181+(1-EXP(-LN(2)/25))/(LN(2)/25)*Calculateur!V182*Calculateur!X182*VLOOKUP('Données projet'!$B$9,Paramètres!$A$1:$I$89,3,0)*0.475*44/12</f>
        <v>0.78694602149725024</v>
      </c>
      <c r="AB182" s="21">
        <f>EXP(-LN(2)/2)*AB181+(1-EXP(-LN(2)/2))/(LN(2)/2)*V182*Y182*VLOOKUP('Données projet'!$B$9,Paramètres!$A$1:$I$89,3,0)*0.475*44/12</f>
        <v>3.0373358557611422E-23</v>
      </c>
      <c r="AC182" s="22">
        <f t="shared" si="163"/>
        <v>20.296843088636866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689</v>
      </c>
      <c r="AJ182" s="13">
        <f>AI182*VLOOKUP('Données projet'!$B$10,Paramètres!$A$1:$I$89,3,0)*VLOOKUP('Données projet'!$B$10,Paramètres!$A$1:$I$89,5,0)</f>
        <v>412.02199999999999</v>
      </c>
      <c r="AK182" s="13">
        <f t="shared" si="164"/>
        <v>94.209724877926391</v>
      </c>
      <c r="AL182" s="20">
        <f t="shared" si="165"/>
        <v>881.686920829055</v>
      </c>
      <c r="AM182" s="59">
        <f t="shared" si="113"/>
        <v>1175.0202541623883</v>
      </c>
      <c r="AN182" s="59">
        <f ca="1">AVERAGE(OFFSET($AM$3,0,0,'Données projet'!$E$10+1,1))-AVERAGE(OFFSET($H$3,0,0,'Données projet'!$E$10+1,1))</f>
        <v>504.81063008331739</v>
      </c>
      <c r="AO182" s="59">
        <f t="shared" si="144"/>
        <v>441.82647565372287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13.777517310139846</v>
      </c>
      <c r="AV182" s="21">
        <f>EXP(-LN(2)/25)*AV181+(1-EXP(-LN(2)/25))/(LN(2)/25)*Calculateur!AQ182*Calculateur!AS182*VLOOKUP('Données projet'!$B$10,Paramètres!$A$1:$I$89,3,0)*0.475*44/12</f>
        <v>0.94585244669627166</v>
      </c>
      <c r="AW182" s="21">
        <f>EXP(-LN(2)/2)*AW181+(1-EXP(-LN(2)/2))/(LN(2)/2)*AQ182*AT182*VLOOKUP('Données projet'!$B$10,Paramètres!$A$1:$I$89,3,0)*0.475*44/12</f>
        <v>1.9602213471446141E-24</v>
      </c>
      <c r="AX182" s="21">
        <f t="shared" si="166"/>
        <v>14.723369756836117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266.99999999999983</v>
      </c>
      <c r="BE182" s="13">
        <f>BD182*VLOOKUP('Données projet'!$B$11,Paramètres!$A$1:$I$89,3,0)*VLOOKUP('Données projet'!$B$11,Paramètres!$A$1:$I$89,5,0)</f>
        <v>233.2511999999999</v>
      </c>
      <c r="BF182" s="13">
        <f t="shared" si="167"/>
        <v>56.985091661350864</v>
      </c>
      <c r="BG182" s="20">
        <f t="shared" si="168"/>
        <v>505.49487464351915</v>
      </c>
      <c r="BH182" s="59">
        <f t="shared" si="116"/>
        <v>798.82820797685247</v>
      </c>
      <c r="BI182" s="59">
        <f ca="1">AVERAGE(OFFSET($BH$3,0,0,'Données projet'!$E$11+1,1))-AVERAGE(OFFSET($H$3,0,0,'Données projet'!$E$11+1,1))</f>
        <v>324.86930206492627</v>
      </c>
      <c r="BJ182" s="59">
        <f t="shared" si="146"/>
        <v>317.03005098025352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6.7064145391200745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6.7064145391200745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306.99999999999994</v>
      </c>
      <c r="BZ182" s="13">
        <f>BY182*VLOOKUP('Données projet'!$B$12,Paramètres!$A$1:$I$89,3,0)*VLOOKUP('Données projet'!$B$12,Paramètres!$A$1:$I$89,5,0)</f>
        <v>311.298</v>
      </c>
      <c r="CA182" s="13">
        <f t="shared" si="170"/>
        <v>73.539838278528748</v>
      </c>
      <c r="CB182" s="20">
        <f t="shared" si="171"/>
        <v>670.25923500177089</v>
      </c>
      <c r="CC182" s="59">
        <f t="shared" si="119"/>
        <v>963.59256833510426</v>
      </c>
      <c r="CD182" s="59">
        <f ca="1">AVERAGE(OFFSET($CC$3,0,0,'Données projet'!$E$12+1,1))-AVERAGE(OFFSET($H$3,0,0,'Données projet'!$E$12+1,1))</f>
        <v>487.18832528146936</v>
      </c>
      <c r="CE182" s="59">
        <f t="shared" si="148"/>
        <v>306.61893266146666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31.582966118672221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31.582966118672221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20.879999999999939</v>
      </c>
      <c r="CU182" s="17">
        <f>CT182*VLOOKUP('Données projet'!$B$13,Paramètres!$A$1:$I$89,3,0)*VLOOKUP('Données projet'!$B$13,Paramètres!$A$1:$I$89,5,0)</f>
        <v>19.86940799999994</v>
      </c>
      <c r="CV182" s="13">
        <f t="shared" si="173"/>
        <v>6.4658893302320672</v>
      </c>
      <c r="CW182" s="20">
        <f t="shared" si="174"/>
        <v>45.86730951682074</v>
      </c>
      <c r="CX182" s="59">
        <f t="shared" si="122"/>
        <v>339.20064285015405</v>
      </c>
      <c r="CY182" s="59">
        <f ca="1">AVERAGE(OFFSET($CX$3,0,0,'Données projet'!$E$13+1,1))-AVERAGE(OFFSET($H$3,0,0,'Données projet'!$E$13+1,1))</f>
        <v>733.95677909788878</v>
      </c>
      <c r="CZ182" s="59">
        <f t="shared" si="150"/>
        <v>264.63778997972378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251.62305573498398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251.62305573498398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853.00000000000011</v>
      </c>
      <c r="O183" s="13">
        <f>N183*VLOOKUP('Données projet'!$B$9,Paramètres!$A$1:$I$89,3,0)*VLOOKUP('Données projet'!$B$9,Paramètres!$A$1:$I$89,5,0)</f>
        <v>399.20400000000006</v>
      </c>
      <c r="P183" s="13">
        <f t="shared" si="141"/>
        <v>91.615269732888521</v>
      </c>
      <c r="Q183" s="20">
        <f t="shared" si="162"/>
        <v>854.8435614514475</v>
      </c>
      <c r="R183" s="59">
        <f t="shared" si="109"/>
        <v>1148.1768947847809</v>
      </c>
      <c r="S183" s="59">
        <f ca="1">AVERAGE(OFFSET($R$3,0,0,'Données projet'!$E$9+1,1))-AVERAGE(OFFSET($H$3,0,0,'Données projet'!$E$9+1,1))</f>
        <v>488.67934252295686</v>
      </c>
      <c r="T183" s="59">
        <f t="shared" si="142"/>
        <v>424.50324471331095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19.127319885515206</v>
      </c>
      <c r="AA183" s="21">
        <f>EXP(-LN(2)/25)*AA182+(1-EXP(-LN(2)/25))/(LN(2)/25)*Calculateur!V183*Calculateur!X183*VLOOKUP('Données projet'!$B$9,Paramètres!$A$1:$I$89,3,0)*0.475*44/12</f>
        <v>0.7654269411557153</v>
      </c>
      <c r="AB183" s="21">
        <f>EXP(-LN(2)/2)*AB182+(1-EXP(-LN(2)/2))/(LN(2)/2)*V183*Y183*VLOOKUP('Données projet'!$B$9,Paramètres!$A$1:$I$89,3,0)*0.475*44/12</f>
        <v>2.1477207803497491E-23</v>
      </c>
      <c r="AC183" s="22">
        <f t="shared" si="163"/>
        <v>19.892746826670923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689</v>
      </c>
      <c r="AJ183" s="13">
        <f>AI183*VLOOKUP('Données projet'!$B$10,Paramètres!$A$1:$I$89,3,0)*VLOOKUP('Données projet'!$B$10,Paramètres!$A$1:$I$89,5,0)</f>
        <v>412.02199999999999</v>
      </c>
      <c r="AK183" s="13">
        <f t="shared" si="164"/>
        <v>94.209724877926391</v>
      </c>
      <c r="AL183" s="20">
        <f t="shared" si="165"/>
        <v>881.686920829055</v>
      </c>
      <c r="AM183" s="59">
        <f t="shared" si="113"/>
        <v>1175.0202541623883</v>
      </c>
      <c r="AN183" s="59">
        <f ca="1">AVERAGE(OFFSET($AM$3,0,0,'Données projet'!$E$10+1,1))-AVERAGE(OFFSET($H$3,0,0,'Données projet'!$E$10+1,1))</f>
        <v>504.81063008331739</v>
      </c>
      <c r="AO183" s="59">
        <f t="shared" si="144"/>
        <v>441.82647565372287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13.507348599143791</v>
      </c>
      <c r="AV183" s="21">
        <f>EXP(-LN(2)/25)*AV182+(1-EXP(-LN(2)/25))/(LN(2)/25)*Calculateur!AQ183*Calculateur!AS183*VLOOKUP('Données projet'!$B$10,Paramètres!$A$1:$I$89,3,0)*0.475*44/12</f>
        <v>0.91998806180114368</v>
      </c>
      <c r="AW183" s="21">
        <f>EXP(-LN(2)/2)*AW182+(1-EXP(-LN(2)/2))/(LN(2)/2)*AQ183*AT183*VLOOKUP('Données projet'!$B$10,Paramètres!$A$1:$I$89,3,0)*0.475*44/12</f>
        <v>1.3860858071925861E-24</v>
      </c>
      <c r="AX183" s="21">
        <f t="shared" si="166"/>
        <v>14.427336660944935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266.99999999999983</v>
      </c>
      <c r="BE183" s="13">
        <f>BD183*VLOOKUP('Données projet'!$B$11,Paramètres!$A$1:$I$89,3,0)*VLOOKUP('Données projet'!$B$11,Paramètres!$A$1:$I$89,5,0)</f>
        <v>233.2511999999999</v>
      </c>
      <c r="BF183" s="13">
        <f t="shared" si="167"/>
        <v>56.985091661350864</v>
      </c>
      <c r="BG183" s="20">
        <f t="shared" si="168"/>
        <v>505.49487464351915</v>
      </c>
      <c r="BH183" s="59">
        <f t="shared" si="116"/>
        <v>798.82820797685247</v>
      </c>
      <c r="BI183" s="59">
        <f ca="1">AVERAGE(OFFSET($BH$3,0,0,'Données projet'!$E$11+1,1))-AVERAGE(OFFSET($H$3,0,0,'Données projet'!$E$11+1,1))</f>
        <v>324.86930206492627</v>
      </c>
      <c r="BJ183" s="59">
        <f t="shared" si="146"/>
        <v>317.03005098025352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6.5749058405168945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6.5749058405168945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306.99999999999994</v>
      </c>
      <c r="BZ183" s="13">
        <f>BY183*VLOOKUP('Données projet'!$B$12,Paramètres!$A$1:$I$89,3,0)*VLOOKUP('Données projet'!$B$12,Paramètres!$A$1:$I$89,5,0)</f>
        <v>311.298</v>
      </c>
      <c r="CA183" s="13">
        <f t="shared" si="170"/>
        <v>73.539838278528748</v>
      </c>
      <c r="CB183" s="20">
        <f t="shared" si="171"/>
        <v>670.25923500177089</v>
      </c>
      <c r="CC183" s="59">
        <f t="shared" si="119"/>
        <v>963.59256833510426</v>
      </c>
      <c r="CD183" s="59">
        <f ca="1">AVERAGE(OFFSET($CC$3,0,0,'Données projet'!$E$12+1,1))-AVERAGE(OFFSET($H$3,0,0,'Données projet'!$E$12+1,1))</f>
        <v>487.18832528146936</v>
      </c>
      <c r="CE183" s="59">
        <f t="shared" si="148"/>
        <v>306.61893266146666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30.963643416792259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30.963643416792259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20.879999999999939</v>
      </c>
      <c r="CU183" s="17">
        <f>CT183*VLOOKUP('Données projet'!$B$13,Paramètres!$A$1:$I$89,3,0)*VLOOKUP('Données projet'!$B$13,Paramètres!$A$1:$I$89,5,0)</f>
        <v>19.86940799999994</v>
      </c>
      <c r="CV183" s="13">
        <f t="shared" si="173"/>
        <v>6.4658893302320672</v>
      </c>
      <c r="CW183" s="20">
        <f t="shared" si="174"/>
        <v>45.86730951682074</v>
      </c>
      <c r="CX183" s="59">
        <f t="shared" si="122"/>
        <v>339.20064285015405</v>
      </c>
      <c r="CY183" s="59">
        <f ca="1">AVERAGE(OFFSET($CX$3,0,0,'Données projet'!$E$13+1,1))-AVERAGE(OFFSET($H$3,0,0,'Données projet'!$E$13+1,1))</f>
        <v>733.95677909788878</v>
      </c>
      <c r="CZ183" s="59">
        <f t="shared" si="150"/>
        <v>264.63778997972378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246.68888108693056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246.68888108693056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853.00000000000011</v>
      </c>
      <c r="O184" s="13">
        <f>N184*VLOOKUP('Données projet'!$B$9,Paramètres!$A$1:$I$89,3,0)*VLOOKUP('Données projet'!$B$9,Paramètres!$A$1:$I$89,5,0)</f>
        <v>399.20400000000006</v>
      </c>
      <c r="P184" s="13">
        <f t="shared" si="141"/>
        <v>91.615269732888521</v>
      </c>
      <c r="Q184" s="20">
        <f t="shared" si="162"/>
        <v>854.8435614514475</v>
      </c>
      <c r="R184" s="59">
        <f t="shared" si="109"/>
        <v>1148.1768947847809</v>
      </c>
      <c r="S184" s="59">
        <f ca="1">AVERAGE(OFFSET($R$3,0,0,'Données projet'!$E$9+1,1))-AVERAGE(OFFSET($H$3,0,0,'Données projet'!$E$9+1,1))</f>
        <v>488.67934252295686</v>
      </c>
      <c r="T184" s="59">
        <f t="shared" si="142"/>
        <v>424.50324471331095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18.75224480907341</v>
      </c>
      <c r="AA184" s="21">
        <f>EXP(-LN(2)/25)*AA183+(1-EXP(-LN(2)/25))/(LN(2)/25)*Calculateur!V184*Calculateur!X184*VLOOKUP('Données projet'!$B$9,Paramètres!$A$1:$I$89,3,0)*0.475*44/12</f>
        <v>0.74449630119775889</v>
      </c>
      <c r="AB184" s="21">
        <f>EXP(-LN(2)/2)*AB183+(1-EXP(-LN(2)/2))/(LN(2)/2)*V184*Y184*VLOOKUP('Données projet'!$B$9,Paramètres!$A$1:$I$89,3,0)*0.475*44/12</f>
        <v>1.5186679278805711E-23</v>
      </c>
      <c r="AC184" s="22">
        <f t="shared" si="163"/>
        <v>19.49674111027117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689</v>
      </c>
      <c r="AJ184" s="13">
        <f>AI184*VLOOKUP('Données projet'!$B$10,Paramètres!$A$1:$I$89,3,0)*VLOOKUP('Données projet'!$B$10,Paramètres!$A$1:$I$89,5,0)</f>
        <v>412.02199999999999</v>
      </c>
      <c r="AK184" s="13">
        <f t="shared" si="164"/>
        <v>94.209724877926391</v>
      </c>
      <c r="AL184" s="20">
        <f t="shared" si="165"/>
        <v>881.686920829055</v>
      </c>
      <c r="AM184" s="59">
        <f t="shared" si="113"/>
        <v>1175.0202541623883</v>
      </c>
      <c r="AN184" s="59">
        <f ca="1">AVERAGE(OFFSET($AM$3,0,0,'Données projet'!$E$10+1,1))-AVERAGE(OFFSET($H$3,0,0,'Données projet'!$E$10+1,1))</f>
        <v>504.81063008331739</v>
      </c>
      <c r="AO184" s="59">
        <f t="shared" si="144"/>
        <v>441.82647565372287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13.242477731783726</v>
      </c>
      <c r="AV184" s="21">
        <f>EXP(-LN(2)/25)*AV183+(1-EXP(-LN(2)/25))/(LN(2)/25)*Calculateur!AQ184*Calculateur!AS184*VLOOKUP('Données projet'!$B$10,Paramètres!$A$1:$I$89,3,0)*0.475*44/12</f>
        <v>0.89483093987112194</v>
      </c>
      <c r="AW184" s="21">
        <f>EXP(-LN(2)/2)*AW183+(1-EXP(-LN(2)/2))/(LN(2)/2)*AQ184*AT184*VLOOKUP('Données projet'!$B$10,Paramètres!$A$1:$I$89,3,0)*0.475*44/12</f>
        <v>9.8011067357230706E-25</v>
      </c>
      <c r="AX184" s="21">
        <f t="shared" si="166"/>
        <v>14.137308671654848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266.99999999999983</v>
      </c>
      <c r="BE184" s="13">
        <f>BD184*VLOOKUP('Données projet'!$B$11,Paramètres!$A$1:$I$89,3,0)*VLOOKUP('Données projet'!$B$11,Paramètres!$A$1:$I$89,5,0)</f>
        <v>233.2511999999999</v>
      </c>
      <c r="BF184" s="13">
        <f t="shared" si="167"/>
        <v>56.985091661350864</v>
      </c>
      <c r="BG184" s="20">
        <f t="shared" si="168"/>
        <v>505.49487464351915</v>
      </c>
      <c r="BH184" s="59">
        <f t="shared" si="116"/>
        <v>798.82820797685247</v>
      </c>
      <c r="BI184" s="59">
        <f ca="1">AVERAGE(OFFSET($BH$3,0,0,'Données projet'!$E$11+1,1))-AVERAGE(OFFSET($H$3,0,0,'Données projet'!$E$11+1,1))</f>
        <v>324.86930206492627</v>
      </c>
      <c r="BJ184" s="59">
        <f t="shared" si="146"/>
        <v>317.03005098025352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6.445975947280937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6.445975947280937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306.99999999999994</v>
      </c>
      <c r="BZ184" s="13">
        <f>BY184*VLOOKUP('Données projet'!$B$12,Paramètres!$A$1:$I$89,3,0)*VLOOKUP('Données projet'!$B$12,Paramètres!$A$1:$I$89,5,0)</f>
        <v>311.298</v>
      </c>
      <c r="CA184" s="13">
        <f t="shared" si="170"/>
        <v>73.539838278528748</v>
      </c>
      <c r="CB184" s="20">
        <f t="shared" si="171"/>
        <v>670.25923500177089</v>
      </c>
      <c r="CC184" s="59">
        <f t="shared" si="119"/>
        <v>963.59256833510426</v>
      </c>
      <c r="CD184" s="59">
        <f ca="1">AVERAGE(OFFSET($CC$3,0,0,'Données projet'!$E$12+1,1))-AVERAGE(OFFSET($H$3,0,0,'Données projet'!$E$12+1,1))</f>
        <v>487.18832528146936</v>
      </c>
      <c r="CE184" s="59">
        <f t="shared" si="148"/>
        <v>306.61893266146666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30.356465255346613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30.356465255346613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20.879999999999939</v>
      </c>
      <c r="CU184" s="17">
        <f>CT184*VLOOKUP('Données projet'!$B$13,Paramètres!$A$1:$I$89,3,0)*VLOOKUP('Données projet'!$B$13,Paramètres!$A$1:$I$89,5,0)</f>
        <v>19.86940799999994</v>
      </c>
      <c r="CV184" s="13">
        <f t="shared" si="173"/>
        <v>6.4658893302320672</v>
      </c>
      <c r="CW184" s="20">
        <f t="shared" si="174"/>
        <v>45.86730951682074</v>
      </c>
      <c r="CX184" s="59">
        <f t="shared" si="122"/>
        <v>339.20064285015405</v>
      </c>
      <c r="CY184" s="59">
        <f ca="1">AVERAGE(OFFSET($CX$3,0,0,'Données projet'!$E$13+1,1))-AVERAGE(OFFSET($H$3,0,0,'Données projet'!$E$13+1,1))</f>
        <v>733.95677909788878</v>
      </c>
      <c r="CZ184" s="59">
        <f t="shared" si="150"/>
        <v>264.63778997972378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241.8514625941761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241.8514625941761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853.00000000000011</v>
      </c>
      <c r="O185" s="13">
        <f>N185*VLOOKUP('Données projet'!$B$9,Paramètres!$A$1:$I$89,3,0)*VLOOKUP('Données projet'!$B$9,Paramètres!$A$1:$I$89,5,0)</f>
        <v>399.20400000000006</v>
      </c>
      <c r="P185" s="13">
        <f t="shared" si="141"/>
        <v>91.615269732888521</v>
      </c>
      <c r="Q185" s="20">
        <f t="shared" si="162"/>
        <v>854.8435614514475</v>
      </c>
      <c r="R185" s="59">
        <f t="shared" si="109"/>
        <v>1148.1768947847809</v>
      </c>
      <c r="S185" s="59">
        <f ca="1">AVERAGE(OFFSET($R$3,0,0,'Données projet'!$E$9+1,1))-AVERAGE(OFFSET($H$3,0,0,'Données projet'!$E$9+1,1))</f>
        <v>488.67934252295686</v>
      </c>
      <c r="T185" s="59">
        <f t="shared" si="142"/>
        <v>424.50324471331095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18.384524726107433</v>
      </c>
      <c r="AA185" s="21">
        <f>EXP(-LN(2)/25)*AA184+(1-EXP(-LN(2)/25))/(LN(2)/25)*Calculateur!V185*Calculateur!X185*VLOOKUP('Données projet'!$B$9,Paramètres!$A$1:$I$89,3,0)*0.475*44/12</f>
        <v>0.72413801069014727</v>
      </c>
      <c r="AB185" s="21">
        <f>EXP(-LN(2)/2)*AB184+(1-EXP(-LN(2)/2))/(LN(2)/2)*V185*Y185*VLOOKUP('Données projet'!$B$9,Paramètres!$A$1:$I$89,3,0)*0.475*44/12</f>
        <v>1.0738603901748745E-23</v>
      </c>
      <c r="AC185" s="22">
        <f t="shared" si="163"/>
        <v>19.10866273679758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689</v>
      </c>
      <c r="AJ185" s="13">
        <f>AI185*VLOOKUP('Données projet'!$B$10,Paramètres!$A$1:$I$89,3,0)*VLOOKUP('Données projet'!$B$10,Paramètres!$A$1:$I$89,5,0)</f>
        <v>412.02199999999999</v>
      </c>
      <c r="AK185" s="13">
        <f t="shared" si="164"/>
        <v>94.209724877926391</v>
      </c>
      <c r="AL185" s="20">
        <f t="shared" si="165"/>
        <v>881.686920829055</v>
      </c>
      <c r="AM185" s="59">
        <f t="shared" si="113"/>
        <v>1175.0202541623883</v>
      </c>
      <c r="AN185" s="59">
        <f ca="1">AVERAGE(OFFSET($AM$3,0,0,'Données projet'!$E$10+1,1))-AVERAGE(OFFSET($H$3,0,0,'Données projet'!$E$10+1,1))</f>
        <v>504.81063008331739</v>
      </c>
      <c r="AO185" s="59">
        <f t="shared" si="144"/>
        <v>441.82647565372287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12.982800820577316</v>
      </c>
      <c r="AV185" s="21">
        <f>EXP(-LN(2)/25)*AV184+(1-EXP(-LN(2)/25))/(LN(2)/25)*Calculateur!AQ185*Calculateur!AS185*VLOOKUP('Données projet'!$B$10,Paramètres!$A$1:$I$89,3,0)*0.475*44/12</f>
        <v>0.87036174076323214</v>
      </c>
      <c r="AW185" s="21">
        <f>EXP(-LN(2)/2)*AW184+(1-EXP(-LN(2)/2))/(LN(2)/2)*AQ185*AT185*VLOOKUP('Données projet'!$B$10,Paramètres!$A$1:$I$89,3,0)*0.475*44/12</f>
        <v>6.9304290359629305E-25</v>
      </c>
      <c r="AX185" s="21">
        <f t="shared" si="166"/>
        <v>13.853162561340548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266.99999999999983</v>
      </c>
      <c r="BE185" s="13">
        <f>BD185*VLOOKUP('Données projet'!$B$11,Paramètres!$A$1:$I$89,3,0)*VLOOKUP('Données projet'!$B$11,Paramètres!$A$1:$I$89,5,0)</f>
        <v>233.2511999999999</v>
      </c>
      <c r="BF185" s="13">
        <f t="shared" si="167"/>
        <v>56.985091661350864</v>
      </c>
      <c r="BG185" s="20">
        <f t="shared" si="168"/>
        <v>505.49487464351915</v>
      </c>
      <c r="BH185" s="59">
        <f t="shared" si="116"/>
        <v>798.82820797685247</v>
      </c>
      <c r="BI185" s="59">
        <f ca="1">AVERAGE(OFFSET($BH$3,0,0,'Données projet'!$E$11+1,1))-AVERAGE(OFFSET($H$3,0,0,'Données projet'!$E$11+1,1))</f>
        <v>324.86930206492627</v>
      </c>
      <c r="BJ185" s="59">
        <f t="shared" si="146"/>
        <v>317.03005098025352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6.3195742906118664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6.3195742906118664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306.99999999999994</v>
      </c>
      <c r="BZ185" s="13">
        <f>BY185*VLOOKUP('Données projet'!$B$12,Paramètres!$A$1:$I$89,3,0)*VLOOKUP('Données projet'!$B$12,Paramètres!$A$1:$I$89,5,0)</f>
        <v>311.298</v>
      </c>
      <c r="CA185" s="13">
        <f t="shared" si="170"/>
        <v>73.539838278528748</v>
      </c>
      <c r="CB185" s="20">
        <f t="shared" si="171"/>
        <v>670.25923500177089</v>
      </c>
      <c r="CC185" s="59">
        <f t="shared" si="119"/>
        <v>963.59256833510426</v>
      </c>
      <c r="CD185" s="59">
        <f ca="1">AVERAGE(OFFSET($CC$3,0,0,'Données projet'!$E$12+1,1))-AVERAGE(OFFSET($H$3,0,0,'Données projet'!$E$12+1,1))</f>
        <v>487.18832528146936</v>
      </c>
      <c r="CE185" s="59">
        <f t="shared" si="148"/>
        <v>306.61893266146666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29.761193487304805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29.761193487304805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20.879999999999939</v>
      </c>
      <c r="CU185" s="17">
        <f>CT185*VLOOKUP('Données projet'!$B$13,Paramètres!$A$1:$I$89,3,0)*VLOOKUP('Données projet'!$B$13,Paramètres!$A$1:$I$89,5,0)</f>
        <v>19.86940799999994</v>
      </c>
      <c r="CV185" s="13">
        <f t="shared" si="173"/>
        <v>6.4658893302320672</v>
      </c>
      <c r="CW185" s="20">
        <f t="shared" si="174"/>
        <v>45.86730951682074</v>
      </c>
      <c r="CX185" s="59">
        <f t="shared" si="122"/>
        <v>339.20064285015405</v>
      </c>
      <c r="CY185" s="59">
        <f ca="1">AVERAGE(OFFSET($CX$3,0,0,'Données projet'!$E$13+1,1))-AVERAGE(OFFSET($H$3,0,0,'Données projet'!$E$13+1,1))</f>
        <v>733.95677909788878</v>
      </c>
      <c r="CZ185" s="59">
        <f t="shared" si="150"/>
        <v>264.63778997972378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237.10890292753061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237.10890292753061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853.00000000000011</v>
      </c>
      <c r="O186" s="13">
        <f>N186*VLOOKUP('Données projet'!$B$9,Paramètres!$A$1:$I$89,3,0)*VLOOKUP('Données projet'!$B$9,Paramètres!$A$1:$I$89,5,0)</f>
        <v>399.20400000000006</v>
      </c>
      <c r="P186" s="13">
        <f t="shared" si="141"/>
        <v>91.615269732888521</v>
      </c>
      <c r="Q186" s="20">
        <f t="shared" si="162"/>
        <v>854.8435614514475</v>
      </c>
      <c r="R186" s="59">
        <f t="shared" si="109"/>
        <v>1148.1768947847809</v>
      </c>
      <c r="S186" s="59">
        <f ca="1">AVERAGE(OFFSET($R$3,0,0,'Données projet'!$E$9+1,1))-AVERAGE(OFFSET($H$3,0,0,'Données projet'!$E$9+1,1))</f>
        <v>488.67934252295686</v>
      </c>
      <c r="T186" s="59">
        <f t="shared" si="142"/>
        <v>424.50324471331095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18.024015409681311</v>
      </c>
      <c r="AA186" s="21">
        <f>EXP(-LN(2)/25)*AA185+(1-EXP(-LN(2)/25))/(LN(2)/25)*Calculateur!V186*Calculateur!X186*VLOOKUP('Données projet'!$B$9,Paramètres!$A$1:$I$89,3,0)*0.475*44/12</f>
        <v>0.70433641870706221</v>
      </c>
      <c r="AB186" s="21">
        <f>EXP(-LN(2)/2)*AB185+(1-EXP(-LN(2)/2))/(LN(2)/2)*V186*Y186*VLOOKUP('Données projet'!$B$9,Paramètres!$A$1:$I$89,3,0)*0.475*44/12</f>
        <v>7.5933396394028554E-24</v>
      </c>
      <c r="AC186" s="22">
        <f t="shared" si="163"/>
        <v>18.728351828388373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689</v>
      </c>
      <c r="AJ186" s="13">
        <f>AI186*VLOOKUP('Données projet'!$B$10,Paramètres!$A$1:$I$89,3,0)*VLOOKUP('Données projet'!$B$10,Paramètres!$A$1:$I$89,5,0)</f>
        <v>412.02199999999999</v>
      </c>
      <c r="AK186" s="13">
        <f t="shared" si="164"/>
        <v>94.209724877926391</v>
      </c>
      <c r="AL186" s="20">
        <f t="shared" si="165"/>
        <v>881.686920829055</v>
      </c>
      <c r="AM186" s="59">
        <f t="shared" si="113"/>
        <v>1175.0202541623883</v>
      </c>
      <c r="AN186" s="59">
        <f ca="1">AVERAGE(OFFSET($AM$3,0,0,'Données projet'!$E$10+1,1))-AVERAGE(OFFSET($H$3,0,0,'Données projet'!$E$10+1,1))</f>
        <v>504.81063008331739</v>
      </c>
      <c r="AO186" s="59">
        <f t="shared" si="144"/>
        <v>441.82647565372287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12.728216015212386</v>
      </c>
      <c r="AV186" s="21">
        <f>EXP(-LN(2)/25)*AV185+(1-EXP(-LN(2)/25))/(LN(2)/25)*Calculateur!AQ186*Calculateur!AS186*VLOOKUP('Données projet'!$B$10,Paramètres!$A$1:$I$89,3,0)*0.475*44/12</f>
        <v>0.84656165319172683</v>
      </c>
      <c r="AW186" s="21">
        <f>EXP(-LN(2)/2)*AW185+(1-EXP(-LN(2)/2))/(LN(2)/2)*AQ186*AT186*VLOOKUP('Données projet'!$B$10,Paramètres!$A$1:$I$89,3,0)*0.475*44/12</f>
        <v>4.9005533678615353E-25</v>
      </c>
      <c r="AX186" s="21">
        <f t="shared" si="166"/>
        <v>13.574777668404113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266.99999999999983</v>
      </c>
      <c r="BE186" s="13">
        <f>BD186*VLOOKUP('Données projet'!$B$11,Paramètres!$A$1:$I$89,3,0)*VLOOKUP('Données projet'!$B$11,Paramètres!$A$1:$I$89,5,0)</f>
        <v>233.2511999999999</v>
      </c>
      <c r="BF186" s="13">
        <f t="shared" si="167"/>
        <v>56.985091661350864</v>
      </c>
      <c r="BG186" s="20">
        <f t="shared" si="168"/>
        <v>505.49487464351915</v>
      </c>
      <c r="BH186" s="59">
        <f t="shared" si="116"/>
        <v>798.82820797685247</v>
      </c>
      <c r="BI186" s="59">
        <f ca="1">AVERAGE(OFFSET($BH$3,0,0,'Données projet'!$E$11+1,1))-AVERAGE(OFFSET($H$3,0,0,'Données projet'!$E$11+1,1))</f>
        <v>324.86930206492627</v>
      </c>
      <c r="BJ186" s="59">
        <f t="shared" si="146"/>
        <v>317.03005098025352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6.1956512933326788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6.1956512933326788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306.99999999999994</v>
      </c>
      <c r="BZ186" s="13">
        <f>BY186*VLOOKUP('Données projet'!$B$12,Paramètres!$A$1:$I$89,3,0)*VLOOKUP('Données projet'!$B$12,Paramètres!$A$1:$I$89,5,0)</f>
        <v>311.298</v>
      </c>
      <c r="CA186" s="13">
        <f t="shared" si="170"/>
        <v>73.539838278528748</v>
      </c>
      <c r="CB186" s="20">
        <f t="shared" si="171"/>
        <v>670.25923500177089</v>
      </c>
      <c r="CC186" s="59">
        <f t="shared" si="119"/>
        <v>963.59256833510426</v>
      </c>
      <c r="CD186" s="59">
        <f ca="1">AVERAGE(OFFSET($CC$3,0,0,'Données projet'!$E$12+1,1))-AVERAGE(OFFSET($H$3,0,0,'Données projet'!$E$12+1,1))</f>
        <v>487.18832528146936</v>
      </c>
      <c r="CE186" s="59">
        <f t="shared" si="148"/>
        <v>306.61893266146666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29.177594635554371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29.177594635554371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20.879999999999939</v>
      </c>
      <c r="CU186" s="17">
        <f>CT186*VLOOKUP('Données projet'!$B$13,Paramètres!$A$1:$I$89,3,0)*VLOOKUP('Données projet'!$B$13,Paramètres!$A$1:$I$89,5,0)</f>
        <v>19.86940799999994</v>
      </c>
      <c r="CV186" s="13">
        <f t="shared" si="173"/>
        <v>6.4658893302320672</v>
      </c>
      <c r="CW186" s="20">
        <f t="shared" si="174"/>
        <v>45.86730951682074</v>
      </c>
      <c r="CX186" s="59">
        <f t="shared" si="122"/>
        <v>339.20064285015405</v>
      </c>
      <c r="CY186" s="59">
        <f ca="1">AVERAGE(OFFSET($CX$3,0,0,'Données projet'!$E$13+1,1))-AVERAGE(OFFSET($H$3,0,0,'Données projet'!$E$13+1,1))</f>
        <v>733.95677909788878</v>
      </c>
      <c r="CZ186" s="59">
        <f t="shared" si="150"/>
        <v>264.63778997972378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232.45934196327227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232.45934196327227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853.00000000000011</v>
      </c>
      <c r="O187" s="13">
        <f>N187*VLOOKUP('Données projet'!$B$9,Paramètres!$A$1:$I$89,3,0)*VLOOKUP('Données projet'!$B$9,Paramètres!$A$1:$I$89,5,0)</f>
        <v>399.20400000000006</v>
      </c>
      <c r="P187" s="13">
        <f t="shared" si="141"/>
        <v>91.615269732888521</v>
      </c>
      <c r="Q187" s="20">
        <f t="shared" si="162"/>
        <v>854.8435614514475</v>
      </c>
      <c r="R187" s="59">
        <f t="shared" si="109"/>
        <v>1148.1768947847809</v>
      </c>
      <c r="S187" s="59">
        <f ca="1">AVERAGE(OFFSET($R$3,0,0,'Données projet'!$E$9+1,1))-AVERAGE(OFFSET($H$3,0,0,'Données projet'!$E$9+1,1))</f>
        <v>488.67934252295686</v>
      </c>
      <c r="T187" s="59">
        <f t="shared" si="142"/>
        <v>424.50324471331095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17.670575461061336</v>
      </c>
      <c r="AA187" s="21">
        <f>EXP(-LN(2)/25)*AA186+(1-EXP(-LN(2)/25))/(LN(2)/25)*Calculateur!V187*Calculateur!X187*VLOOKUP('Données projet'!$B$9,Paramètres!$A$1:$I$89,3,0)*0.475*44/12</f>
        <v>0.68507630229807515</v>
      </c>
      <c r="AB187" s="21">
        <f>EXP(-LN(2)/2)*AB186+(1-EXP(-LN(2)/2))/(LN(2)/2)*V187*Y187*VLOOKUP('Données projet'!$B$9,Paramètres!$A$1:$I$89,3,0)*0.475*44/12</f>
        <v>5.3693019508743727E-24</v>
      </c>
      <c r="AC187" s="22">
        <f t="shared" si="163"/>
        <v>18.355651763359411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689</v>
      </c>
      <c r="AJ187" s="13">
        <f>AI187*VLOOKUP('Données projet'!$B$10,Paramètres!$A$1:$I$89,3,0)*VLOOKUP('Données projet'!$B$10,Paramètres!$A$1:$I$89,5,0)</f>
        <v>412.02199999999999</v>
      </c>
      <c r="AK187" s="13">
        <f t="shared" si="164"/>
        <v>94.209724877926391</v>
      </c>
      <c r="AL187" s="20">
        <f t="shared" si="165"/>
        <v>881.686920829055</v>
      </c>
      <c r="AM187" s="59">
        <f t="shared" si="113"/>
        <v>1175.0202541623883</v>
      </c>
      <c r="AN187" s="59">
        <f ca="1">AVERAGE(OFFSET($AM$3,0,0,'Données projet'!$E$10+1,1))-AVERAGE(OFFSET($H$3,0,0,'Données projet'!$E$10+1,1))</f>
        <v>504.81063008331739</v>
      </c>
      <c r="AO187" s="59">
        <f t="shared" si="144"/>
        <v>441.82647565372287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12.478623462599264</v>
      </c>
      <c r="AV187" s="21">
        <f>EXP(-LN(2)/25)*AV186+(1-EXP(-LN(2)/25))/(LN(2)/25)*Calculateur!AQ187*Calculateur!AS187*VLOOKUP('Données projet'!$B$10,Paramètres!$A$1:$I$89,3,0)*0.475*44/12</f>
        <v>0.82341238026645658</v>
      </c>
      <c r="AW187" s="21">
        <f>EXP(-LN(2)/2)*AW186+(1-EXP(-LN(2)/2))/(LN(2)/2)*AQ187*AT187*VLOOKUP('Données projet'!$B$10,Paramètres!$A$1:$I$89,3,0)*0.475*44/12</f>
        <v>3.4652145179814653E-25</v>
      </c>
      <c r="AX187" s="21">
        <f t="shared" si="166"/>
        <v>13.30203584286572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266.99999999999983</v>
      </c>
      <c r="BE187" s="13">
        <f>BD187*VLOOKUP('Données projet'!$B$11,Paramètres!$A$1:$I$89,3,0)*VLOOKUP('Données projet'!$B$11,Paramètres!$A$1:$I$89,5,0)</f>
        <v>233.2511999999999</v>
      </c>
      <c r="BF187" s="13">
        <f t="shared" si="167"/>
        <v>56.985091661350864</v>
      </c>
      <c r="BG187" s="20">
        <f t="shared" si="168"/>
        <v>505.49487464351915</v>
      </c>
      <c r="BH187" s="59">
        <f t="shared" si="116"/>
        <v>798.82820797685247</v>
      </c>
      <c r="BI187" s="59">
        <f ca="1">AVERAGE(OFFSET($BH$3,0,0,'Données projet'!$E$11+1,1))-AVERAGE(OFFSET($H$3,0,0,'Données projet'!$E$11+1,1))</f>
        <v>324.86930206492627</v>
      </c>
      <c r="BJ187" s="59">
        <f t="shared" si="146"/>
        <v>317.03005098025352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6.0741583504445709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6.0741583504445709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306.99999999999994</v>
      </c>
      <c r="BZ187" s="13">
        <f>BY187*VLOOKUP('Données projet'!$B$12,Paramètres!$A$1:$I$89,3,0)*VLOOKUP('Données projet'!$B$12,Paramètres!$A$1:$I$89,5,0)</f>
        <v>311.298</v>
      </c>
      <c r="CA187" s="13">
        <f t="shared" si="170"/>
        <v>73.539838278528748</v>
      </c>
      <c r="CB187" s="20">
        <f t="shared" si="171"/>
        <v>670.25923500177089</v>
      </c>
      <c r="CC187" s="59">
        <f t="shared" si="119"/>
        <v>963.59256833510426</v>
      </c>
      <c r="CD187" s="59">
        <f ca="1">AVERAGE(OFFSET($CC$3,0,0,'Données projet'!$E$12+1,1))-AVERAGE(OFFSET($H$3,0,0,'Données projet'!$E$12+1,1))</f>
        <v>487.18832528146936</v>
      </c>
      <c r="CE187" s="59">
        <f t="shared" si="148"/>
        <v>306.61893266146666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28.605439801326611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28.605439801326611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20.879999999999939</v>
      </c>
      <c r="CU187" s="17">
        <f>CT187*VLOOKUP('Données projet'!$B$13,Paramètres!$A$1:$I$89,3,0)*VLOOKUP('Données projet'!$B$13,Paramètres!$A$1:$I$89,5,0)</f>
        <v>19.86940799999994</v>
      </c>
      <c r="CV187" s="13">
        <f t="shared" si="173"/>
        <v>6.4658893302320672</v>
      </c>
      <c r="CW187" s="20">
        <f t="shared" si="174"/>
        <v>45.86730951682074</v>
      </c>
      <c r="CX187" s="59">
        <f t="shared" si="122"/>
        <v>339.20064285015405</v>
      </c>
      <c r="CY187" s="59">
        <f ca="1">AVERAGE(OFFSET($CX$3,0,0,'Données projet'!$E$13+1,1))-AVERAGE(OFFSET($H$3,0,0,'Données projet'!$E$13+1,1))</f>
        <v>733.95677909788878</v>
      </c>
      <c r="CZ187" s="59">
        <f t="shared" si="150"/>
        <v>264.63778997972378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227.90095605357087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227.90095605357087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853.00000000000011</v>
      </c>
      <c r="O188" s="13">
        <f>N188*VLOOKUP('Données projet'!$B$9,Paramètres!$A$1:$I$89,3,0)*VLOOKUP('Données projet'!$B$9,Paramètres!$A$1:$I$89,5,0)</f>
        <v>399.20400000000006</v>
      </c>
      <c r="P188" s="13">
        <f t="shared" si="141"/>
        <v>91.615269732888521</v>
      </c>
      <c r="Q188" s="20">
        <f t="shared" si="162"/>
        <v>854.8435614514475</v>
      </c>
      <c r="R188" s="59">
        <f t="shared" si="109"/>
        <v>1148.1768947847809</v>
      </c>
      <c r="S188" s="59">
        <f ca="1">AVERAGE(OFFSET($R$3,0,0,'Données projet'!$E$9+1,1))-AVERAGE(OFFSET($H$3,0,0,'Données projet'!$E$9+1,1))</f>
        <v>488.67934252295686</v>
      </c>
      <c r="T188" s="59">
        <f t="shared" si="142"/>
        <v>424.50324471331095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17.324066254256717</v>
      </c>
      <c r="AA188" s="21">
        <f>EXP(-LN(2)/25)*AA187+(1-EXP(-LN(2)/25))/(LN(2)/25)*Calculateur!V188*Calculateur!X188*VLOOKUP('Données projet'!$B$9,Paramètres!$A$1:$I$89,3,0)*0.475*44/12</f>
        <v>0.66634285478513733</v>
      </c>
      <c r="AB188" s="21">
        <f>EXP(-LN(2)/2)*AB187+(1-EXP(-LN(2)/2))/(LN(2)/2)*V188*Y188*VLOOKUP('Données projet'!$B$9,Paramètres!$A$1:$I$89,3,0)*0.475*44/12</f>
        <v>3.7966698197014277E-24</v>
      </c>
      <c r="AC188" s="22">
        <f t="shared" si="163"/>
        <v>17.990409109041856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689</v>
      </c>
      <c r="AJ188" s="13">
        <f>AI188*VLOOKUP('Données projet'!$B$10,Paramètres!$A$1:$I$89,3,0)*VLOOKUP('Données projet'!$B$10,Paramètres!$A$1:$I$89,5,0)</f>
        <v>412.02199999999999</v>
      </c>
      <c r="AK188" s="13">
        <f t="shared" si="164"/>
        <v>94.209724877926391</v>
      </c>
      <c r="AL188" s="20">
        <f t="shared" si="165"/>
        <v>881.686920829055</v>
      </c>
      <c r="AM188" s="59">
        <f t="shared" si="113"/>
        <v>1175.0202541623883</v>
      </c>
      <c r="AN188" s="59">
        <f ca="1">AVERAGE(OFFSET($AM$3,0,0,'Données projet'!$E$10+1,1))-AVERAGE(OFFSET($H$3,0,0,'Données projet'!$E$10+1,1))</f>
        <v>504.81063008331739</v>
      </c>
      <c r="AO188" s="59">
        <f t="shared" si="144"/>
        <v>441.82647565372287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12.233925267706461</v>
      </c>
      <c r="AV188" s="21">
        <f>EXP(-LN(2)/25)*AV187+(1-EXP(-LN(2)/25))/(LN(2)/25)*Calculateur!AQ188*Calculateur!AS188*VLOOKUP('Données projet'!$B$10,Paramètres!$A$1:$I$89,3,0)*0.475*44/12</f>
        <v>0.80089612542669519</v>
      </c>
      <c r="AW188" s="21">
        <f>EXP(-LN(2)/2)*AW187+(1-EXP(-LN(2)/2))/(LN(2)/2)*AQ188*AT188*VLOOKUP('Données projet'!$B$10,Paramètres!$A$1:$I$89,3,0)*0.475*44/12</f>
        <v>2.4502766839307677E-25</v>
      </c>
      <c r="AX188" s="21">
        <f t="shared" si="166"/>
        <v>13.034821393133155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266.99999999999983</v>
      </c>
      <c r="BE188" s="13">
        <f>BD188*VLOOKUP('Données projet'!$B$11,Paramètres!$A$1:$I$89,3,0)*VLOOKUP('Données projet'!$B$11,Paramètres!$A$1:$I$89,5,0)</f>
        <v>233.2511999999999</v>
      </c>
      <c r="BF188" s="13">
        <f t="shared" si="167"/>
        <v>56.985091661350864</v>
      </c>
      <c r="BG188" s="20">
        <f t="shared" si="168"/>
        <v>505.49487464351915</v>
      </c>
      <c r="BH188" s="59">
        <f t="shared" si="116"/>
        <v>798.82820797685247</v>
      </c>
      <c r="BI188" s="59">
        <f ca="1">AVERAGE(OFFSET($BH$3,0,0,'Données projet'!$E$11+1,1))-AVERAGE(OFFSET($H$3,0,0,'Données projet'!$E$11+1,1))</f>
        <v>324.86930206492627</v>
      </c>
      <c r="BJ188" s="59">
        <f t="shared" si="146"/>
        <v>317.03005098025352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5.955047810063121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5.955047810063121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306.99999999999994</v>
      </c>
      <c r="BZ188" s="13">
        <f>BY188*VLOOKUP('Données projet'!$B$12,Paramètres!$A$1:$I$89,3,0)*VLOOKUP('Données projet'!$B$12,Paramètres!$A$1:$I$89,5,0)</f>
        <v>311.298</v>
      </c>
      <c r="CA188" s="13">
        <f t="shared" si="170"/>
        <v>73.539838278528748</v>
      </c>
      <c r="CB188" s="20">
        <f t="shared" si="171"/>
        <v>670.25923500177089</v>
      </c>
      <c r="CC188" s="59">
        <f t="shared" si="119"/>
        <v>963.59256833510426</v>
      </c>
      <c r="CD188" s="59">
        <f ca="1">AVERAGE(OFFSET($CC$3,0,0,'Données projet'!$E$12+1,1))-AVERAGE(OFFSET($H$3,0,0,'Données projet'!$E$12+1,1))</f>
        <v>487.18832528146936</v>
      </c>
      <c r="CE188" s="59">
        <f t="shared" si="148"/>
        <v>306.61893266146666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28.044504574418067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28.044504574418067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20.879999999999939</v>
      </c>
      <c r="CU188" s="17">
        <f>CT188*VLOOKUP('Données projet'!$B$13,Paramètres!$A$1:$I$89,3,0)*VLOOKUP('Données projet'!$B$13,Paramètres!$A$1:$I$89,5,0)</f>
        <v>19.86940799999994</v>
      </c>
      <c r="CV188" s="13">
        <f t="shared" si="173"/>
        <v>6.4658893302320672</v>
      </c>
      <c r="CW188" s="20">
        <f t="shared" si="174"/>
        <v>45.86730951682074</v>
      </c>
      <c r="CX188" s="59">
        <f t="shared" si="122"/>
        <v>339.20064285015405</v>
      </c>
      <c r="CY188" s="59">
        <f ca="1">AVERAGE(OFFSET($CX$3,0,0,'Données projet'!$E$13+1,1))-AVERAGE(OFFSET($H$3,0,0,'Données projet'!$E$13+1,1))</f>
        <v>733.95677909788878</v>
      </c>
      <c r="CZ188" s="59">
        <f t="shared" si="150"/>
        <v>264.63778997972378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223.43195731121784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223.43195731121784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853.00000000000011</v>
      </c>
      <c r="O189" s="13">
        <f>N189*VLOOKUP('Données projet'!$B$9,Paramètres!$A$1:$I$89,3,0)*VLOOKUP('Données projet'!$B$9,Paramètres!$A$1:$I$89,5,0)</f>
        <v>399.20400000000006</v>
      </c>
      <c r="P189" s="13">
        <f t="shared" si="141"/>
        <v>91.615269732888521</v>
      </c>
      <c r="Q189" s="20">
        <f t="shared" si="162"/>
        <v>854.8435614514475</v>
      </c>
      <c r="R189" s="59">
        <f t="shared" si="109"/>
        <v>1148.1768947847809</v>
      </c>
      <c r="S189" s="59">
        <f ca="1">AVERAGE(OFFSET($R$3,0,0,'Données projet'!$E$9+1,1))-AVERAGE(OFFSET($H$3,0,0,'Données projet'!$E$9+1,1))</f>
        <v>488.67934252295686</v>
      </c>
      <c r="T189" s="59">
        <f t="shared" si="142"/>
        <v>424.50324471331095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16.98435188164779</v>
      </c>
      <c r="AA189" s="21">
        <f>EXP(-LN(2)/25)*AA188+(1-EXP(-LN(2)/25))/(LN(2)/25)*Calculateur!V189*Calculateur!X189*VLOOKUP('Données projet'!$B$9,Paramètres!$A$1:$I$89,3,0)*0.475*44/12</f>
        <v>0.64812167437959001</v>
      </c>
      <c r="AB189" s="21">
        <f>EXP(-LN(2)/2)*AB188+(1-EXP(-LN(2)/2))/(LN(2)/2)*V189*Y189*VLOOKUP('Données projet'!$B$9,Paramètres!$A$1:$I$89,3,0)*0.475*44/12</f>
        <v>2.6846509754371864E-24</v>
      </c>
      <c r="AC189" s="22">
        <f t="shared" si="163"/>
        <v>17.632473556027378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689</v>
      </c>
      <c r="AJ189" s="13">
        <f>AI189*VLOOKUP('Données projet'!$B$10,Paramètres!$A$1:$I$89,3,0)*VLOOKUP('Données projet'!$B$10,Paramètres!$A$1:$I$89,5,0)</f>
        <v>412.02199999999999</v>
      </c>
      <c r="AK189" s="13">
        <f t="shared" si="164"/>
        <v>94.209724877926391</v>
      </c>
      <c r="AL189" s="20">
        <f t="shared" si="165"/>
        <v>881.686920829055</v>
      </c>
      <c r="AM189" s="59">
        <f t="shared" si="113"/>
        <v>1175.0202541623883</v>
      </c>
      <c r="AN189" s="59">
        <f ca="1">AVERAGE(OFFSET($AM$3,0,0,'Données projet'!$E$10+1,1))-AVERAGE(OFFSET($H$3,0,0,'Données projet'!$E$10+1,1))</f>
        <v>504.81063008331739</v>
      </c>
      <c r="AO189" s="59">
        <f t="shared" si="144"/>
        <v>441.82647565372287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11.994025455164342</v>
      </c>
      <c r="AV189" s="21">
        <f>EXP(-LN(2)/25)*AV188+(1-EXP(-LN(2)/25))/(LN(2)/25)*Calculateur!AQ189*Calculateur!AS189*VLOOKUP('Données projet'!$B$10,Paramètres!$A$1:$I$89,3,0)*0.475*44/12</f>
        <v>0.77899557875960546</v>
      </c>
      <c r="AW189" s="21">
        <f>EXP(-LN(2)/2)*AW188+(1-EXP(-LN(2)/2))/(LN(2)/2)*AQ189*AT189*VLOOKUP('Données projet'!$B$10,Paramètres!$A$1:$I$89,3,0)*0.475*44/12</f>
        <v>1.7326072589907326E-25</v>
      </c>
      <c r="AX189" s="21">
        <f t="shared" si="166"/>
        <v>12.773021033923948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266.99999999999983</v>
      </c>
      <c r="BE189" s="13">
        <f>BD189*VLOOKUP('Données projet'!$B$11,Paramètres!$A$1:$I$89,3,0)*VLOOKUP('Données projet'!$B$11,Paramètres!$A$1:$I$89,5,0)</f>
        <v>233.2511999999999</v>
      </c>
      <c r="BF189" s="13">
        <f t="shared" si="167"/>
        <v>56.985091661350864</v>
      </c>
      <c r="BG189" s="20">
        <f t="shared" si="168"/>
        <v>505.49487464351915</v>
      </c>
      <c r="BH189" s="59">
        <f t="shared" si="116"/>
        <v>798.82820797685247</v>
      </c>
      <c r="BI189" s="59">
        <f ca="1">AVERAGE(OFFSET($BH$3,0,0,'Données projet'!$E$11+1,1))-AVERAGE(OFFSET($H$3,0,0,'Données projet'!$E$11+1,1))</f>
        <v>324.86930206492627</v>
      </c>
      <c r="BJ189" s="59">
        <f t="shared" si="146"/>
        <v>317.03005098025352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5.8382729547282954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5.8382729547282954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306.99999999999994</v>
      </c>
      <c r="BZ189" s="13">
        <f>BY189*VLOOKUP('Données projet'!$B$12,Paramètres!$A$1:$I$89,3,0)*VLOOKUP('Données projet'!$B$12,Paramètres!$A$1:$I$89,5,0)</f>
        <v>311.298</v>
      </c>
      <c r="CA189" s="13">
        <f t="shared" si="170"/>
        <v>73.539838278528748</v>
      </c>
      <c r="CB189" s="20">
        <f t="shared" si="171"/>
        <v>670.25923500177089</v>
      </c>
      <c r="CC189" s="59">
        <f t="shared" si="119"/>
        <v>963.59256833510426</v>
      </c>
      <c r="CD189" s="59">
        <f ca="1">AVERAGE(OFFSET($CC$3,0,0,'Données projet'!$E$12+1,1))-AVERAGE(OFFSET($H$3,0,0,'Données projet'!$E$12+1,1))</f>
        <v>487.18832528146936</v>
      </c>
      <c r="CE189" s="59">
        <f t="shared" si="148"/>
        <v>306.61893266146666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27.494568945172496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27.494568945172496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20.879999999999939</v>
      </c>
      <c r="CU189" s="17">
        <f>CT189*VLOOKUP('Données projet'!$B$13,Paramètres!$A$1:$I$89,3,0)*VLOOKUP('Données projet'!$B$13,Paramètres!$A$1:$I$89,5,0)</f>
        <v>19.86940799999994</v>
      </c>
      <c r="CV189" s="13">
        <f t="shared" si="173"/>
        <v>6.4658893302320672</v>
      </c>
      <c r="CW189" s="20">
        <f t="shared" si="174"/>
        <v>45.86730951682074</v>
      </c>
      <c r="CX189" s="59">
        <f t="shared" si="122"/>
        <v>339.20064285015405</v>
      </c>
      <c r="CY189" s="59">
        <f ca="1">AVERAGE(OFFSET($CX$3,0,0,'Données projet'!$E$13+1,1))-AVERAGE(OFFSET($H$3,0,0,'Données projet'!$E$13+1,1))</f>
        <v>733.95677909788878</v>
      </c>
      <c r="CZ189" s="59">
        <f t="shared" si="150"/>
        <v>264.63778997972378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219.0505929083823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219.0505929083823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853.00000000000011</v>
      </c>
      <c r="O190" s="13">
        <f>N190*VLOOKUP('Données projet'!$B$9,Paramètres!$A$1:$I$89,3,0)*VLOOKUP('Données projet'!$B$9,Paramètres!$A$1:$I$89,5,0)</f>
        <v>399.20400000000006</v>
      </c>
      <c r="P190" s="13">
        <f t="shared" si="141"/>
        <v>91.615269732888521</v>
      </c>
      <c r="Q190" s="20">
        <f t="shared" si="162"/>
        <v>854.8435614514475</v>
      </c>
      <c r="R190" s="59">
        <f t="shared" si="109"/>
        <v>1148.1768947847809</v>
      </c>
      <c r="S190" s="59">
        <f ca="1">AVERAGE(OFFSET($R$3,0,0,'Données projet'!$E$9+1,1))-AVERAGE(OFFSET($H$3,0,0,'Données projet'!$E$9+1,1))</f>
        <v>488.67934252295686</v>
      </c>
      <c r="T190" s="59">
        <f t="shared" si="142"/>
        <v>424.50324471331095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16.651299100680415</v>
      </c>
      <c r="AA190" s="21">
        <f>EXP(-LN(2)/25)*AA189+(1-EXP(-LN(2)/25))/(LN(2)/25)*Calculateur!V190*Calculateur!X190*VLOOKUP('Données projet'!$B$9,Paramètres!$A$1:$I$89,3,0)*0.475*44/12</f>
        <v>0.63039875311044258</v>
      </c>
      <c r="AB190" s="21">
        <f>EXP(-LN(2)/2)*AB189+(1-EXP(-LN(2)/2))/(LN(2)/2)*V190*Y190*VLOOKUP('Données projet'!$B$9,Paramètres!$A$1:$I$89,3,0)*0.475*44/12</f>
        <v>1.8983349098507138E-24</v>
      </c>
      <c r="AC190" s="22">
        <f t="shared" si="163"/>
        <v>17.281697853790856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689</v>
      </c>
      <c r="AJ190" s="13">
        <f>AI190*VLOOKUP('Données projet'!$B$10,Paramètres!$A$1:$I$89,3,0)*VLOOKUP('Données projet'!$B$10,Paramètres!$A$1:$I$89,5,0)</f>
        <v>412.02199999999999</v>
      </c>
      <c r="AK190" s="13">
        <f t="shared" si="164"/>
        <v>94.209724877926391</v>
      </c>
      <c r="AL190" s="20">
        <f t="shared" si="165"/>
        <v>881.686920829055</v>
      </c>
      <c r="AM190" s="59">
        <f t="shared" si="113"/>
        <v>1175.0202541623883</v>
      </c>
      <c r="AN190" s="59">
        <f ca="1">AVERAGE(OFFSET($AM$3,0,0,'Données projet'!$E$10+1,1))-AVERAGE(OFFSET($H$3,0,0,'Données projet'!$E$10+1,1))</f>
        <v>504.81063008331739</v>
      </c>
      <c r="AO190" s="59">
        <f t="shared" si="144"/>
        <v>441.82647565372287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11.758829931621738</v>
      </c>
      <c r="AV190" s="21">
        <f>EXP(-LN(2)/25)*AV189+(1-EXP(-LN(2)/25))/(LN(2)/25)*Calculateur!AQ190*Calculateur!AS190*VLOOKUP('Données projet'!$B$10,Paramètres!$A$1:$I$89,3,0)*0.475*44/12</f>
        <v>0.75769390369282696</v>
      </c>
      <c r="AW190" s="21">
        <f>EXP(-LN(2)/2)*AW189+(1-EXP(-LN(2)/2))/(LN(2)/2)*AQ190*AT190*VLOOKUP('Données projet'!$B$10,Paramètres!$A$1:$I$89,3,0)*0.475*44/12</f>
        <v>1.2251383419653838E-25</v>
      </c>
      <c r="AX190" s="21">
        <f t="shared" si="166"/>
        <v>12.516523835314565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266.99999999999983</v>
      </c>
      <c r="BE190" s="13">
        <f>BD190*VLOOKUP('Données projet'!$B$11,Paramètres!$A$1:$I$89,3,0)*VLOOKUP('Données projet'!$B$11,Paramètres!$A$1:$I$89,5,0)</f>
        <v>233.2511999999999</v>
      </c>
      <c r="BF190" s="13">
        <f t="shared" si="167"/>
        <v>56.985091661350864</v>
      </c>
      <c r="BG190" s="20">
        <f t="shared" si="168"/>
        <v>505.49487464351915</v>
      </c>
      <c r="BH190" s="59">
        <f t="shared" si="116"/>
        <v>798.82820797685247</v>
      </c>
      <c r="BI190" s="59">
        <f ca="1">AVERAGE(OFFSET($BH$3,0,0,'Données projet'!$E$11+1,1))-AVERAGE(OFFSET($H$3,0,0,'Données projet'!$E$11+1,1))</f>
        <v>324.86930206492627</v>
      </c>
      <c r="BJ190" s="59">
        <f t="shared" si="146"/>
        <v>317.03005098025352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5.7237879830809568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5.7237879830809568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306.99999999999994</v>
      </c>
      <c r="BZ190" s="13">
        <f>BY190*VLOOKUP('Données projet'!$B$12,Paramètres!$A$1:$I$89,3,0)*VLOOKUP('Données projet'!$B$12,Paramètres!$A$1:$I$89,5,0)</f>
        <v>311.298</v>
      </c>
      <c r="CA190" s="13">
        <f t="shared" si="170"/>
        <v>73.539838278528748</v>
      </c>
      <c r="CB190" s="20">
        <f t="shared" si="171"/>
        <v>670.25923500177089</v>
      </c>
      <c r="CC190" s="59">
        <f t="shared" si="119"/>
        <v>963.59256833510426</v>
      </c>
      <c r="CD190" s="59">
        <f ca="1">AVERAGE(OFFSET($CC$3,0,0,'Données projet'!$E$12+1,1))-AVERAGE(OFFSET($H$3,0,0,'Données projet'!$E$12+1,1))</f>
        <v>487.18832528146936</v>
      </c>
      <c r="CE190" s="59">
        <f t="shared" si="148"/>
        <v>306.61893266146666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26.955417218188817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26.955417218188817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20.879999999999939</v>
      </c>
      <c r="CU190" s="17">
        <f>CT190*VLOOKUP('Données projet'!$B$13,Paramètres!$A$1:$I$89,3,0)*VLOOKUP('Données projet'!$B$13,Paramètres!$A$1:$I$89,5,0)</f>
        <v>19.86940799999994</v>
      </c>
      <c r="CV190" s="13">
        <f t="shared" si="173"/>
        <v>6.4658893302320672</v>
      </c>
      <c r="CW190" s="20">
        <f t="shared" si="174"/>
        <v>45.86730951682074</v>
      </c>
      <c r="CX190" s="59">
        <f t="shared" si="122"/>
        <v>339.20064285015405</v>
      </c>
      <c r="CY190" s="59">
        <f ca="1">AVERAGE(OFFSET($CX$3,0,0,'Données projet'!$E$13+1,1))-AVERAGE(OFFSET($H$3,0,0,'Données projet'!$E$13+1,1))</f>
        <v>733.95677909788878</v>
      </c>
      <c r="CZ190" s="59">
        <f t="shared" si="150"/>
        <v>264.63778997972378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214.75514438911793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214.75514438911793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853.00000000000011</v>
      </c>
      <c r="O191" s="13">
        <f>N191*VLOOKUP('Données projet'!$B$9,Paramètres!$A$1:$I$89,3,0)*VLOOKUP('Données projet'!$B$9,Paramètres!$A$1:$I$89,5,0)</f>
        <v>399.20400000000006</v>
      </c>
      <c r="P191" s="13">
        <f t="shared" si="141"/>
        <v>91.615269732888521</v>
      </c>
      <c r="Q191" s="20">
        <f t="shared" si="162"/>
        <v>854.8435614514475</v>
      </c>
      <c r="R191" s="59">
        <f t="shared" si="109"/>
        <v>1148.1768947847809</v>
      </c>
      <c r="S191" s="59">
        <f ca="1">AVERAGE(OFFSET($R$3,0,0,'Données projet'!$E$9+1,1))-AVERAGE(OFFSET($H$3,0,0,'Données projet'!$E$9+1,1))</f>
        <v>488.67934252295686</v>
      </c>
      <c r="T191" s="59">
        <f t="shared" si="142"/>
        <v>424.50324471331095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16.324777281605673</v>
      </c>
      <c r="AA191" s="21">
        <f>EXP(-LN(2)/25)*AA190+(1-EXP(-LN(2)/25))/(LN(2)/25)*Calculateur!V191*Calculateur!X191*VLOOKUP('Données projet'!$B$9,Paramètres!$A$1:$I$89,3,0)*0.475*44/12</f>
        <v>0.61316046605540786</v>
      </c>
      <c r="AB191" s="21">
        <f>EXP(-LN(2)/2)*AB190+(1-EXP(-LN(2)/2))/(LN(2)/2)*V191*Y191*VLOOKUP('Données projet'!$B$9,Paramètres!$A$1:$I$89,3,0)*0.475*44/12</f>
        <v>1.3423254877185932E-24</v>
      </c>
      <c r="AC191" s="22">
        <f t="shared" si="163"/>
        <v>16.937937747661081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689</v>
      </c>
      <c r="AJ191" s="13">
        <f>AI191*VLOOKUP('Données projet'!$B$10,Paramètres!$A$1:$I$89,3,0)*VLOOKUP('Données projet'!$B$10,Paramètres!$A$1:$I$89,5,0)</f>
        <v>412.02199999999999</v>
      </c>
      <c r="AK191" s="13">
        <f t="shared" si="164"/>
        <v>94.209724877926391</v>
      </c>
      <c r="AL191" s="20">
        <f t="shared" si="165"/>
        <v>881.686920829055</v>
      </c>
      <c r="AM191" s="59">
        <f t="shared" si="113"/>
        <v>1175.0202541623883</v>
      </c>
      <c r="AN191" s="59">
        <f ca="1">AVERAGE(OFFSET($AM$3,0,0,'Données projet'!$E$10+1,1))-AVERAGE(OFFSET($H$3,0,0,'Données projet'!$E$10+1,1))</f>
        <v>504.81063008331739</v>
      </c>
      <c r="AO191" s="59">
        <f t="shared" si="144"/>
        <v>441.82647565372287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11.528246448840701</v>
      </c>
      <c r="AV191" s="21">
        <f>EXP(-LN(2)/25)*AV190+(1-EXP(-LN(2)/25))/(LN(2)/25)*Calculateur!AQ191*Calculateur!AS191*VLOOKUP('Données projet'!$B$10,Paramètres!$A$1:$I$89,3,0)*0.475*44/12</f>
        <v>0.73697472405095599</v>
      </c>
      <c r="AW191" s="21">
        <f>EXP(-LN(2)/2)*AW190+(1-EXP(-LN(2)/2))/(LN(2)/2)*AQ191*AT191*VLOOKUP('Données projet'!$B$10,Paramètres!$A$1:$I$89,3,0)*0.475*44/12</f>
        <v>8.6630362949536631E-26</v>
      </c>
      <c r="AX191" s="21">
        <f t="shared" si="166"/>
        <v>12.265221172891657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266.99999999999983</v>
      </c>
      <c r="BE191" s="13">
        <f>BD191*VLOOKUP('Données projet'!$B$11,Paramètres!$A$1:$I$89,3,0)*VLOOKUP('Données projet'!$B$11,Paramètres!$A$1:$I$89,5,0)</f>
        <v>233.2511999999999</v>
      </c>
      <c r="BF191" s="13">
        <f t="shared" si="167"/>
        <v>56.985091661350864</v>
      </c>
      <c r="BG191" s="20">
        <f t="shared" si="168"/>
        <v>505.49487464351915</v>
      </c>
      <c r="BH191" s="59">
        <f t="shared" si="116"/>
        <v>798.82820797685247</v>
      </c>
      <c r="BI191" s="59">
        <f ca="1">AVERAGE(OFFSET($BH$3,0,0,'Données projet'!$E$11+1,1))-AVERAGE(OFFSET($H$3,0,0,'Données projet'!$E$11+1,1))</f>
        <v>324.86930206492627</v>
      </c>
      <c r="BJ191" s="59">
        <f t="shared" si="146"/>
        <v>317.03005098025352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5.6115479918986848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5.6115479918986848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306.99999999999994</v>
      </c>
      <c r="BZ191" s="13">
        <f>BY191*VLOOKUP('Données projet'!$B$12,Paramètres!$A$1:$I$89,3,0)*VLOOKUP('Données projet'!$B$12,Paramètres!$A$1:$I$89,5,0)</f>
        <v>311.298</v>
      </c>
      <c r="CA191" s="13">
        <f t="shared" si="170"/>
        <v>73.539838278528748</v>
      </c>
      <c r="CB191" s="20">
        <f t="shared" si="171"/>
        <v>670.25923500177089</v>
      </c>
      <c r="CC191" s="59">
        <f t="shared" si="119"/>
        <v>963.59256833510426</v>
      </c>
      <c r="CD191" s="59">
        <f ca="1">AVERAGE(OFFSET($CC$3,0,0,'Données projet'!$E$12+1,1))-AVERAGE(OFFSET($H$3,0,0,'Données projet'!$E$12+1,1))</f>
        <v>487.18832528146936</v>
      </c>
      <c r="CE191" s="59">
        <f t="shared" si="148"/>
        <v>306.61893266146666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26.426837927721206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26.426837927721206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20.879999999999939</v>
      </c>
      <c r="CU191" s="17">
        <f>CT191*VLOOKUP('Données projet'!$B$13,Paramètres!$A$1:$I$89,3,0)*VLOOKUP('Données projet'!$B$13,Paramètres!$A$1:$I$89,5,0)</f>
        <v>19.86940799999994</v>
      </c>
      <c r="CV191" s="13">
        <f t="shared" si="173"/>
        <v>6.4658893302320672</v>
      </c>
      <c r="CW191" s="20">
        <f t="shared" si="174"/>
        <v>45.86730951682074</v>
      </c>
      <c r="CX191" s="59">
        <f t="shared" si="122"/>
        <v>339.20064285015405</v>
      </c>
      <c r="CY191" s="59">
        <f ca="1">AVERAGE(OFFSET($CX$3,0,0,'Données projet'!$E$13+1,1))-AVERAGE(OFFSET($H$3,0,0,'Données projet'!$E$13+1,1))</f>
        <v>733.95677909788878</v>
      </c>
      <c r="CZ191" s="59">
        <f t="shared" si="150"/>
        <v>264.63778997972378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210.54392699535146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210.54392699535146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853.00000000000011</v>
      </c>
      <c r="O192" s="13">
        <f>N192*VLOOKUP('Données projet'!$B$9,Paramètres!$A$1:$I$89,3,0)*VLOOKUP('Données projet'!$B$9,Paramètres!$A$1:$I$89,5,0)</f>
        <v>399.20400000000006</v>
      </c>
      <c r="P192" s="13">
        <f t="shared" si="141"/>
        <v>91.615269732888521</v>
      </c>
      <c r="Q192" s="20">
        <f t="shared" si="162"/>
        <v>854.8435614514475</v>
      </c>
      <c r="R192" s="59">
        <f t="shared" si="109"/>
        <v>1148.1768947847809</v>
      </c>
      <c r="S192" s="59">
        <f ca="1">AVERAGE(OFFSET($R$3,0,0,'Données projet'!$E$9+1,1))-AVERAGE(OFFSET($H$3,0,0,'Données projet'!$E$9+1,1))</f>
        <v>488.67934252295686</v>
      </c>
      <c r="T192" s="59">
        <f t="shared" si="142"/>
        <v>424.50324471331095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16.004658356244342</v>
      </c>
      <c r="AA192" s="21">
        <f>EXP(-LN(2)/25)*AA191+(1-EXP(-LN(2)/25))/(LN(2)/25)*Calculateur!V192*Calculateur!X192*VLOOKUP('Données projet'!$B$9,Paramètres!$A$1:$I$89,3,0)*0.475*44/12</f>
        <v>0.59639356086641526</v>
      </c>
      <c r="AB192" s="21">
        <f>EXP(-LN(2)/2)*AB191+(1-EXP(-LN(2)/2))/(LN(2)/2)*V192*Y192*VLOOKUP('Données projet'!$B$9,Paramètres!$A$1:$I$89,3,0)*0.475*44/12</f>
        <v>9.4916745492535692E-25</v>
      </c>
      <c r="AC192" s="22">
        <f t="shared" si="163"/>
        <v>16.601051917110755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689</v>
      </c>
      <c r="AJ192" s="13">
        <f>AI192*VLOOKUP('Données projet'!$B$10,Paramètres!$A$1:$I$89,3,0)*VLOOKUP('Données projet'!$B$10,Paramètres!$A$1:$I$89,5,0)</f>
        <v>412.02199999999999</v>
      </c>
      <c r="AK192" s="13">
        <f t="shared" si="164"/>
        <v>94.209724877926391</v>
      </c>
      <c r="AL192" s="20">
        <f t="shared" si="165"/>
        <v>881.686920829055</v>
      </c>
      <c r="AM192" s="59">
        <f t="shared" si="113"/>
        <v>1175.0202541623883</v>
      </c>
      <c r="AN192" s="59">
        <f ca="1">AVERAGE(OFFSET($AM$3,0,0,'Données projet'!$E$10+1,1))-AVERAGE(OFFSET($H$3,0,0,'Données projet'!$E$10+1,1))</f>
        <v>504.81063008331739</v>
      </c>
      <c r="AO192" s="59">
        <f t="shared" si="144"/>
        <v>441.82647565372287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11.302184567514962</v>
      </c>
      <c r="AV192" s="21">
        <f>EXP(-LN(2)/25)*AV191+(1-EXP(-LN(2)/25))/(LN(2)/25)*Calculateur!AQ192*Calculateur!AS192*VLOOKUP('Données projet'!$B$10,Paramètres!$A$1:$I$89,3,0)*0.475*44/12</f>
        <v>0.71682211146596619</v>
      </c>
      <c r="AW192" s="21">
        <f>EXP(-LN(2)/2)*AW191+(1-EXP(-LN(2)/2))/(LN(2)/2)*AQ192*AT192*VLOOKUP('Données projet'!$B$10,Paramètres!$A$1:$I$89,3,0)*0.475*44/12</f>
        <v>6.1256917098269191E-26</v>
      </c>
      <c r="AX192" s="21">
        <f t="shared" si="166"/>
        <v>12.019006678980928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266.99999999999983</v>
      </c>
      <c r="BE192" s="13">
        <f>BD192*VLOOKUP('Données projet'!$B$11,Paramètres!$A$1:$I$89,3,0)*VLOOKUP('Données projet'!$B$11,Paramètres!$A$1:$I$89,5,0)</f>
        <v>233.2511999999999</v>
      </c>
      <c r="BF192" s="13">
        <f t="shared" si="167"/>
        <v>56.985091661350864</v>
      </c>
      <c r="BG192" s="20">
        <f t="shared" si="168"/>
        <v>505.49487464351915</v>
      </c>
      <c r="BH192" s="59">
        <f t="shared" si="116"/>
        <v>798.82820797685247</v>
      </c>
      <c r="BI192" s="59">
        <f ca="1">AVERAGE(OFFSET($BH$3,0,0,'Données projet'!$E$11+1,1))-AVERAGE(OFFSET($H$3,0,0,'Données projet'!$E$11+1,1))</f>
        <v>324.86930206492627</v>
      </c>
      <c r="BJ192" s="59">
        <f t="shared" si="146"/>
        <v>317.03005098025352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5.5015089584838623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5.5015089584838623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306.99999999999994</v>
      </c>
      <c r="BZ192" s="13">
        <f>BY192*VLOOKUP('Données projet'!$B$12,Paramètres!$A$1:$I$89,3,0)*VLOOKUP('Données projet'!$B$12,Paramètres!$A$1:$I$89,5,0)</f>
        <v>311.298</v>
      </c>
      <c r="CA192" s="13">
        <f t="shared" si="170"/>
        <v>73.539838278528748</v>
      </c>
      <c r="CB192" s="20">
        <f t="shared" si="171"/>
        <v>670.25923500177089</v>
      </c>
      <c r="CC192" s="59">
        <f t="shared" si="119"/>
        <v>963.59256833510426</v>
      </c>
      <c r="CD192" s="59">
        <f ca="1">AVERAGE(OFFSET($CC$3,0,0,'Données projet'!$E$12+1,1))-AVERAGE(OFFSET($H$3,0,0,'Données projet'!$E$12+1,1))</f>
        <v>487.18832528146936</v>
      </c>
      <c r="CE192" s="59">
        <f t="shared" si="148"/>
        <v>306.61893266146666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25.90862375473813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25.90862375473813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20.879999999999939</v>
      </c>
      <c r="CU192" s="17">
        <f>CT192*VLOOKUP('Données projet'!$B$13,Paramètres!$A$1:$I$89,3,0)*VLOOKUP('Données projet'!$B$13,Paramètres!$A$1:$I$89,5,0)</f>
        <v>19.86940799999994</v>
      </c>
      <c r="CV192" s="13">
        <f t="shared" si="173"/>
        <v>6.4658893302320672</v>
      </c>
      <c r="CW192" s="20">
        <f t="shared" si="174"/>
        <v>45.86730951682074</v>
      </c>
      <c r="CX192" s="59">
        <f t="shared" si="122"/>
        <v>339.20064285015405</v>
      </c>
      <c r="CY192" s="59">
        <f ca="1">AVERAGE(OFFSET($CX$3,0,0,'Données projet'!$E$13+1,1))-AVERAGE(OFFSET($H$3,0,0,'Données projet'!$E$13+1,1))</f>
        <v>733.95677909788878</v>
      </c>
      <c r="CZ192" s="59">
        <f t="shared" si="150"/>
        <v>264.63778997972378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206.41528900608773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206.41528900608773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853.00000000000011</v>
      </c>
      <c r="O193" s="13">
        <f>N193*VLOOKUP('Données projet'!$B$9,Paramètres!$A$1:$I$89,3,0)*VLOOKUP('Données projet'!$B$9,Paramètres!$A$1:$I$89,5,0)</f>
        <v>399.20400000000006</v>
      </c>
      <c r="P193" s="13">
        <f t="shared" si="141"/>
        <v>91.615269732888521</v>
      </c>
      <c r="Q193" s="20">
        <f t="shared" si="162"/>
        <v>854.8435614514475</v>
      </c>
      <c r="R193" s="59">
        <f t="shared" si="109"/>
        <v>1148.1768947847809</v>
      </c>
      <c r="S193" s="59">
        <f ca="1">AVERAGE(OFFSET($R$3,0,0,'Données projet'!$E$9+1,1))-AVERAGE(OFFSET($H$3,0,0,'Données projet'!$E$9+1,1))</f>
        <v>488.67934252295686</v>
      </c>
      <c r="T193" s="59">
        <f t="shared" si="142"/>
        <v>424.50324471331095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15.690816767756083</v>
      </c>
      <c r="AA193" s="21">
        <f>EXP(-LN(2)/25)*AA192+(1-EXP(-LN(2)/25))/(LN(2)/25)*Calculateur!V193*Calculateur!X193*VLOOKUP('Données projet'!$B$9,Paramètres!$A$1:$I$89,3,0)*0.475*44/12</f>
        <v>0.58008514758154883</v>
      </c>
      <c r="AB193" s="21">
        <f>EXP(-LN(2)/2)*AB192+(1-EXP(-LN(2)/2))/(LN(2)/2)*V193*Y193*VLOOKUP('Données projet'!$B$9,Paramètres!$A$1:$I$89,3,0)*0.475*44/12</f>
        <v>6.7116274385929659E-25</v>
      </c>
      <c r="AC193" s="22">
        <f t="shared" si="163"/>
        <v>16.270901915337632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689</v>
      </c>
      <c r="AJ193" s="13">
        <f>AI193*VLOOKUP('Données projet'!$B$10,Paramètres!$A$1:$I$89,3,0)*VLOOKUP('Données projet'!$B$10,Paramètres!$A$1:$I$89,5,0)</f>
        <v>412.02199999999999</v>
      </c>
      <c r="AK193" s="13">
        <f t="shared" si="164"/>
        <v>94.209724877926391</v>
      </c>
      <c r="AL193" s="20">
        <f t="shared" si="165"/>
        <v>881.686920829055</v>
      </c>
      <c r="AM193" s="59">
        <f t="shared" si="113"/>
        <v>1175.0202541623883</v>
      </c>
      <c r="AN193" s="59">
        <f ca="1">AVERAGE(OFFSET($AM$3,0,0,'Données projet'!$E$10+1,1))-AVERAGE(OFFSET($H$3,0,0,'Données projet'!$E$10+1,1))</f>
        <v>504.81063008331739</v>
      </c>
      <c r="AO193" s="59">
        <f t="shared" si="144"/>
        <v>441.82647565372287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11.080555621797888</v>
      </c>
      <c r="AV193" s="21">
        <f>EXP(-LN(2)/25)*AV192+(1-EXP(-LN(2)/25))/(LN(2)/25)*Calculateur!AQ193*Calculateur!AS193*VLOOKUP('Données projet'!$B$10,Paramètres!$A$1:$I$89,3,0)*0.475*44/12</f>
        <v>0.69722057313189278</v>
      </c>
      <c r="AW193" s="21">
        <f>EXP(-LN(2)/2)*AW192+(1-EXP(-LN(2)/2))/(LN(2)/2)*AQ193*AT193*VLOOKUP('Données projet'!$B$10,Paramètres!$A$1:$I$89,3,0)*0.475*44/12</f>
        <v>4.3315181474768316E-26</v>
      </c>
      <c r="AX193" s="21">
        <f t="shared" si="166"/>
        <v>11.777776194929782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266.99999999999983</v>
      </c>
      <c r="BE193" s="13">
        <f>BD193*VLOOKUP('Données projet'!$B$11,Paramètres!$A$1:$I$89,3,0)*VLOOKUP('Données projet'!$B$11,Paramètres!$A$1:$I$89,5,0)</f>
        <v>233.2511999999999</v>
      </c>
      <c r="BF193" s="13">
        <f t="shared" si="167"/>
        <v>56.985091661350864</v>
      </c>
      <c r="BG193" s="20">
        <f t="shared" si="168"/>
        <v>505.49487464351915</v>
      </c>
      <c r="BH193" s="59">
        <f t="shared" si="116"/>
        <v>798.82820797685247</v>
      </c>
      <c r="BI193" s="59">
        <f ca="1">AVERAGE(OFFSET($BH$3,0,0,'Données projet'!$E$11+1,1))-AVERAGE(OFFSET($H$3,0,0,'Données projet'!$E$11+1,1))</f>
        <v>324.86930206492627</v>
      </c>
      <c r="BJ193" s="59">
        <f t="shared" si="146"/>
        <v>317.03005098025352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5.3936277233971213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5.3936277233971213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306.99999999999994</v>
      </c>
      <c r="BZ193" s="13">
        <f>BY193*VLOOKUP('Données projet'!$B$12,Paramètres!$A$1:$I$89,3,0)*VLOOKUP('Données projet'!$B$12,Paramètres!$A$1:$I$89,5,0)</f>
        <v>311.298</v>
      </c>
      <c r="CA193" s="13">
        <f t="shared" si="170"/>
        <v>73.539838278528748</v>
      </c>
      <c r="CB193" s="20">
        <f t="shared" si="171"/>
        <v>670.25923500177089</v>
      </c>
      <c r="CC193" s="59">
        <f t="shared" si="119"/>
        <v>963.59256833510426</v>
      </c>
      <c r="CD193" s="59">
        <f ca="1">AVERAGE(OFFSET($CC$3,0,0,'Données projet'!$E$12+1,1))-AVERAGE(OFFSET($H$3,0,0,'Données projet'!$E$12+1,1))</f>
        <v>487.18832528146936</v>
      </c>
      <c r="CE193" s="59">
        <f t="shared" si="148"/>
        <v>306.61893266146666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25.40057144560782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25.40057144560782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20.879999999999939</v>
      </c>
      <c r="CU193" s="17">
        <f>CT193*VLOOKUP('Données projet'!$B$13,Paramètres!$A$1:$I$89,3,0)*VLOOKUP('Données projet'!$B$13,Paramètres!$A$1:$I$89,5,0)</f>
        <v>19.86940799999994</v>
      </c>
      <c r="CV193" s="13">
        <f t="shared" si="173"/>
        <v>6.4658893302320672</v>
      </c>
      <c r="CW193" s="20">
        <f t="shared" si="174"/>
        <v>45.86730951682074</v>
      </c>
      <c r="CX193" s="59">
        <f t="shared" si="122"/>
        <v>339.20064285015405</v>
      </c>
      <c r="CY193" s="59">
        <f ca="1">AVERAGE(OFFSET($CX$3,0,0,'Données projet'!$E$13+1,1))-AVERAGE(OFFSET($H$3,0,0,'Données projet'!$E$13+1,1))</f>
        <v>733.95677909788878</v>
      </c>
      <c r="CZ193" s="59">
        <f t="shared" si="150"/>
        <v>264.63778997972378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202.36761108957296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202.36761108957296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853.00000000000011</v>
      </c>
      <c r="O194" s="13">
        <f>N194*VLOOKUP('Données projet'!$B$9,Paramètres!$A$1:$I$89,3,0)*VLOOKUP('Données projet'!$B$9,Paramètres!$A$1:$I$89,5,0)</f>
        <v>399.20400000000006</v>
      </c>
      <c r="P194" s="13">
        <f t="shared" si="141"/>
        <v>91.615269732888521</v>
      </c>
      <c r="Q194" s="20">
        <f t="shared" si="162"/>
        <v>854.8435614514475</v>
      </c>
      <c r="R194" s="59">
        <f t="shared" si="109"/>
        <v>1148.1768947847809</v>
      </c>
      <c r="S194" s="59">
        <f ca="1">AVERAGE(OFFSET($R$3,0,0,'Données projet'!$E$9+1,1))-AVERAGE(OFFSET($H$3,0,0,'Données projet'!$E$9+1,1))</f>
        <v>488.67934252295686</v>
      </c>
      <c r="T194" s="59">
        <f t="shared" si="142"/>
        <v>424.50324471331095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15.38312942139361</v>
      </c>
      <c r="AA194" s="21">
        <f>EXP(-LN(2)/25)*AA193+(1-EXP(-LN(2)/25))/(LN(2)/25)*Calculateur!V194*Calculateur!X194*VLOOKUP('Données projet'!$B$9,Paramètres!$A$1:$I$89,3,0)*0.475*44/12</f>
        <v>0.56422268871557923</v>
      </c>
      <c r="AB194" s="21">
        <f>EXP(-LN(2)/2)*AB193+(1-EXP(-LN(2)/2))/(LN(2)/2)*V194*Y194*VLOOKUP('Données projet'!$B$9,Paramètres!$A$1:$I$89,3,0)*0.475*44/12</f>
        <v>4.7458372746267846E-25</v>
      </c>
      <c r="AC194" s="22">
        <f t="shared" si="163"/>
        <v>15.94735211010919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689</v>
      </c>
      <c r="AJ194" s="13">
        <f>AI194*VLOOKUP('Données projet'!$B$10,Paramètres!$A$1:$I$89,3,0)*VLOOKUP('Données projet'!$B$10,Paramètres!$A$1:$I$89,5,0)</f>
        <v>412.02199999999999</v>
      </c>
      <c r="AK194" s="13">
        <f t="shared" si="164"/>
        <v>94.209724877926391</v>
      </c>
      <c r="AL194" s="20">
        <f t="shared" si="165"/>
        <v>881.686920829055</v>
      </c>
      <c r="AM194" s="59">
        <f t="shared" si="113"/>
        <v>1175.0202541623883</v>
      </c>
      <c r="AN194" s="59">
        <f ca="1">AVERAGE(OFFSET($AM$3,0,0,'Données projet'!$E$10+1,1))-AVERAGE(OFFSET($H$3,0,0,'Données projet'!$E$10+1,1))</f>
        <v>504.81063008331739</v>
      </c>
      <c r="AO194" s="59">
        <f t="shared" si="144"/>
        <v>441.82647565372287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10.863272684526017</v>
      </c>
      <c r="AV194" s="21">
        <f>EXP(-LN(2)/25)*AV193+(1-EXP(-LN(2)/25))/(LN(2)/25)*Calculateur!AQ194*Calculateur!AS194*VLOOKUP('Données projet'!$B$10,Paramètres!$A$1:$I$89,3,0)*0.475*44/12</f>
        <v>0.67815503989436476</v>
      </c>
      <c r="AW194" s="21">
        <f>EXP(-LN(2)/2)*AW193+(1-EXP(-LN(2)/2))/(LN(2)/2)*AQ194*AT194*VLOOKUP('Données projet'!$B$10,Paramètres!$A$1:$I$89,3,0)*0.475*44/12</f>
        <v>3.0628458549134596E-26</v>
      </c>
      <c r="AX194" s="21">
        <f t="shared" si="166"/>
        <v>11.541427724420382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266.99999999999983</v>
      </c>
      <c r="BE194" s="13">
        <f>BD194*VLOOKUP('Données projet'!$B$11,Paramètres!$A$1:$I$89,3,0)*VLOOKUP('Données projet'!$B$11,Paramètres!$A$1:$I$89,5,0)</f>
        <v>233.2511999999999</v>
      </c>
      <c r="BF194" s="13">
        <f t="shared" si="167"/>
        <v>56.985091661350864</v>
      </c>
      <c r="BG194" s="20">
        <f t="shared" si="168"/>
        <v>505.49487464351915</v>
      </c>
      <c r="BH194" s="59">
        <f t="shared" si="116"/>
        <v>798.82820797685247</v>
      </c>
      <c r="BI194" s="59">
        <f ca="1">AVERAGE(OFFSET($BH$3,0,0,'Données projet'!$E$11+1,1))-AVERAGE(OFFSET($H$3,0,0,'Données projet'!$E$11+1,1))</f>
        <v>324.86930206492627</v>
      </c>
      <c r="BJ194" s="59">
        <f t="shared" si="146"/>
        <v>317.03005098025352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5.2878619735293757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5.2878619735293757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306.99999999999994</v>
      </c>
      <c r="BZ194" s="13">
        <f>BY194*VLOOKUP('Données projet'!$B$12,Paramètres!$A$1:$I$89,3,0)*VLOOKUP('Données projet'!$B$12,Paramètres!$A$1:$I$89,5,0)</f>
        <v>311.298</v>
      </c>
      <c r="CA194" s="13">
        <f t="shared" si="170"/>
        <v>73.539838278528748</v>
      </c>
      <c r="CB194" s="20">
        <f t="shared" si="171"/>
        <v>670.25923500177089</v>
      </c>
      <c r="CC194" s="59">
        <f t="shared" si="119"/>
        <v>963.59256833510426</v>
      </c>
      <c r="CD194" s="59">
        <f ca="1">AVERAGE(OFFSET($CC$3,0,0,'Données projet'!$E$12+1,1))-AVERAGE(OFFSET($H$3,0,0,'Données projet'!$E$12+1,1))</f>
        <v>487.18832528146936</v>
      </c>
      <c r="CE194" s="59">
        <f t="shared" si="148"/>
        <v>306.61893266146666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24.902481732378245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24.902481732378245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20.879999999999939</v>
      </c>
      <c r="CU194" s="17">
        <f>CT194*VLOOKUP('Données projet'!$B$13,Paramètres!$A$1:$I$89,3,0)*VLOOKUP('Données projet'!$B$13,Paramètres!$A$1:$I$89,5,0)</f>
        <v>19.86940799999994</v>
      </c>
      <c r="CV194" s="13">
        <f t="shared" si="173"/>
        <v>6.4658893302320672</v>
      </c>
      <c r="CW194" s="20">
        <f t="shared" si="174"/>
        <v>45.86730951682074</v>
      </c>
      <c r="CX194" s="59">
        <f t="shared" si="122"/>
        <v>339.20064285015405</v>
      </c>
      <c r="CY194" s="59">
        <f ca="1">AVERAGE(OFFSET($CX$3,0,0,'Données projet'!$E$13+1,1))-AVERAGE(OFFSET($H$3,0,0,'Données projet'!$E$13+1,1))</f>
        <v>733.95677909788878</v>
      </c>
      <c r="CZ194" s="59">
        <f t="shared" si="150"/>
        <v>264.63778997972378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198.3993056681613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198.3993056681613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853.00000000000011</v>
      </c>
      <c r="O195" s="13">
        <f>N195*VLOOKUP('Données projet'!$B$9,Paramètres!$A$1:$I$89,3,0)*VLOOKUP('Données projet'!$B$9,Paramètres!$A$1:$I$89,5,0)</f>
        <v>399.20400000000006</v>
      </c>
      <c r="P195" s="13">
        <f t="shared" si="141"/>
        <v>91.615269732888521</v>
      </c>
      <c r="Q195" s="20">
        <f t="shared" si="162"/>
        <v>854.8435614514475</v>
      </c>
      <c r="R195" s="59">
        <f t="shared" ref="R195:R203" si="191">Q195+(I195+J195)*44/12</f>
        <v>1148.1768947847809</v>
      </c>
      <c r="S195" s="59">
        <f ca="1">AVERAGE(OFFSET($R$3,0,0,'Données projet'!$E$9+1,1))-AVERAGE(OFFSET($H$3,0,0,'Données projet'!$E$9+1,1))</f>
        <v>488.67934252295686</v>
      </c>
      <c r="T195" s="59">
        <f t="shared" si="142"/>
        <v>424.50324471331095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15.081475636222555</v>
      </c>
      <c r="AA195" s="21">
        <f>EXP(-LN(2)/25)*AA194+(1-EXP(-LN(2)/25))/(LN(2)/25)*Calculateur!V195*Calculateur!X195*VLOOKUP('Données projet'!$B$9,Paramètres!$A$1:$I$89,3,0)*0.475*44/12</f>
        <v>0.54879398962147008</v>
      </c>
      <c r="AB195" s="21">
        <f>EXP(-LN(2)/2)*AB194+(1-EXP(-LN(2)/2))/(LN(2)/2)*V195*Y195*VLOOKUP('Données projet'!$B$9,Paramètres!$A$1:$I$89,3,0)*0.475*44/12</f>
        <v>3.3558137192964829E-25</v>
      </c>
      <c r="AC195" s="22">
        <f t="shared" si="163"/>
        <v>15.630269625844026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689</v>
      </c>
      <c r="AJ195" s="13">
        <f>AI195*VLOOKUP('Données projet'!$B$10,Paramètres!$A$1:$I$89,3,0)*VLOOKUP('Données projet'!$B$10,Paramètres!$A$1:$I$89,5,0)</f>
        <v>412.02199999999999</v>
      </c>
      <c r="AK195" s="13">
        <f t="shared" si="164"/>
        <v>94.209724877926391</v>
      </c>
      <c r="AL195" s="20">
        <f t="shared" si="165"/>
        <v>881.686920829055</v>
      </c>
      <c r="AM195" s="59">
        <f t="shared" si="113"/>
        <v>1175.0202541623883</v>
      </c>
      <c r="AN195" s="59">
        <f ca="1">AVERAGE(OFFSET($AM$3,0,0,'Données projet'!$E$10+1,1))-AVERAGE(OFFSET($H$3,0,0,'Données projet'!$E$10+1,1))</f>
        <v>504.81063008331739</v>
      </c>
      <c r="AO195" s="59">
        <f t="shared" si="144"/>
        <v>441.82647565372287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10.650250533124542</v>
      </c>
      <c r="AV195" s="21">
        <f>EXP(-LN(2)/25)*AV194+(1-EXP(-LN(2)/25))/(LN(2)/25)*Calculateur!AQ195*Calculateur!AS195*VLOOKUP('Données projet'!$B$10,Paramètres!$A$1:$I$89,3,0)*0.475*44/12</f>
        <v>0.6596108546658298</v>
      </c>
      <c r="AW195" s="21">
        <f>EXP(-LN(2)/2)*AW194+(1-EXP(-LN(2)/2))/(LN(2)/2)*AQ195*AT195*VLOOKUP('Données projet'!$B$10,Paramètres!$A$1:$I$89,3,0)*0.475*44/12</f>
        <v>2.1657590737384158E-26</v>
      </c>
      <c r="AX195" s="21">
        <f t="shared" si="166"/>
        <v>11.309861387790372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266.99999999999983</v>
      </c>
      <c r="BE195" s="13">
        <f>BD195*VLOOKUP('Données projet'!$B$11,Paramètres!$A$1:$I$89,3,0)*VLOOKUP('Données projet'!$B$11,Paramètres!$A$1:$I$89,5,0)</f>
        <v>233.2511999999999</v>
      </c>
      <c r="BF195" s="13">
        <f t="shared" si="167"/>
        <v>56.985091661350864</v>
      </c>
      <c r="BG195" s="20">
        <f t="shared" si="168"/>
        <v>505.49487464351915</v>
      </c>
      <c r="BH195" s="59">
        <f t="shared" si="116"/>
        <v>798.82820797685247</v>
      </c>
      <c r="BI195" s="59">
        <f ca="1">AVERAGE(OFFSET($BH$3,0,0,'Données projet'!$E$11+1,1))-AVERAGE(OFFSET($H$3,0,0,'Données projet'!$E$11+1,1))</f>
        <v>324.86930206492627</v>
      </c>
      <c r="BJ195" s="59">
        <f t="shared" si="146"/>
        <v>317.03005098025352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5.1841702255057989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5.1841702255057989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306.99999999999994</v>
      </c>
      <c r="BZ195" s="13">
        <f>BY195*VLOOKUP('Données projet'!$B$12,Paramètres!$A$1:$I$89,3,0)*VLOOKUP('Données projet'!$B$12,Paramètres!$A$1:$I$89,5,0)</f>
        <v>311.298</v>
      </c>
      <c r="CA195" s="13">
        <f t="shared" si="170"/>
        <v>73.539838278528748</v>
      </c>
      <c r="CB195" s="20">
        <f t="shared" si="171"/>
        <v>670.25923500177089</v>
      </c>
      <c r="CC195" s="59">
        <f t="shared" si="119"/>
        <v>963.59256833510426</v>
      </c>
      <c r="CD195" s="59">
        <f ca="1">AVERAGE(OFFSET($CC$3,0,0,'Données projet'!$E$12+1,1))-AVERAGE(OFFSET($H$3,0,0,'Données projet'!$E$12+1,1))</f>
        <v>487.18832528146936</v>
      </c>
      <c r="CE195" s="59">
        <f t="shared" si="148"/>
        <v>306.61893266146666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24.414159254620373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24.414159254620373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20.879999999999939</v>
      </c>
      <c r="CU195" s="17">
        <f>CT195*VLOOKUP('Données projet'!$B$13,Paramètres!$A$1:$I$89,3,0)*VLOOKUP('Données projet'!$B$13,Paramètres!$A$1:$I$89,5,0)</f>
        <v>19.86940799999994</v>
      </c>
      <c r="CV195" s="13">
        <f t="shared" si="173"/>
        <v>6.4658893302320672</v>
      </c>
      <c r="CW195" s="20">
        <f t="shared" si="174"/>
        <v>45.86730951682074</v>
      </c>
      <c r="CX195" s="59">
        <f t="shared" si="122"/>
        <v>339.20064285015405</v>
      </c>
      <c r="CY195" s="59">
        <f ca="1">AVERAGE(OFFSET($CX$3,0,0,'Données projet'!$E$13+1,1))-AVERAGE(OFFSET($H$3,0,0,'Données projet'!$E$13+1,1))</f>
        <v>733.95677909788878</v>
      </c>
      <c r="CZ195" s="59">
        <f t="shared" si="150"/>
        <v>264.63778997972378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194.50881629563622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194.50881629563622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853.00000000000011</v>
      </c>
      <c r="O196" s="13">
        <f>N196*VLOOKUP('Données projet'!$B$9,Paramètres!$A$1:$I$89,3,0)*VLOOKUP('Données projet'!$B$9,Paramètres!$A$1:$I$89,5,0)</f>
        <v>399.20400000000006</v>
      </c>
      <c r="P196" s="13">
        <f t="shared" si="141"/>
        <v>91.615269732888521</v>
      </c>
      <c r="Q196" s="20">
        <f t="shared" si="162"/>
        <v>854.8435614514475</v>
      </c>
      <c r="R196" s="59">
        <f t="shared" si="191"/>
        <v>1148.1768947847809</v>
      </c>
      <c r="S196" s="59">
        <f ca="1">AVERAGE(OFFSET($R$3,0,0,'Données projet'!$E$9+1,1))-AVERAGE(OFFSET($H$3,0,0,'Données projet'!$E$9+1,1))</f>
        <v>488.67934252295686</v>
      </c>
      <c r="T196" s="59">
        <f t="shared" si="142"/>
        <v>424.50324471331095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14.785737097788063</v>
      </c>
      <c r="AA196" s="21">
        <f>EXP(-LN(2)/25)*AA195+(1-EXP(-LN(2)/25))/(LN(2)/25)*Calculateur!V196*Calculateur!X196*VLOOKUP('Données projet'!$B$9,Paramètres!$A$1:$I$89,3,0)*0.475*44/12</f>
        <v>0.53378718911544931</v>
      </c>
      <c r="AB196" s="21">
        <f>EXP(-LN(2)/2)*AB195+(1-EXP(-LN(2)/2))/(LN(2)/2)*V196*Y196*VLOOKUP('Données projet'!$B$9,Paramètres!$A$1:$I$89,3,0)*0.475*44/12</f>
        <v>2.3729186373133923E-25</v>
      </c>
      <c r="AC196" s="22">
        <f t="shared" si="163"/>
        <v>15.319524286903512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689</v>
      </c>
      <c r="AJ196" s="13">
        <f>AI196*VLOOKUP('Données projet'!$B$10,Paramètres!$A$1:$I$89,3,0)*VLOOKUP('Données projet'!$B$10,Paramètres!$A$1:$I$89,5,0)</f>
        <v>412.02199999999999</v>
      </c>
      <c r="AK196" s="13">
        <f t="shared" si="164"/>
        <v>94.209724877926391</v>
      </c>
      <c r="AL196" s="20">
        <f t="shared" si="165"/>
        <v>881.686920829055</v>
      </c>
      <c r="AM196" s="59">
        <f t="shared" ref="AM196:AM203" si="193">AL196+(AD196+AE196)*44/12</f>
        <v>1175.0202541623883</v>
      </c>
      <c r="AN196" s="59">
        <f ca="1">AVERAGE(OFFSET($AM$3,0,0,'Données projet'!$E$10+1,1))-AVERAGE(OFFSET($H$3,0,0,'Données projet'!$E$10+1,1))</f>
        <v>504.81063008331739</v>
      </c>
      <c r="AO196" s="59">
        <f t="shared" si="144"/>
        <v>441.82647565372287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10.441405616181367</v>
      </c>
      <c r="AV196" s="21">
        <f>EXP(-LN(2)/25)*AV195+(1-EXP(-LN(2)/25))/(LN(2)/25)*Calculateur!AQ196*Calculateur!AS196*VLOOKUP('Données projet'!$B$10,Paramètres!$A$1:$I$89,3,0)*0.475*44/12</f>
        <v>0.64157376115756537</v>
      </c>
      <c r="AW196" s="21">
        <f>EXP(-LN(2)/2)*AW195+(1-EXP(-LN(2)/2))/(LN(2)/2)*AQ196*AT196*VLOOKUP('Données projet'!$B$10,Paramètres!$A$1:$I$89,3,0)*0.475*44/12</f>
        <v>1.5314229274567298E-26</v>
      </c>
      <c r="AX196" s="21">
        <f t="shared" si="166"/>
        <v>11.082979377338932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266.99999999999983</v>
      </c>
      <c r="BE196" s="13">
        <f>BD196*VLOOKUP('Données projet'!$B$11,Paramètres!$A$1:$I$89,3,0)*VLOOKUP('Données projet'!$B$11,Paramètres!$A$1:$I$89,5,0)</f>
        <v>233.2511999999999</v>
      </c>
      <c r="BF196" s="13">
        <f t="shared" si="167"/>
        <v>56.985091661350864</v>
      </c>
      <c r="BG196" s="20">
        <f t="shared" si="168"/>
        <v>505.49487464351915</v>
      </c>
      <c r="BH196" s="59">
        <f t="shared" ref="BH196:BH203" si="194">BG196+(AY196+AZ196)*44/12</f>
        <v>798.82820797685247</v>
      </c>
      <c r="BI196" s="59">
        <f ca="1">AVERAGE(OFFSET($BH$3,0,0,'Données projet'!$E$11+1,1))-AVERAGE(OFFSET($H$3,0,0,'Données projet'!$E$11+1,1))</f>
        <v>324.86930206492627</v>
      </c>
      <c r="BJ196" s="59">
        <f t="shared" si="146"/>
        <v>317.03005098025352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5.0825118094152426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5.0825118094152426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306.99999999999994</v>
      </c>
      <c r="BZ196" s="13">
        <f>BY196*VLOOKUP('Données projet'!$B$12,Paramètres!$A$1:$I$89,3,0)*VLOOKUP('Données projet'!$B$12,Paramètres!$A$1:$I$89,5,0)</f>
        <v>311.298</v>
      </c>
      <c r="CA196" s="13">
        <f t="shared" si="170"/>
        <v>73.539838278528748</v>
      </c>
      <c r="CB196" s="20">
        <f t="shared" si="171"/>
        <v>670.25923500177089</v>
      </c>
      <c r="CC196" s="59">
        <f t="shared" ref="CC196:CC203" si="195">CB196+(BT196+BU196)*44/12</f>
        <v>963.59256833510426</v>
      </c>
      <c r="CD196" s="59">
        <f ca="1">AVERAGE(OFFSET($CC$3,0,0,'Données projet'!$E$12+1,1))-AVERAGE(OFFSET($H$3,0,0,'Données projet'!$E$12+1,1))</f>
        <v>487.18832528146936</v>
      </c>
      <c r="CE196" s="59">
        <f t="shared" si="148"/>
        <v>306.61893266146666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23.935412482804033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23.935412482804033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20.879999999999939</v>
      </c>
      <c r="CU196" s="17">
        <f>CT196*VLOOKUP('Données projet'!$B$13,Paramètres!$A$1:$I$89,3,0)*VLOOKUP('Données projet'!$B$13,Paramètres!$A$1:$I$89,5,0)</f>
        <v>19.86940799999994</v>
      </c>
      <c r="CV196" s="13">
        <f t="shared" si="173"/>
        <v>6.4658893302320672</v>
      </c>
      <c r="CW196" s="20">
        <f t="shared" si="174"/>
        <v>45.86730951682074</v>
      </c>
      <c r="CX196" s="59">
        <f t="shared" ref="CX196:CX203" si="196">CW196+(CO196+CP196)*44/12</f>
        <v>339.20064285015405</v>
      </c>
      <c r="CY196" s="59">
        <f ca="1">AVERAGE(OFFSET($CX$3,0,0,'Données projet'!$E$13+1,1))-AVERAGE(OFFSET($H$3,0,0,'Données projet'!$E$13+1,1))</f>
        <v>733.95677909788878</v>
      </c>
      <c r="CZ196" s="59">
        <f t="shared" si="150"/>
        <v>264.63778997972378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190.69461704674214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190.69461704674214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853.00000000000011</v>
      </c>
      <c r="O197" s="13">
        <f>N197*VLOOKUP('Données projet'!$B$9,Paramètres!$A$1:$I$89,3,0)*VLOOKUP('Données projet'!$B$9,Paramètres!$A$1:$I$89,5,0)</f>
        <v>399.20400000000006</v>
      </c>
      <c r="P197" s="13">
        <f t="shared" ref="P197:P203" si="203">EXP(-1.0587+0.8836*LN(O197)+0.284)</f>
        <v>91.615269732888521</v>
      </c>
      <c r="Q197" s="20">
        <f t="shared" si="162"/>
        <v>854.8435614514475</v>
      </c>
      <c r="R197" s="59">
        <f t="shared" si="191"/>
        <v>1148.1768947847809</v>
      </c>
      <c r="S197" s="59">
        <f ca="1">AVERAGE(OFFSET($R$3,0,0,'Données projet'!$E$9+1,1))-AVERAGE(OFFSET($H$3,0,0,'Données projet'!$E$9+1,1))</f>
        <v>488.67934252295686</v>
      </c>
      <c r="T197" s="59">
        <f t="shared" ref="T197:T203" si="204">$T$3</f>
        <v>424.50324471331095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14.495797811709576</v>
      </c>
      <c r="AA197" s="21">
        <f>EXP(-LN(2)/25)*AA196+(1-EXP(-LN(2)/25))/(LN(2)/25)*Calculateur!V197*Calculateur!X197*VLOOKUP('Données projet'!$B$9,Paramètres!$A$1:$I$89,3,0)*0.475*44/12</f>
        <v>0.51919075035843909</v>
      </c>
      <c r="AB197" s="21">
        <f>EXP(-LN(2)/2)*AB196+(1-EXP(-LN(2)/2))/(LN(2)/2)*V197*Y197*VLOOKUP('Données projet'!$B$9,Paramètres!$A$1:$I$89,3,0)*0.475*44/12</f>
        <v>1.6779068596482415E-25</v>
      </c>
      <c r="AC197" s="22">
        <f t="shared" si="163"/>
        <v>15.014988562068014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689</v>
      </c>
      <c r="AJ197" s="13">
        <f>AI197*VLOOKUP('Données projet'!$B$10,Paramètres!$A$1:$I$89,3,0)*VLOOKUP('Données projet'!$B$10,Paramètres!$A$1:$I$89,5,0)</f>
        <v>412.02199999999999</v>
      </c>
      <c r="AK197" s="13">
        <f t="shared" si="164"/>
        <v>94.209724877926391</v>
      </c>
      <c r="AL197" s="20">
        <f t="shared" si="165"/>
        <v>881.686920829055</v>
      </c>
      <c r="AM197" s="59">
        <f t="shared" si="193"/>
        <v>1175.0202541623883</v>
      </c>
      <c r="AN197" s="59">
        <f ca="1">AVERAGE(OFFSET($AM$3,0,0,'Données projet'!$E$10+1,1))-AVERAGE(OFFSET($H$3,0,0,'Données projet'!$E$10+1,1))</f>
        <v>504.81063008331739</v>
      </c>
      <c r="AO197" s="59">
        <f t="shared" ref="AO197:AO203" si="205">$AO$3</f>
        <v>441.82647565372287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10.236656020676627</v>
      </c>
      <c r="AV197" s="21">
        <f>EXP(-LN(2)/25)*AV196+(1-EXP(-LN(2)/25))/(LN(2)/25)*Calculateur!AQ197*Calculateur!AS197*VLOOKUP('Données projet'!$B$10,Paramètres!$A$1:$I$89,3,0)*0.475*44/12</f>
        <v>0.62402989291981403</v>
      </c>
      <c r="AW197" s="21">
        <f>EXP(-LN(2)/2)*AW196+(1-EXP(-LN(2)/2))/(LN(2)/2)*AQ197*AT197*VLOOKUP('Données projet'!$B$10,Paramètres!$A$1:$I$89,3,0)*0.475*44/12</f>
        <v>1.0828795368692079E-26</v>
      </c>
      <c r="AX197" s="21">
        <f t="shared" si="166"/>
        <v>10.860685913596441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266.99999999999983</v>
      </c>
      <c r="BE197" s="13">
        <f>BD197*VLOOKUP('Données projet'!$B$11,Paramètres!$A$1:$I$89,3,0)*VLOOKUP('Données projet'!$B$11,Paramètres!$A$1:$I$89,5,0)</f>
        <v>233.2511999999999</v>
      </c>
      <c r="BF197" s="13">
        <f t="shared" si="167"/>
        <v>56.985091661350864</v>
      </c>
      <c r="BG197" s="20">
        <f t="shared" si="168"/>
        <v>505.49487464351915</v>
      </c>
      <c r="BH197" s="59">
        <f t="shared" si="194"/>
        <v>798.82820797685247</v>
      </c>
      <c r="BI197" s="59">
        <f ca="1">AVERAGE(OFFSET($BH$3,0,0,'Données projet'!$E$11+1,1))-AVERAGE(OFFSET($H$3,0,0,'Données projet'!$E$11+1,1))</f>
        <v>324.86930206492627</v>
      </c>
      <c r="BJ197" s="59">
        <f t="shared" ref="BJ197:BJ203" si="206">$BJ$3</f>
        <v>317.03005098025352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4.9828468528587111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4.9828468528587111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306.99999999999994</v>
      </c>
      <c r="BZ197" s="13">
        <f>BY197*VLOOKUP('Données projet'!$B$12,Paramètres!$A$1:$I$89,3,0)*VLOOKUP('Données projet'!$B$12,Paramètres!$A$1:$I$89,5,0)</f>
        <v>311.298</v>
      </c>
      <c r="CA197" s="13">
        <f t="shared" si="170"/>
        <v>73.539838278528748</v>
      </c>
      <c r="CB197" s="20">
        <f t="shared" si="171"/>
        <v>670.25923500177089</v>
      </c>
      <c r="CC197" s="59">
        <f t="shared" si="195"/>
        <v>963.59256833510426</v>
      </c>
      <c r="CD197" s="59">
        <f ca="1">AVERAGE(OFFSET($CC$3,0,0,'Données projet'!$E$12+1,1))-AVERAGE(OFFSET($H$3,0,0,'Données projet'!$E$12+1,1))</f>
        <v>487.18832528146936</v>
      </c>
      <c r="CE197" s="59">
        <f t="shared" ref="CE197:CE203" si="207">$CE$3</f>
        <v>306.61893266146666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23.466053643176313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23.466053643176313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20.879999999999939</v>
      </c>
      <c r="CU197" s="17">
        <f>CT197*VLOOKUP('Données projet'!$B$13,Paramètres!$A$1:$I$89,3,0)*VLOOKUP('Données projet'!$B$13,Paramètres!$A$1:$I$89,5,0)</f>
        <v>19.86940799999994</v>
      </c>
      <c r="CV197" s="13">
        <f t="shared" si="173"/>
        <v>6.4658893302320672</v>
      </c>
      <c r="CW197" s="20">
        <f t="shared" si="174"/>
        <v>45.86730951682074</v>
      </c>
      <c r="CX197" s="59">
        <f t="shared" si="196"/>
        <v>339.20064285015405</v>
      </c>
      <c r="CY197" s="59">
        <f ca="1">AVERAGE(OFFSET($CX$3,0,0,'Données projet'!$E$13+1,1))-AVERAGE(OFFSET($H$3,0,0,'Données projet'!$E$13+1,1))</f>
        <v>733.95677909788878</v>
      </c>
      <c r="CZ197" s="59">
        <f t="shared" ref="CZ197:CZ203" si="208">$CZ$3</f>
        <v>264.63778997972378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186.95521191868704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186.95521191868704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853.00000000000011</v>
      </c>
      <c r="O198" s="13">
        <f>N198*VLOOKUP('Données projet'!$B$9,Paramètres!$A$1:$I$89,3,0)*VLOOKUP('Données projet'!$B$9,Paramètres!$A$1:$I$89,5,0)</f>
        <v>399.20400000000006</v>
      </c>
      <c r="P198" s="13">
        <f t="shared" si="203"/>
        <v>91.615269732888521</v>
      </c>
      <c r="Q198" s="20">
        <f t="shared" si="162"/>
        <v>854.8435614514475</v>
      </c>
      <c r="R198" s="59">
        <f t="shared" si="191"/>
        <v>1148.1768947847809</v>
      </c>
      <c r="S198" s="59">
        <f ca="1">AVERAGE(OFFSET($R$3,0,0,'Données projet'!$E$9+1,1))-AVERAGE(OFFSET($H$3,0,0,'Données projet'!$E$9+1,1))</f>
        <v>488.67934252295686</v>
      </c>
      <c r="T198" s="59">
        <f t="shared" si="204"/>
        <v>424.50324471331095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14.211544058185584</v>
      </c>
      <c r="AA198" s="21">
        <f>EXP(-LN(2)/25)*AA197+(1-EXP(-LN(2)/25))/(LN(2)/25)*Calculateur!V198*Calculateur!X198*VLOOKUP('Données projet'!$B$9,Paramètres!$A$1:$I$89,3,0)*0.475*44/12</f>
        <v>0.50499345198683265</v>
      </c>
      <c r="AB198" s="21">
        <f>EXP(-LN(2)/2)*AB197+(1-EXP(-LN(2)/2))/(LN(2)/2)*V198*Y198*VLOOKUP('Données projet'!$B$9,Paramètres!$A$1:$I$89,3,0)*0.475*44/12</f>
        <v>1.1864593186566962E-25</v>
      </c>
      <c r="AC198" s="22">
        <f t="shared" si="163"/>
        <v>14.716537510172417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689</v>
      </c>
      <c r="AJ198" s="13">
        <f>AI198*VLOOKUP('Données projet'!$B$10,Paramètres!$A$1:$I$89,3,0)*VLOOKUP('Données projet'!$B$10,Paramètres!$A$1:$I$89,5,0)</f>
        <v>412.02199999999999</v>
      </c>
      <c r="AK198" s="13">
        <f t="shared" si="164"/>
        <v>94.209724877926391</v>
      </c>
      <c r="AL198" s="20">
        <f t="shared" si="165"/>
        <v>881.686920829055</v>
      </c>
      <c r="AM198" s="59">
        <f t="shared" si="193"/>
        <v>1175.0202541623883</v>
      </c>
      <c r="AN198" s="59">
        <f ca="1">AVERAGE(OFFSET($AM$3,0,0,'Données projet'!$E$10+1,1))-AVERAGE(OFFSET($H$3,0,0,'Données projet'!$E$10+1,1))</f>
        <v>504.81063008331739</v>
      </c>
      <c r="AO198" s="59">
        <f t="shared" si="205"/>
        <v>441.82647565372287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10.035921439854812</v>
      </c>
      <c r="AV198" s="21">
        <f>EXP(-LN(2)/25)*AV197+(1-EXP(-LN(2)/25))/(LN(2)/25)*Calculateur!AQ198*Calculateur!AS198*VLOOKUP('Données projet'!$B$10,Paramètres!$A$1:$I$89,3,0)*0.475*44/12</f>
        <v>0.60696576268161584</v>
      </c>
      <c r="AW198" s="21">
        <f>EXP(-LN(2)/2)*AW197+(1-EXP(-LN(2)/2))/(LN(2)/2)*AQ198*AT198*VLOOKUP('Données projet'!$B$10,Paramètres!$A$1:$I$89,3,0)*0.475*44/12</f>
        <v>7.6571146372836489E-27</v>
      </c>
      <c r="AX198" s="21">
        <f t="shared" si="166"/>
        <v>10.642887202536429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266.99999999999983</v>
      </c>
      <c r="BE198" s="13">
        <f>BD198*VLOOKUP('Données projet'!$B$11,Paramètres!$A$1:$I$89,3,0)*VLOOKUP('Données projet'!$B$11,Paramètres!$A$1:$I$89,5,0)</f>
        <v>233.2511999999999</v>
      </c>
      <c r="BF198" s="13">
        <f t="shared" si="167"/>
        <v>56.985091661350864</v>
      </c>
      <c r="BG198" s="20">
        <f t="shared" si="168"/>
        <v>505.49487464351915</v>
      </c>
      <c r="BH198" s="59">
        <f t="shared" si="194"/>
        <v>798.82820797685247</v>
      </c>
      <c r="BI198" s="59">
        <f ca="1">AVERAGE(OFFSET($BH$3,0,0,'Données projet'!$E$11+1,1))-AVERAGE(OFFSET($H$3,0,0,'Données projet'!$E$11+1,1))</f>
        <v>324.86930206492627</v>
      </c>
      <c r="BJ198" s="59">
        <f t="shared" si="206"/>
        <v>317.03005098025352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4.8851362653106323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4.8851362653106323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306.99999999999994</v>
      </c>
      <c r="BZ198" s="13">
        <f>BY198*VLOOKUP('Données projet'!$B$12,Paramètres!$A$1:$I$89,3,0)*VLOOKUP('Données projet'!$B$12,Paramètres!$A$1:$I$89,5,0)</f>
        <v>311.298</v>
      </c>
      <c r="CA198" s="13">
        <f t="shared" si="170"/>
        <v>73.539838278528748</v>
      </c>
      <c r="CB198" s="20">
        <f t="shared" si="171"/>
        <v>670.25923500177089</v>
      </c>
      <c r="CC198" s="59">
        <f t="shared" si="195"/>
        <v>963.59256833510426</v>
      </c>
      <c r="CD198" s="59">
        <f ca="1">AVERAGE(OFFSET($CC$3,0,0,'Données projet'!$E$12+1,1))-AVERAGE(OFFSET($H$3,0,0,'Données projet'!$E$12+1,1))</f>
        <v>487.18832528146936</v>
      </c>
      <c r="CE198" s="59">
        <f t="shared" si="207"/>
        <v>306.61893266146666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23.005898644113067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23.005898644113067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20.879999999999939</v>
      </c>
      <c r="CU198" s="17">
        <f>CT198*VLOOKUP('Données projet'!$B$13,Paramètres!$A$1:$I$89,3,0)*VLOOKUP('Données projet'!$B$13,Paramètres!$A$1:$I$89,5,0)</f>
        <v>19.86940799999994</v>
      </c>
      <c r="CV198" s="13">
        <f t="shared" si="173"/>
        <v>6.4658893302320672</v>
      </c>
      <c r="CW198" s="20">
        <f t="shared" si="174"/>
        <v>45.86730951682074</v>
      </c>
      <c r="CX198" s="59">
        <f t="shared" si="196"/>
        <v>339.20064285015405</v>
      </c>
      <c r="CY198" s="59">
        <f ca="1">AVERAGE(OFFSET($CX$3,0,0,'Données projet'!$E$13+1,1))-AVERAGE(OFFSET($H$3,0,0,'Données projet'!$E$13+1,1))</f>
        <v>733.95677909788878</v>
      </c>
      <c r="CZ198" s="59">
        <f t="shared" si="208"/>
        <v>264.63778997972378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183.28913424438119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183.28913424438119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853.00000000000011</v>
      </c>
      <c r="O199" s="13">
        <f>N199*VLOOKUP('Données projet'!$B$9,Paramètres!$A$1:$I$89,3,0)*VLOOKUP('Données projet'!$B$9,Paramètres!$A$1:$I$89,5,0)</f>
        <v>399.20400000000006</v>
      </c>
      <c r="P199" s="13">
        <f t="shared" si="203"/>
        <v>91.615269732888521</v>
      </c>
      <c r="Q199" s="20">
        <f t="shared" si="162"/>
        <v>854.8435614514475</v>
      </c>
      <c r="R199" s="59">
        <f t="shared" si="191"/>
        <v>1148.1768947847809</v>
      </c>
      <c r="S199" s="59">
        <f ca="1">AVERAGE(OFFSET($R$3,0,0,'Données projet'!$E$9+1,1))-AVERAGE(OFFSET($H$3,0,0,'Données projet'!$E$9+1,1))</f>
        <v>488.67934252295686</v>
      </c>
      <c r="T199" s="59">
        <f t="shared" si="204"/>
        <v>424.50324471331095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13.932864347390527</v>
      </c>
      <c r="AA199" s="21">
        <f>EXP(-LN(2)/25)*AA198+(1-EXP(-LN(2)/25))/(LN(2)/25)*Calculateur!V199*Calculateur!X199*VLOOKUP('Données projet'!$B$9,Paramètres!$A$1:$I$89,3,0)*0.475*44/12</f>
        <v>0.49118437948580124</v>
      </c>
      <c r="AB199" s="21">
        <f>EXP(-LN(2)/2)*AB198+(1-EXP(-LN(2)/2))/(LN(2)/2)*V199*Y199*VLOOKUP('Données projet'!$B$9,Paramètres!$A$1:$I$89,3,0)*0.475*44/12</f>
        <v>8.3895342982412073E-26</v>
      </c>
      <c r="AC199" s="22">
        <f t="shared" si="163"/>
        <v>14.424048726876329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689</v>
      </c>
      <c r="AJ199" s="13">
        <f>AI199*VLOOKUP('Données projet'!$B$10,Paramètres!$A$1:$I$89,3,0)*VLOOKUP('Données projet'!$B$10,Paramètres!$A$1:$I$89,5,0)</f>
        <v>412.02199999999999</v>
      </c>
      <c r="AK199" s="13">
        <f t="shared" si="164"/>
        <v>94.209724877926391</v>
      </c>
      <c r="AL199" s="20">
        <f t="shared" si="165"/>
        <v>881.686920829055</v>
      </c>
      <c r="AM199" s="59">
        <f t="shared" si="193"/>
        <v>1175.0202541623883</v>
      </c>
      <c r="AN199" s="59">
        <f ca="1">AVERAGE(OFFSET($AM$3,0,0,'Données projet'!$E$10+1,1))-AVERAGE(OFFSET($H$3,0,0,'Données projet'!$E$10+1,1))</f>
        <v>504.81063008331739</v>
      </c>
      <c r="AO199" s="59">
        <f t="shared" si="205"/>
        <v>441.82647565372287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9.8391231417269083</v>
      </c>
      <c r="AV199" s="21">
        <f>EXP(-LN(2)/25)*AV198+(1-EXP(-LN(2)/25))/(LN(2)/25)*Calculateur!AQ199*Calculateur!AS199*VLOOKUP('Données projet'!$B$10,Paramètres!$A$1:$I$89,3,0)*0.475*44/12</f>
        <v>0.59036825198214482</v>
      </c>
      <c r="AW199" s="21">
        <f>EXP(-LN(2)/2)*AW198+(1-EXP(-LN(2)/2))/(LN(2)/2)*AQ199*AT199*VLOOKUP('Données projet'!$B$10,Paramètres!$A$1:$I$89,3,0)*0.475*44/12</f>
        <v>5.4143976843460395E-27</v>
      </c>
      <c r="AX199" s="21">
        <f t="shared" si="166"/>
        <v>10.429491393709053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266.99999999999983</v>
      </c>
      <c r="BE199" s="13">
        <f>BD199*VLOOKUP('Données projet'!$B$11,Paramètres!$A$1:$I$89,3,0)*VLOOKUP('Données projet'!$B$11,Paramètres!$A$1:$I$89,5,0)</f>
        <v>233.2511999999999</v>
      </c>
      <c r="BF199" s="13">
        <f t="shared" si="167"/>
        <v>56.985091661350864</v>
      </c>
      <c r="BG199" s="20">
        <f t="shared" si="168"/>
        <v>505.49487464351915</v>
      </c>
      <c r="BH199" s="59">
        <f t="shared" si="194"/>
        <v>798.82820797685247</v>
      </c>
      <c r="BI199" s="59">
        <f ca="1">AVERAGE(OFFSET($BH$3,0,0,'Données projet'!$E$11+1,1))-AVERAGE(OFFSET($H$3,0,0,'Données projet'!$E$11+1,1))</f>
        <v>324.86930206492627</v>
      </c>
      <c r="BJ199" s="59">
        <f t="shared" si="206"/>
        <v>317.03005098025352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4.7893417227867978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4.7893417227867978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306.99999999999994</v>
      </c>
      <c r="BZ199" s="13">
        <f>BY199*VLOOKUP('Données projet'!$B$12,Paramètres!$A$1:$I$89,3,0)*VLOOKUP('Données projet'!$B$12,Paramètres!$A$1:$I$89,5,0)</f>
        <v>311.298</v>
      </c>
      <c r="CA199" s="13">
        <f t="shared" si="170"/>
        <v>73.539838278528748</v>
      </c>
      <c r="CB199" s="20">
        <f t="shared" si="171"/>
        <v>670.25923500177089</v>
      </c>
      <c r="CC199" s="59">
        <f t="shared" si="195"/>
        <v>963.59256833510426</v>
      </c>
      <c r="CD199" s="59">
        <f ca="1">AVERAGE(OFFSET($CC$3,0,0,'Données projet'!$E$12+1,1))-AVERAGE(OFFSET($H$3,0,0,'Données projet'!$E$12+1,1))</f>
        <v>487.18832528146936</v>
      </c>
      <c r="CE199" s="59">
        <f t="shared" si="207"/>
        <v>306.61893266146666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22.554767003914616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22.554767003914616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20.879999999999939</v>
      </c>
      <c r="CU199" s="17">
        <f>CT199*VLOOKUP('Données projet'!$B$13,Paramètres!$A$1:$I$89,3,0)*VLOOKUP('Données projet'!$B$13,Paramètres!$A$1:$I$89,5,0)</f>
        <v>19.86940799999994</v>
      </c>
      <c r="CV199" s="13">
        <f t="shared" si="173"/>
        <v>6.4658893302320672</v>
      </c>
      <c r="CW199" s="20">
        <f t="shared" si="174"/>
        <v>45.86730951682074</v>
      </c>
      <c r="CX199" s="59">
        <f t="shared" si="196"/>
        <v>339.20064285015405</v>
      </c>
      <c r="CY199" s="59">
        <f ca="1">AVERAGE(OFFSET($CX$3,0,0,'Données projet'!$E$13+1,1))-AVERAGE(OFFSET($H$3,0,0,'Données projet'!$E$13+1,1))</f>
        <v>733.95677909788878</v>
      </c>
      <c r="CZ199" s="59">
        <f t="shared" si="208"/>
        <v>264.63778997972378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179.6949461171819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179.6949461171819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853.00000000000011</v>
      </c>
      <c r="O200" s="13">
        <f>N200*VLOOKUP('Données projet'!$B$9,Paramètres!$A$1:$I$89,3,0)*VLOOKUP('Données projet'!$B$9,Paramètres!$A$1:$I$89,5,0)</f>
        <v>399.20400000000006</v>
      </c>
      <c r="P200" s="13">
        <f t="shared" si="203"/>
        <v>91.615269732888521</v>
      </c>
      <c r="Q200" s="20">
        <f t="shared" si="162"/>
        <v>854.8435614514475</v>
      </c>
      <c r="R200" s="59">
        <f t="shared" si="191"/>
        <v>1148.1768947847809</v>
      </c>
      <c r="S200" s="59">
        <f ca="1">AVERAGE(OFFSET($R$3,0,0,'Données projet'!$E$9+1,1))-AVERAGE(OFFSET($H$3,0,0,'Données projet'!$E$9+1,1))</f>
        <v>488.67934252295686</v>
      </c>
      <c r="T200" s="59">
        <f t="shared" si="204"/>
        <v>424.50324471331095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13.659649375746323</v>
      </c>
      <c r="AA200" s="21">
        <f>EXP(-LN(2)/25)*AA199+(1-EXP(-LN(2)/25))/(LN(2)/25)*Calculateur!V200*Calculateur!X200*VLOOKUP('Données projet'!$B$9,Paramètres!$A$1:$I$89,3,0)*0.475*44/12</f>
        <v>0.47775291679849813</v>
      </c>
      <c r="AB200" s="21">
        <f>EXP(-LN(2)/2)*AB199+(1-EXP(-LN(2)/2))/(LN(2)/2)*V200*Y200*VLOOKUP('Données projet'!$B$9,Paramètres!$A$1:$I$89,3,0)*0.475*44/12</f>
        <v>5.9322965932834808E-26</v>
      </c>
      <c r="AC200" s="22">
        <f t="shared" si="163"/>
        <v>14.13740229254482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689</v>
      </c>
      <c r="AJ200" s="13">
        <f>AI200*VLOOKUP('Données projet'!$B$10,Paramètres!$A$1:$I$89,3,0)*VLOOKUP('Données projet'!$B$10,Paramètres!$A$1:$I$89,5,0)</f>
        <v>412.02199999999999</v>
      </c>
      <c r="AK200" s="13">
        <f t="shared" si="164"/>
        <v>94.209724877926391</v>
      </c>
      <c r="AL200" s="20">
        <f t="shared" si="165"/>
        <v>881.686920829055</v>
      </c>
      <c r="AM200" s="59">
        <f t="shared" si="193"/>
        <v>1175.0202541623883</v>
      </c>
      <c r="AN200" s="59">
        <f ca="1">AVERAGE(OFFSET($AM$3,0,0,'Données projet'!$E$10+1,1))-AVERAGE(OFFSET($H$3,0,0,'Données projet'!$E$10+1,1))</f>
        <v>504.81063008331739</v>
      </c>
      <c r="AO200" s="59">
        <f t="shared" si="205"/>
        <v>441.82647565372287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9.6461839381901839</v>
      </c>
      <c r="AV200" s="21">
        <f>EXP(-LN(2)/25)*AV199+(1-EXP(-LN(2)/25))/(LN(2)/25)*Calculateur!AQ200*Calculateur!AS200*VLOOKUP('Données projet'!$B$10,Paramètres!$A$1:$I$89,3,0)*0.475*44/12</f>
        <v>0.57422460108557605</v>
      </c>
      <c r="AW200" s="21">
        <f>EXP(-LN(2)/2)*AW199+(1-EXP(-LN(2)/2))/(LN(2)/2)*AQ200*AT200*VLOOKUP('Données projet'!$B$10,Paramètres!$A$1:$I$89,3,0)*0.475*44/12</f>
        <v>3.8285573186418245E-27</v>
      </c>
      <c r="AX200" s="21">
        <f t="shared" si="166"/>
        <v>10.220408539275759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266.99999999999983</v>
      </c>
      <c r="BE200" s="13">
        <f>BD200*VLOOKUP('Données projet'!$B$11,Paramètres!$A$1:$I$89,3,0)*VLOOKUP('Données projet'!$B$11,Paramètres!$A$1:$I$89,5,0)</f>
        <v>233.2511999999999</v>
      </c>
      <c r="BF200" s="13">
        <f t="shared" si="167"/>
        <v>56.985091661350864</v>
      </c>
      <c r="BG200" s="20">
        <f t="shared" si="168"/>
        <v>505.49487464351915</v>
      </c>
      <c r="BH200" s="59">
        <f t="shared" si="194"/>
        <v>798.82820797685247</v>
      </c>
      <c r="BI200" s="59">
        <f ca="1">AVERAGE(OFFSET($BH$3,0,0,'Données projet'!$E$11+1,1))-AVERAGE(OFFSET($H$3,0,0,'Données projet'!$E$11+1,1))</f>
        <v>324.86930206492627</v>
      </c>
      <c r="BJ200" s="59">
        <f t="shared" si="206"/>
        <v>317.03005098025352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4.6954256528129541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4.6954256528129541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306.99999999999994</v>
      </c>
      <c r="BZ200" s="13">
        <f>BY200*VLOOKUP('Données projet'!$B$12,Paramètres!$A$1:$I$89,3,0)*VLOOKUP('Données projet'!$B$12,Paramètres!$A$1:$I$89,5,0)</f>
        <v>311.298</v>
      </c>
      <c r="CA200" s="13">
        <f t="shared" si="170"/>
        <v>73.539838278528748</v>
      </c>
      <c r="CB200" s="20">
        <f t="shared" si="171"/>
        <v>670.25923500177089</v>
      </c>
      <c r="CC200" s="59">
        <f t="shared" si="195"/>
        <v>963.59256833510426</v>
      </c>
      <c r="CD200" s="59">
        <f ca="1">AVERAGE(OFFSET($CC$3,0,0,'Données projet'!$E$12+1,1))-AVERAGE(OFFSET($H$3,0,0,'Données projet'!$E$12+1,1))</f>
        <v>487.18832528146936</v>
      </c>
      <c r="CE200" s="59">
        <f t="shared" si="207"/>
        <v>306.61893266146666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22.112481780017326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22.112481780017326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20.879999999999939</v>
      </c>
      <c r="CU200" s="17">
        <f>CT200*VLOOKUP('Données projet'!$B$13,Paramètres!$A$1:$I$89,3,0)*VLOOKUP('Données projet'!$B$13,Paramètres!$A$1:$I$89,5,0)</f>
        <v>19.86940799999994</v>
      </c>
      <c r="CV200" s="13">
        <f t="shared" si="173"/>
        <v>6.4658893302320672</v>
      </c>
      <c r="CW200" s="20">
        <f t="shared" si="174"/>
        <v>45.86730951682074</v>
      </c>
      <c r="CX200" s="59">
        <f t="shared" si="196"/>
        <v>339.20064285015405</v>
      </c>
      <c r="CY200" s="59">
        <f ca="1">AVERAGE(OFFSET($CX$3,0,0,'Données projet'!$E$13+1,1))-AVERAGE(OFFSET($H$3,0,0,'Données projet'!$E$13+1,1))</f>
        <v>733.95677909788878</v>
      </c>
      <c r="CZ200" s="59">
        <f t="shared" si="208"/>
        <v>264.63778997972378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176.17123782691868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176.17123782691868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853.00000000000011</v>
      </c>
      <c r="O201" s="13">
        <f>N201*VLOOKUP('Données projet'!$B$9,Paramètres!$A$1:$I$89,3,0)*VLOOKUP('Données projet'!$B$9,Paramètres!$A$1:$I$89,5,0)</f>
        <v>399.20400000000006</v>
      </c>
      <c r="P201" s="13">
        <f t="shared" si="203"/>
        <v>91.615269732888521</v>
      </c>
      <c r="Q201" s="20">
        <f t="shared" si="162"/>
        <v>854.8435614514475</v>
      </c>
      <c r="R201" s="59">
        <f t="shared" si="191"/>
        <v>1148.1768947847809</v>
      </c>
      <c r="S201" s="59">
        <f ca="1">AVERAGE(OFFSET($R$3,0,0,'Données projet'!$E$9+1,1))-AVERAGE(OFFSET($H$3,0,0,'Données projet'!$E$9+1,1))</f>
        <v>488.67934252295686</v>
      </c>
      <c r="T201" s="59">
        <f t="shared" si="204"/>
        <v>424.50324471331095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13.391791983051384</v>
      </c>
      <c r="AA201" s="21">
        <f>EXP(-LN(2)/25)*AA200+(1-EXP(-LN(2)/25))/(LN(2)/25)*Calculateur!V201*Calculateur!X201*VLOOKUP('Données projet'!$B$9,Paramètres!$A$1:$I$89,3,0)*0.475*44/12</f>
        <v>0.46468873816470924</v>
      </c>
      <c r="AB201" s="21">
        <f>EXP(-LN(2)/2)*AB200+(1-EXP(-LN(2)/2))/(LN(2)/2)*V201*Y201*VLOOKUP('Données projet'!$B$9,Paramètres!$A$1:$I$89,3,0)*0.475*44/12</f>
        <v>4.1947671491206037E-26</v>
      </c>
      <c r="AC201" s="22">
        <f t="shared" si="163"/>
        <v>13.856480721216093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689</v>
      </c>
      <c r="AJ201" s="13">
        <f>AI201*VLOOKUP('Données projet'!$B$10,Paramètres!$A$1:$I$89,3,0)*VLOOKUP('Données projet'!$B$10,Paramètres!$A$1:$I$89,5,0)</f>
        <v>412.02199999999999</v>
      </c>
      <c r="AK201" s="13">
        <f t="shared" si="164"/>
        <v>94.209724877926391</v>
      </c>
      <c r="AL201" s="20">
        <f t="shared" si="165"/>
        <v>881.686920829055</v>
      </c>
      <c r="AM201" s="59">
        <f t="shared" si="193"/>
        <v>1175.0202541623883</v>
      </c>
      <c r="AN201" s="59">
        <f ca="1">AVERAGE(OFFSET($AM$3,0,0,'Données projet'!$E$10+1,1))-AVERAGE(OFFSET($H$3,0,0,'Données projet'!$E$10+1,1))</f>
        <v>504.81063008331739</v>
      </c>
      <c r="AO201" s="59">
        <f t="shared" si="205"/>
        <v>441.82647565372287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9.4570281547535195</v>
      </c>
      <c r="AV201" s="21">
        <f>EXP(-LN(2)/25)*AV200+(1-EXP(-LN(2)/25))/(LN(2)/25)*Calculateur!AQ201*Calculateur!AS201*VLOOKUP('Données projet'!$B$10,Paramètres!$A$1:$I$89,3,0)*0.475*44/12</f>
        <v>0.55852239917173163</v>
      </c>
      <c r="AW201" s="21">
        <f>EXP(-LN(2)/2)*AW200+(1-EXP(-LN(2)/2))/(LN(2)/2)*AQ201*AT201*VLOOKUP('Données projet'!$B$10,Paramètres!$A$1:$I$89,3,0)*0.475*44/12</f>
        <v>2.7071988421730197E-27</v>
      </c>
      <c r="AX201" s="21">
        <f t="shared" si="166"/>
        <v>10.015550553925252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266.99999999999983</v>
      </c>
      <c r="BE201" s="13">
        <f>BD201*VLOOKUP('Données projet'!$B$11,Paramètres!$A$1:$I$89,3,0)*VLOOKUP('Données projet'!$B$11,Paramètres!$A$1:$I$89,5,0)</f>
        <v>233.2511999999999</v>
      </c>
      <c r="BF201" s="13">
        <f t="shared" si="167"/>
        <v>56.985091661350864</v>
      </c>
      <c r="BG201" s="20">
        <f t="shared" si="168"/>
        <v>505.49487464351915</v>
      </c>
      <c r="BH201" s="59">
        <f t="shared" si="194"/>
        <v>798.82820797685247</v>
      </c>
      <c r="BI201" s="59">
        <f ca="1">AVERAGE(OFFSET($BH$3,0,0,'Données projet'!$E$11+1,1))-AVERAGE(OFFSET($H$3,0,0,'Données projet'!$E$11+1,1))</f>
        <v>324.86930206492627</v>
      </c>
      <c r="BJ201" s="59">
        <f t="shared" si="206"/>
        <v>317.03005098025352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4.6033512196881512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4.6033512196881512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306.99999999999994</v>
      </c>
      <c r="BZ201" s="13">
        <f>BY201*VLOOKUP('Données projet'!$B$12,Paramètres!$A$1:$I$89,3,0)*VLOOKUP('Données projet'!$B$12,Paramètres!$A$1:$I$89,5,0)</f>
        <v>311.298</v>
      </c>
      <c r="CA201" s="13">
        <f t="shared" si="170"/>
        <v>73.539838278528748</v>
      </c>
      <c r="CB201" s="20">
        <f t="shared" si="171"/>
        <v>670.25923500177089</v>
      </c>
      <c r="CC201" s="59">
        <f t="shared" si="195"/>
        <v>963.59256833510426</v>
      </c>
      <c r="CD201" s="59">
        <f ca="1">AVERAGE(OFFSET($CC$3,0,0,'Données projet'!$E$12+1,1))-AVERAGE(OFFSET($H$3,0,0,'Données projet'!$E$12+1,1))</f>
        <v>487.18832528146936</v>
      </c>
      <c r="CE201" s="59">
        <f t="shared" si="207"/>
        <v>306.61893266146666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21.678869499593315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21.678869499593315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20.879999999999939</v>
      </c>
      <c r="CU201" s="17">
        <f>CT201*VLOOKUP('Données projet'!$B$13,Paramètres!$A$1:$I$89,3,0)*VLOOKUP('Données projet'!$B$13,Paramètres!$A$1:$I$89,5,0)</f>
        <v>19.86940799999994</v>
      </c>
      <c r="CV201" s="13">
        <f t="shared" si="173"/>
        <v>6.4658893302320672</v>
      </c>
      <c r="CW201" s="20">
        <f t="shared" si="174"/>
        <v>45.86730951682074</v>
      </c>
      <c r="CX201" s="59">
        <f t="shared" si="196"/>
        <v>339.20064285015405</v>
      </c>
      <c r="CY201" s="59">
        <f ca="1">AVERAGE(OFFSET($CX$3,0,0,'Données projet'!$E$13+1,1))-AVERAGE(OFFSET($H$3,0,0,'Données projet'!$E$13+1,1))</f>
        <v>733.95677909788878</v>
      </c>
      <c r="CZ201" s="59">
        <f t="shared" si="208"/>
        <v>264.63778997972378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172.7166273069777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172.7166273069777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853.00000000000011</v>
      </c>
      <c r="O202" s="13">
        <f>N202*VLOOKUP('Données projet'!$B$9,Paramètres!$A$1:$I$89,3,0)*VLOOKUP('Données projet'!$B$9,Paramètres!$A$1:$I$89,5,0)</f>
        <v>399.20400000000006</v>
      </c>
      <c r="P202" s="13">
        <f t="shared" si="203"/>
        <v>91.615269732888521</v>
      </c>
      <c r="Q202" s="20">
        <f t="shared" si="162"/>
        <v>854.8435614514475</v>
      </c>
      <c r="R202" s="59">
        <f t="shared" si="191"/>
        <v>1148.1768947847809</v>
      </c>
      <c r="S202" s="59">
        <f ca="1">AVERAGE(OFFSET($R$3,0,0,'Données projet'!$E$9+1,1))-AVERAGE(OFFSET($H$3,0,0,'Données projet'!$E$9+1,1))</f>
        <v>488.67934252295686</v>
      </c>
      <c r="T202" s="59">
        <f t="shared" si="204"/>
        <v>424.50324471331095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13.129187110450314</v>
      </c>
      <c r="AA202" s="21">
        <f>EXP(-LN(2)/25)*AA201+(1-EXP(-LN(2)/25))/(LN(2)/25)*Calculateur!V202*Calculateur!X202*VLOOKUP('Données projet'!$B$9,Paramètres!$A$1:$I$89,3,0)*0.475*44/12</f>
        <v>0.45198180018267659</v>
      </c>
      <c r="AB202" s="21">
        <f>EXP(-LN(2)/2)*AB201+(1-EXP(-LN(2)/2))/(LN(2)/2)*V202*Y202*VLOOKUP('Données projet'!$B$9,Paramètres!$A$1:$I$89,3,0)*0.475*44/12</f>
        <v>2.9661482966417404E-26</v>
      </c>
      <c r="AC202" s="22">
        <f t="shared" si="163"/>
        <v>13.581168910632991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689</v>
      </c>
      <c r="AJ202" s="13">
        <f>AI202*VLOOKUP('Données projet'!$B$10,Paramètres!$A$1:$I$89,3,0)*VLOOKUP('Données projet'!$B$10,Paramètres!$A$1:$I$89,5,0)</f>
        <v>412.02199999999999</v>
      </c>
      <c r="AK202" s="13">
        <f t="shared" si="164"/>
        <v>94.209724877926391</v>
      </c>
      <c r="AL202" s="20">
        <f t="shared" si="165"/>
        <v>881.686920829055</v>
      </c>
      <c r="AM202" s="59">
        <f t="shared" si="193"/>
        <v>1175.0202541623883</v>
      </c>
      <c r="AN202" s="59">
        <f ca="1">AVERAGE(OFFSET($AM$3,0,0,'Données projet'!$E$10+1,1))-AVERAGE(OFFSET($H$3,0,0,'Données projet'!$E$10+1,1))</f>
        <v>504.81063008331739</v>
      </c>
      <c r="AO202" s="59">
        <f t="shared" si="205"/>
        <v>441.82647565372287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9.2715816008564129</v>
      </c>
      <c r="AV202" s="21">
        <f>EXP(-LN(2)/25)*AV201+(1-EXP(-LN(2)/25))/(LN(2)/25)*Calculateur!AQ202*Calculateur!AS202*VLOOKUP('Données projet'!$B$10,Paramètres!$A$1:$I$89,3,0)*0.475*44/12</f>
        <v>0.54324957479496416</v>
      </c>
      <c r="AW202" s="21">
        <f>EXP(-LN(2)/2)*AW201+(1-EXP(-LN(2)/2))/(LN(2)/2)*AQ202*AT202*VLOOKUP('Données projet'!$B$10,Paramètres!$A$1:$I$89,3,0)*0.475*44/12</f>
        <v>1.9142786593209122E-27</v>
      </c>
      <c r="AX202" s="21">
        <f t="shared" si="166"/>
        <v>9.8148311756513777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266.99999999999983</v>
      </c>
      <c r="BE202" s="13">
        <f>BD202*VLOOKUP('Données projet'!$B$11,Paramètres!$A$1:$I$89,3,0)*VLOOKUP('Données projet'!$B$11,Paramètres!$A$1:$I$89,5,0)</f>
        <v>233.2511999999999</v>
      </c>
      <c r="BF202" s="13">
        <f t="shared" si="167"/>
        <v>56.985091661350864</v>
      </c>
      <c r="BG202" s="20">
        <f t="shared" si="168"/>
        <v>505.49487464351915</v>
      </c>
      <c r="BH202" s="59">
        <f t="shared" si="194"/>
        <v>798.82820797685247</v>
      </c>
      <c r="BI202" s="59">
        <f ca="1">AVERAGE(OFFSET($BH$3,0,0,'Données projet'!$E$11+1,1))-AVERAGE(OFFSET($H$3,0,0,'Données projet'!$E$11+1,1))</f>
        <v>324.86930206492627</v>
      </c>
      <c r="BJ202" s="59">
        <f t="shared" si="206"/>
        <v>317.03005098025352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4.5130823100370669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4.5130823100370669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306.99999999999994</v>
      </c>
      <c r="BZ202" s="13">
        <f>BY202*VLOOKUP('Données projet'!$B$12,Paramètres!$A$1:$I$89,3,0)*VLOOKUP('Données projet'!$B$12,Paramètres!$A$1:$I$89,5,0)</f>
        <v>311.298</v>
      </c>
      <c r="CA202" s="13">
        <f t="shared" si="170"/>
        <v>73.539838278528748</v>
      </c>
      <c r="CB202" s="20">
        <f t="shared" si="171"/>
        <v>670.25923500177089</v>
      </c>
      <c r="CC202" s="59">
        <f t="shared" si="195"/>
        <v>963.59256833510426</v>
      </c>
      <c r="CD202" s="59">
        <f ca="1">AVERAGE(OFFSET($CC$3,0,0,'Données projet'!$E$12+1,1))-AVERAGE(OFFSET($H$3,0,0,'Données projet'!$E$12+1,1))</f>
        <v>487.18832528146936</v>
      </c>
      <c r="CE202" s="59">
        <f t="shared" si="207"/>
        <v>306.61893266146666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21.25376009151104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21.25376009151104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20.879999999999939</v>
      </c>
      <c r="CU202" s="17">
        <f>CT202*VLOOKUP('Données projet'!$B$13,Paramètres!$A$1:$I$89,3,0)*VLOOKUP('Données projet'!$B$13,Paramètres!$A$1:$I$89,5,0)</f>
        <v>19.86940799999994</v>
      </c>
      <c r="CV202" s="13">
        <f t="shared" si="173"/>
        <v>6.4658893302320672</v>
      </c>
      <c r="CW202" s="20">
        <f t="shared" si="174"/>
        <v>45.86730951682074</v>
      </c>
      <c r="CX202" s="59">
        <f t="shared" si="196"/>
        <v>339.20064285015405</v>
      </c>
      <c r="CY202" s="59">
        <f ca="1">AVERAGE(OFFSET($CX$3,0,0,'Données projet'!$E$13+1,1))-AVERAGE(OFFSET($H$3,0,0,'Données projet'!$E$13+1,1))</f>
        <v>733.95677909788878</v>
      </c>
      <c r="CZ202" s="59">
        <f t="shared" si="208"/>
        <v>264.63778997972378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169.32975959222838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169.32975959222838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853.00000000000011</v>
      </c>
      <c r="O203" s="13">
        <f>N203*VLOOKUP('Données projet'!$B$9,Paramètres!$A$1:$I$89,3,0)*VLOOKUP('Données projet'!$B$9,Paramètres!$A$1:$I$89,5,0)</f>
        <v>399.20400000000006</v>
      </c>
      <c r="P203" s="13">
        <f t="shared" si="203"/>
        <v>91.615269732888521</v>
      </c>
      <c r="Q203" s="20">
        <f t="shared" si="162"/>
        <v>854.8435614514475</v>
      </c>
      <c r="R203" s="59">
        <f t="shared" si="191"/>
        <v>1148.1768947847809</v>
      </c>
      <c r="S203" s="59">
        <f ca="1">AVERAGE(OFFSET($R$3,0,0,'Données projet'!$E$9+1,1))-AVERAGE(OFFSET($H$3,0,0,'Données projet'!$E$9+1,1))</f>
        <v>488.67934252295686</v>
      </c>
      <c r="T203" s="59">
        <f t="shared" si="204"/>
        <v>424.50324471331095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12.871731759227794</v>
      </c>
      <c r="AA203" s="21">
        <f>EXP(-LN(2)/25)*AA202+(1-EXP(-LN(2)/25))/(LN(2)/25)*Calculateur!V203*Calculateur!X203*VLOOKUP('Données projet'!$B$9,Paramètres!$A$1:$I$89,3,0)*0.475*44/12</f>
        <v>0.43962233408799145</v>
      </c>
      <c r="AB203" s="21">
        <f>EXP(-LN(2)/2)*AB202+(1-EXP(-LN(2)/2))/(LN(2)/2)*V203*Y203*VLOOKUP('Données projet'!$B$9,Paramètres!$A$1:$I$89,3,0)*0.475*44/12</f>
        <v>2.0973835745603018E-26</v>
      </c>
      <c r="AC203" s="22">
        <f t="shared" si="163"/>
        <v>13.311354093315785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689</v>
      </c>
      <c r="AJ203" s="13">
        <f>AI203*VLOOKUP('Données projet'!$B$10,Paramètres!$A$1:$I$89,3,0)*VLOOKUP('Données projet'!$B$10,Paramètres!$A$1:$I$89,5,0)</f>
        <v>412.02199999999999</v>
      </c>
      <c r="AK203" s="13">
        <f t="shared" si="164"/>
        <v>94.209724877926391</v>
      </c>
      <c r="AL203" s="20">
        <f t="shared" si="165"/>
        <v>881.686920829055</v>
      </c>
      <c r="AM203" s="59">
        <f t="shared" si="193"/>
        <v>1175.0202541623883</v>
      </c>
      <c r="AN203" s="59">
        <f ca="1">AVERAGE(OFFSET($AM$3,0,0,'Données projet'!$E$10+1,1))-AVERAGE(OFFSET($H$3,0,0,'Données projet'!$E$10+1,1))</f>
        <v>504.81063008331739</v>
      </c>
      <c r="AO203" s="59">
        <f t="shared" si="205"/>
        <v>441.82647565372287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9.0897715407700002</v>
      </c>
      <c r="AV203" s="21">
        <f>EXP(-LN(2)/25)*AV202+(1-EXP(-LN(2)/25))/(LN(2)/25)*Calculateur!AQ203*Calculateur!AS203*VLOOKUP('Données projet'!$B$10,Paramètres!$A$1:$I$89,3,0)*0.475*44/12</f>
        <v>0.52839438660394233</v>
      </c>
      <c r="AW203" s="21">
        <f>EXP(-LN(2)/2)*AW202+(1-EXP(-LN(2)/2))/(LN(2)/2)*AQ203*AT203*VLOOKUP('Données projet'!$B$10,Paramètres!$A$1:$I$89,3,0)*0.475*44/12</f>
        <v>1.3535994210865099E-27</v>
      </c>
      <c r="AX203" s="21">
        <f t="shared" si="166"/>
        <v>9.6181659273739424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266.99999999999983</v>
      </c>
      <c r="BE203" s="13">
        <f>BD203*VLOOKUP('Données projet'!$B$11,Paramètres!$A$1:$I$89,3,0)*VLOOKUP('Données projet'!$B$11,Paramètres!$A$1:$I$89,5,0)</f>
        <v>233.2511999999999</v>
      </c>
      <c r="BF203" s="13">
        <f t="shared" si="167"/>
        <v>56.985091661350864</v>
      </c>
      <c r="BG203" s="20">
        <f t="shared" si="168"/>
        <v>505.49487464351915</v>
      </c>
      <c r="BH203" s="59">
        <f t="shared" si="194"/>
        <v>798.82820797685247</v>
      </c>
      <c r="BI203" s="59">
        <f ca="1">AVERAGE(OFFSET($BH$3,0,0,'Données projet'!$E$11+1,1))-AVERAGE(OFFSET($H$3,0,0,'Données projet'!$E$11+1,1))</f>
        <v>324.86930206492627</v>
      </c>
      <c r="BJ203" s="59">
        <f t="shared" si="206"/>
        <v>317.03005098025352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4.4245835186456421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4.4245835186456421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306.99999999999994</v>
      </c>
      <c r="BZ203" s="13">
        <f>BY203*VLOOKUP('Données projet'!$B$12,Paramètres!$A$1:$I$89,3,0)*VLOOKUP('Données projet'!$B$12,Paramètres!$A$1:$I$89,5,0)</f>
        <v>311.298</v>
      </c>
      <c r="CA203" s="13">
        <f t="shared" si="170"/>
        <v>73.539838278528748</v>
      </c>
      <c r="CB203" s="20">
        <f t="shared" si="171"/>
        <v>670.25923500177089</v>
      </c>
      <c r="CC203" s="59">
        <f t="shared" si="195"/>
        <v>963.59256833510426</v>
      </c>
      <c r="CD203" s="59">
        <f ca="1">AVERAGE(OFFSET($CC$3,0,0,'Données projet'!$E$12+1,1))-AVERAGE(OFFSET($H$3,0,0,'Données projet'!$E$12+1,1))</f>
        <v>487.18832528146936</v>
      </c>
      <c r="CE203" s="59">
        <f t="shared" si="207"/>
        <v>306.61893266146666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20.836986819630123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20.836986819630123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20.879999999999939</v>
      </c>
      <c r="CU203" s="17">
        <f>CT203*VLOOKUP('Données projet'!$B$13,Paramètres!$A$1:$I$89,3,0)*VLOOKUP('Données projet'!$B$13,Paramètres!$A$1:$I$89,5,0)</f>
        <v>19.86940799999994</v>
      </c>
      <c r="CV203" s="13">
        <f t="shared" si="173"/>
        <v>6.4658893302320672</v>
      </c>
      <c r="CW203" s="20">
        <f t="shared" si="174"/>
        <v>45.86730951682074</v>
      </c>
      <c r="CX203" s="59">
        <f t="shared" si="196"/>
        <v>339.20064285015405</v>
      </c>
      <c r="CY203" s="59">
        <f ca="1">AVERAGE(OFFSET($CX$3,0,0,'Données projet'!$E$13+1,1))-AVERAGE(OFFSET($H$3,0,0,'Données projet'!$E$13+1,1))</f>
        <v>733.95677909788878</v>
      </c>
      <c r="CZ203" s="59">
        <f t="shared" si="208"/>
        <v>264.63778997972378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166.00930628757999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166.00930628757999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1.3370253457396568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1.3680212568593273</v>
      </c>
      <c r="BA205" s="81">
        <f>EXP(LN('Données projet'!B88)/'Données projet'!A88)</f>
        <v>1.2721747796233518</v>
      </c>
      <c r="BV205" s="81">
        <f>EXP(LN('Données projet'!B114)/'Données projet'!A114)</f>
        <v>1.2392705892426346</v>
      </c>
      <c r="CQ205" s="81">
        <f>EXP(LN('Données projet'!B140)/'Données projet'!A140)</f>
        <v>1.1690615875970631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Cèdre de l'Atlas</v>
      </c>
      <c r="B6" s="144">
        <f>'Données projet'!D9</f>
        <v>0.96</v>
      </c>
      <c r="C6" s="145">
        <f ca="1">IF(OR('Données projet'!B9="",'Données projet'!C9="",'Données projet'!C9=0%),0,Calculateur!S3)</f>
        <v>488.67934252295686</v>
      </c>
      <c r="D6" s="145">
        <f>IF(OR('Données projet'!B9="",'Données projet'!C9="",'Données projet'!C9=0%),0,Calculateur!T3)</f>
        <v>424.50324471331095</v>
      </c>
      <c r="E6" s="145">
        <f ca="1">MIN(C6,D6)</f>
        <v>424.50324471331095</v>
      </c>
      <c r="F6" s="145">
        <f ca="1">E6*B6</f>
        <v>407.5231149247785</v>
      </c>
      <c r="G6" s="145">
        <f ca="1">F6*(100%-'Données projet'!$C$24)*(100%-'Données projet'!$C$25)*(100%-'Données projet'!$C$26)*(100%-'Données projet'!$C$27)</f>
        <v>366.77080343230068</v>
      </c>
      <c r="H6" s="146">
        <f>IF(OR('Données projet'!B9="",'Données projet'!C9="",'Données projet'!C9=0%),0,AVERAGE(Calculateur!$AC$3:$AC$33)*B6)</f>
        <v>8.0408283093456916</v>
      </c>
      <c r="I6" s="147">
        <f>H6*(100%-'Données projet'!$C$24)*(100%-'Données projet'!$C$25)*(100%-'Données projet'!$C$26)*(100%-'Données projet'!$C$27)</f>
        <v>7.2367454784111223</v>
      </c>
      <c r="J6" s="148">
        <f>IF(OR('Données projet'!B9="",'Données projet'!C9="",'Données projet'!C9=0%),0,SUM(Calculateur!$V$3:$V$33)*VLOOKUP('Données projet'!$B$9,Paramètres!$A$1:$I$89,9,0)*B6)</f>
        <v>83.798399999999987</v>
      </c>
      <c r="K6" s="149">
        <f>J6*(100%-'Données projet'!$C$24)*(100%-'Données projet'!$C$25)*(100%-'Données projet'!$C$26)*(100%-'Données projet'!$C$27)</f>
        <v>75.418559999999985</v>
      </c>
      <c r="L6" s="150">
        <f ca="1">G6+I6+K6</f>
        <v>449.42610891071183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Pin laricio</v>
      </c>
      <c r="B7" s="152">
        <f>'Données projet'!D10</f>
        <v>0.96</v>
      </c>
      <c r="C7" s="145">
        <f ca="1">IF(OR('Données projet'!B10="",'Données projet'!C10="",'Données projet'!C10=0%),0,Calculateur!AN3)</f>
        <v>504.81063008331739</v>
      </c>
      <c r="D7" s="145">
        <f>IF(OR('Données projet'!B10="",'Données projet'!C10="",'Données projet'!C10=0%),0,Calculateur!AO3)</f>
        <v>441.82647565372287</v>
      </c>
      <c r="E7" s="145">
        <f t="shared" ref="E7:E15" ca="1" si="0">MIN(C7,D7)</f>
        <v>441.82647565372287</v>
      </c>
      <c r="F7" s="145">
        <f t="shared" ref="F7:F15" ca="1" si="1">E7*B7</f>
        <v>424.15341662757396</v>
      </c>
      <c r="G7" s="145">
        <f ca="1">F7*(100%-'Données projet'!$C$24)*(100%-'Données projet'!$C$25)*(100%-'Données projet'!$C$26)*(100%-'Données projet'!$C$27)</f>
        <v>381.73807496481658</v>
      </c>
      <c r="H7" s="153">
        <f>IF(OR('Données projet'!B10="",'Données projet'!C10="",'Données projet'!C10=0%),0,AVERAGE(Calculateur!$AX$3:$AX$33)*B7)</f>
        <v>12.24849023012189</v>
      </c>
      <c r="I7" s="147">
        <f>H7*(100%-'Données projet'!$C$24)*(100%-'Données projet'!$C$25)*(100%-'Données projet'!$C$26)*(100%-'Données projet'!$C$27)</f>
        <v>11.023641207109701</v>
      </c>
      <c r="J7" s="148">
        <f>IF(OR('Données projet'!B10="",'Données projet'!C10="",'Données projet'!C10=0%),0,SUM(Calculateur!$AQ$3:$AQ$33)*VLOOKUP('Données projet'!$B$10,Paramètres!$A$1:$I$89,9,0)*B7)</f>
        <v>83.798399999999987</v>
      </c>
      <c r="K7" s="149">
        <f>J7*(100%-'Données projet'!$C$24)*(100%-'Données projet'!$C$25)*(100%-'Données projet'!$C$26)*(100%-'Données projet'!$C$27)</f>
        <v>75.418559999999985</v>
      </c>
      <c r="L7" s="150">
        <f t="shared" ref="L7:L15" ca="1" si="2">G7+I7+K7</f>
        <v>468.18027617192627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Erable champêtre</v>
      </c>
      <c r="B8" s="152">
        <f>'Données projet'!D11</f>
        <v>0.48</v>
      </c>
      <c r="C8" s="145">
        <f ca="1">IF(OR('Données projet'!B11="",'Données projet'!C11="",'Données projet'!C11=0%),0,Calculateur!BI3)</f>
        <v>324.86930206492627</v>
      </c>
      <c r="D8" s="145">
        <f>IF(OR('Données projet'!B11="",'Données projet'!C11="",'Données projet'!C11=0%),0,Calculateur!BJ3)</f>
        <v>317.03005098025352</v>
      </c>
      <c r="E8" s="145">
        <f t="shared" ca="1" si="0"/>
        <v>317.03005098025352</v>
      </c>
      <c r="F8" s="145">
        <f t="shared" ca="1" si="1"/>
        <v>152.17442447052167</v>
      </c>
      <c r="G8" s="145">
        <f ca="1">F8*(100%-'Données projet'!$C$24)*(100%-'Données projet'!$C$25)*(100%-'Données projet'!$C$26)*(100%-'Données projet'!$C$27)</f>
        <v>136.95698202346952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11.879999999999999</v>
      </c>
      <c r="K8" s="149">
        <f>J8*(100%-'Données projet'!$C$24)*(100%-'Données projet'!$C$25)*(100%-'Données projet'!$C$26)*(100%-'Données projet'!$C$27)</f>
        <v>10.692</v>
      </c>
      <c r="L8" s="150">
        <f t="shared" ca="1" si="2"/>
        <v>147.64898202346953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Chêne pubescent</v>
      </c>
      <c r="B9" s="152">
        <f>'Données projet'!D12</f>
        <v>1.28</v>
      </c>
      <c r="C9" s="145">
        <f ca="1">IF(OR('Données projet'!B12="",'Données projet'!C12="",'Données projet'!C12=0%),0,Calculateur!CD3)</f>
        <v>487.18832528146936</v>
      </c>
      <c r="D9" s="145">
        <f>IF(OR('Données projet'!B12="",'Données projet'!C12="",'Données projet'!C12=0%),0,Calculateur!CE3)</f>
        <v>306.61893266146666</v>
      </c>
      <c r="E9" s="145">
        <f t="shared" ca="1" si="0"/>
        <v>306.61893266146666</v>
      </c>
      <c r="F9" s="145">
        <f t="shared" ca="1" si="1"/>
        <v>392.47223380667731</v>
      </c>
      <c r="G9" s="145">
        <f ca="1">F9*(100%-'Données projet'!$C$24)*(100%-'Données projet'!$C$25)*(100%-'Données projet'!$C$26)*(100%-'Données projet'!$C$27)</f>
        <v>353.22501042600959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19.84</v>
      </c>
      <c r="K9" s="149">
        <f>J9*(100%-'Données projet'!$C$24)*(100%-'Données projet'!$C$25)*(100%-'Données projet'!$C$26)*(100%-'Données projet'!$C$27)</f>
        <v>17.856000000000002</v>
      </c>
      <c r="L9" s="150">
        <f t="shared" ca="1" si="2"/>
        <v>371.08101042600958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Charme</v>
      </c>
      <c r="B10" s="152">
        <f>'Données projet'!D13</f>
        <v>0.32</v>
      </c>
      <c r="C10" s="145">
        <f ca="1">IF(OR('Données projet'!B13="",'Données projet'!C13="",'Données projet'!C13=0%),0,Calculateur!CY3)</f>
        <v>733.95677909788878</v>
      </c>
      <c r="D10" s="145">
        <f>IF(OR('Données projet'!B13="",'Données projet'!C13="",'Données projet'!C13=0%),0,Calculateur!CZ3)</f>
        <v>264.63778997972378</v>
      </c>
      <c r="E10" s="145">
        <f t="shared" ca="1" si="0"/>
        <v>264.63778997972378</v>
      </c>
      <c r="F10" s="145">
        <f t="shared" ca="1" si="1"/>
        <v>84.68409279351161</v>
      </c>
      <c r="G10" s="145">
        <f ca="1">F10*(100%-'Données projet'!$C$24)*(100%-'Données projet'!$C$25)*(100%-'Données projet'!$C$26)*(100%-'Données projet'!$C$27)</f>
        <v>76.215683514160446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ca="1" si="2"/>
        <v>76.215683514160446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1461.007282623063</v>
      </c>
      <c r="G16" s="164">
        <f t="shared" ca="1" si="3"/>
        <v>1314.9065543607569</v>
      </c>
      <c r="H16" s="165">
        <f t="shared" si="3"/>
        <v>20.28931853946758</v>
      </c>
      <c r="I16" s="165">
        <f t="shared" si="3"/>
        <v>18.260386685520825</v>
      </c>
      <c r="J16" s="166">
        <f t="shared" si="3"/>
        <v>199.31679999999997</v>
      </c>
      <c r="K16" s="166">
        <f t="shared" si="3"/>
        <v>179.38511999999997</v>
      </c>
      <c r="L16" s="167">
        <f t="shared" ca="1" si="3"/>
        <v>1512.5520610462777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Erable champêtre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Charme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" zoomScale="90" zoomScaleNormal="90" workbookViewId="0">
      <selection activeCell="I22" sqref="I22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Cèdre de l'Atlas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-2308.9286410582313</v>
      </c>
      <c r="U10" s="176">
        <f>'Données projet'!D9</f>
        <v>0.96</v>
      </c>
      <c r="V10" s="175">
        <f>U10*T10</f>
        <v>-2216.5714954159021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Pin laricio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-1127.7432785989258</v>
      </c>
      <c r="U11" s="176">
        <f>'Données projet'!D10</f>
        <v>0.96</v>
      </c>
      <c r="V11" s="175">
        <f t="shared" ref="V11" si="0">U11*T11</f>
        <v>-1082.6335474549687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Erable champêtre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-2210.2010422937542</v>
      </c>
      <c r="U12" s="176">
        <f>'Données projet'!D11</f>
        <v>0.48</v>
      </c>
      <c r="V12" s="175">
        <f t="shared" ref="V12:V19" si="1">U12*T12</f>
        <v>-1060.8965003010019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 pubescent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-3017.1752855107147</v>
      </c>
      <c r="U13" s="176">
        <f>'Données projet'!D12</f>
        <v>1.28</v>
      </c>
      <c r="V13" s="175">
        <f t="shared" si="1"/>
        <v>-3861.9843654537149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Cèdre de l'Atlas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Charme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-2635.8679721431517</v>
      </c>
      <c r="U14" s="176">
        <f>'Données projet'!D13</f>
        <v>0.32</v>
      </c>
      <c r="V14" s="175">
        <f t="shared" si="1"/>
        <v>-843.47775108580856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3306.38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2241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1170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15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-22508.032559232928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20</v>
      </c>
      <c r="B24" s="179">
        <f>'Données projet'!D37</f>
        <v>49</v>
      </c>
      <c r="C24" s="191">
        <v>15</v>
      </c>
      <c r="D24" s="180">
        <f t="shared" ref="D24:D42" si="2">B24*C24</f>
        <v>735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25</v>
      </c>
      <c r="B25" s="179">
        <f>'Données projet'!D38</f>
        <v>77</v>
      </c>
      <c r="C25" s="191">
        <v>15</v>
      </c>
      <c r="D25" s="180">
        <f t="shared" si="2"/>
        <v>1155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-22508.032559232928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77</v>
      </c>
      <c r="C26" s="191">
        <v>15</v>
      </c>
      <c r="D26" s="180">
        <f t="shared" si="2"/>
        <v>1155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35</v>
      </c>
      <c r="B27" s="179">
        <f>'Données projet'!D40</f>
        <v>77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40</v>
      </c>
      <c r="B28" s="179">
        <f>'Données projet'!D41</f>
        <v>77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45</v>
      </c>
      <c r="B29" s="179">
        <f>'Données projet'!D42</f>
        <v>77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50</v>
      </c>
      <c r="B30" s="179">
        <f>'Données projet'!D43</f>
        <v>76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55</v>
      </c>
      <c r="B31" s="179">
        <f>'Données projet'!D44</f>
        <v>66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60</v>
      </c>
      <c r="B32" s="179">
        <f>'Données projet'!D45</f>
        <v>60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65</v>
      </c>
      <c r="B33" s="179">
        <f>'Données projet'!D46</f>
        <v>56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70</v>
      </c>
      <c r="B34" s="179">
        <f>'Données projet'!D47</f>
        <v>53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75</v>
      </c>
      <c r="B35" s="179">
        <f>'Données projet'!D48</f>
        <v>50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80</v>
      </c>
      <c r="B36" s="179">
        <f>'Données projet'!D49</f>
        <v>48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Pin laricio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1803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15</v>
      </c>
      <c r="B54" s="179">
        <f>'Données projet'!D62</f>
        <v>14</v>
      </c>
      <c r="C54" s="189">
        <v>15</v>
      </c>
      <c r="D54" s="177">
        <f>B54*C54</f>
        <v>210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20</v>
      </c>
      <c r="B55" s="179">
        <f>'Données projet'!D63</f>
        <v>63</v>
      </c>
      <c r="C55" s="189">
        <v>15</v>
      </c>
      <c r="D55" s="177">
        <f t="shared" ref="D55:D73" si="4">B55*C55</f>
        <v>945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25</v>
      </c>
      <c r="B56" s="179">
        <f>'Données projet'!D64</f>
        <v>63</v>
      </c>
      <c r="C56" s="189">
        <v>15</v>
      </c>
      <c r="D56" s="177">
        <f t="shared" si="4"/>
        <v>945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63</v>
      </c>
      <c r="C57" s="189">
        <v>15</v>
      </c>
      <c r="D57" s="177">
        <f t="shared" si="4"/>
        <v>945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35</v>
      </c>
      <c r="B58" s="179">
        <f>'Données projet'!D66</f>
        <v>63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40</v>
      </c>
      <c r="B59" s="179">
        <f>'Données projet'!D67</f>
        <v>63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45</v>
      </c>
      <c r="B60" s="179">
        <f>'Données projet'!D68</f>
        <v>60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50</v>
      </c>
      <c r="B61" s="179">
        <f>'Données projet'!D69</f>
        <v>53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55</v>
      </c>
      <c r="B62" s="179">
        <f>'Données projet'!D70</f>
        <v>45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60</v>
      </c>
      <c r="B63" s="179">
        <f>'Données projet'!D71</f>
        <v>39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65</v>
      </c>
      <c r="B64" s="179">
        <f>'Données projet'!D72</f>
        <v>34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70</v>
      </c>
      <c r="B65" s="179">
        <f>'Données projet'!D73</f>
        <v>31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75</v>
      </c>
      <c r="B66" s="179">
        <f>'Données projet'!D74</f>
        <v>30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80</v>
      </c>
      <c r="B67" s="179">
        <f>'Données projet'!D75</f>
        <v>29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Erable champêtre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2752.5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15</v>
      </c>
      <c r="B85" s="179">
        <f>'Données projet'!D88</f>
        <v>15</v>
      </c>
      <c r="C85" s="189">
        <v>15</v>
      </c>
      <c r="D85" s="177">
        <f>B85*C85</f>
        <v>225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28</v>
      </c>
      <c r="C86" s="189">
        <v>15</v>
      </c>
      <c r="D86" s="177">
        <f t="shared" ref="D86:D104" si="6">B86*C86</f>
        <v>420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25</v>
      </c>
      <c r="B87" s="179">
        <f>'Données projet'!D90</f>
        <v>28</v>
      </c>
      <c r="C87" s="189">
        <v>15</v>
      </c>
      <c r="D87" s="177">
        <f t="shared" si="6"/>
        <v>420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30</v>
      </c>
      <c r="B88" s="179">
        <f>'Données projet'!D91</f>
        <v>28</v>
      </c>
      <c r="C88" s="189">
        <v>15</v>
      </c>
      <c r="D88" s="177">
        <f t="shared" si="6"/>
        <v>420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35</v>
      </c>
      <c r="B89" s="179">
        <f>'Données projet'!D92</f>
        <v>28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40</v>
      </c>
      <c r="B90" s="179">
        <f>'Données projet'!D93</f>
        <v>28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45</v>
      </c>
      <c r="B91" s="179">
        <f>'Données projet'!D94</f>
        <v>22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50</v>
      </c>
      <c r="B92" s="179">
        <f>'Données projet'!D95</f>
        <v>17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55</v>
      </c>
      <c r="B93" s="179">
        <f>'Données projet'!D96</f>
        <v>13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60</v>
      </c>
      <c r="B94" s="179">
        <f>'Données projet'!D97</f>
        <v>12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65</v>
      </c>
      <c r="B95" s="179">
        <f>'Données projet'!D98</f>
        <v>11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70</v>
      </c>
      <c r="B96" s="179">
        <f>'Données projet'!D99</f>
        <v>10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75</v>
      </c>
      <c r="B97" s="179">
        <f>'Données projet'!D100</f>
        <v>9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80</v>
      </c>
      <c r="B98" s="179">
        <f>'Données projet'!D101</f>
        <v>8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Chêne pubescent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3306.38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20</v>
      </c>
      <c r="B116" s="179">
        <f>'Données projet'!D114</f>
        <v>6</v>
      </c>
      <c r="C116" s="189">
        <v>15</v>
      </c>
      <c r="D116" s="177">
        <f>B116*C116</f>
        <v>90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25</v>
      </c>
      <c r="B117" s="179">
        <f>'Données projet'!D115</f>
        <v>28</v>
      </c>
      <c r="C117" s="189">
        <v>15</v>
      </c>
      <c r="D117" s="177">
        <f t="shared" ref="D117:D135" si="8">B117*C117</f>
        <v>420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30</v>
      </c>
      <c r="B118" s="179">
        <f>'Données projet'!D116</f>
        <v>28</v>
      </c>
      <c r="C118" s="189">
        <v>15</v>
      </c>
      <c r="D118" s="177">
        <f t="shared" si="8"/>
        <v>420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35</v>
      </c>
      <c r="B119" s="179">
        <f>'Données projet'!D117</f>
        <v>28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40</v>
      </c>
      <c r="B120" s="179">
        <f>'Données projet'!D118</f>
        <v>28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45</v>
      </c>
      <c r="B121" s="179">
        <f>'Données projet'!D119</f>
        <v>28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50</v>
      </c>
      <c r="B122" s="179">
        <f>'Données projet'!D120</f>
        <v>28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55</v>
      </c>
      <c r="B123" s="179">
        <f>'Données projet'!D121</f>
        <v>28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60</v>
      </c>
      <c r="B124" s="179">
        <f>'Données projet'!D122</f>
        <v>28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65</v>
      </c>
      <c r="B125" s="179">
        <f>'Données projet'!D123</f>
        <v>28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70</v>
      </c>
      <c r="B126" s="179">
        <f>'Données projet'!D124</f>
        <v>28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75</v>
      </c>
      <c r="B127" s="179">
        <f>'Données projet'!D125</f>
        <v>28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80</v>
      </c>
      <c r="B128" s="179">
        <f>'Données projet'!D126</f>
        <v>28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85</v>
      </c>
      <c r="B129" s="179">
        <f>'Données projet'!D127</f>
        <v>28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90</v>
      </c>
      <c r="B130" s="179">
        <f>'Données projet'!D128</f>
        <v>28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95</v>
      </c>
      <c r="B131" s="179">
        <f>'Données projet'!D129</f>
        <v>28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100</v>
      </c>
      <c r="B132" s="179">
        <f>'Données projet'!D130</f>
        <v>27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105</v>
      </c>
      <c r="B133" s="179">
        <f>'Données projet'!D131</f>
        <v>26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110</v>
      </c>
      <c r="B134" s="179">
        <f>'Données projet'!D132</f>
        <v>25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115</v>
      </c>
      <c r="B135" s="179">
        <f>'Données projet'!D133</f>
        <v>24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Charme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3069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30</v>
      </c>
      <c r="B147" s="173">
        <f>'Données projet'!D140</f>
        <v>0</v>
      </c>
      <c r="C147" s="189">
        <v>15</v>
      </c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34</v>
      </c>
      <c r="B148" s="173">
        <f>'Données projet'!D141</f>
        <v>35.450000000000003</v>
      </c>
      <c r="C148" s="189">
        <v>15</v>
      </c>
      <c r="D148" s="180">
        <f t="shared" ref="D148:D166" si="10">B148*C148</f>
        <v>531.75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42</v>
      </c>
      <c r="B149" s="173">
        <f>'Données projet'!D142</f>
        <v>55.41</v>
      </c>
      <c r="C149" s="189">
        <v>15</v>
      </c>
      <c r="D149" s="180">
        <f t="shared" si="10"/>
        <v>831.15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50</v>
      </c>
      <c r="B150" s="173">
        <f>'Données projet'!D143</f>
        <v>66.62</v>
      </c>
      <c r="C150" s="189">
        <v>15</v>
      </c>
      <c r="D150" s="180">
        <f t="shared" si="10"/>
        <v>999.30000000000007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58</v>
      </c>
      <c r="B151" s="173">
        <f>'Données projet'!D144</f>
        <v>62.16</v>
      </c>
      <c r="C151" s="189">
        <v>15</v>
      </c>
      <c r="D151" s="180">
        <f t="shared" si="10"/>
        <v>932.4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66</v>
      </c>
      <c r="B152" s="173">
        <f>'Données projet'!D145</f>
        <v>71.34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74</v>
      </c>
      <c r="B153" s="173">
        <f>'Données projet'!D146</f>
        <v>70.209999999999994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82</v>
      </c>
      <c r="B154" s="173">
        <f>'Données projet'!D147</f>
        <v>53.92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90</v>
      </c>
      <c r="B155" s="173">
        <f>'Données projet'!D148</f>
        <v>63.25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100</v>
      </c>
      <c r="B156" s="173">
        <f>'Données projet'!D149</f>
        <v>85.23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110</v>
      </c>
      <c r="B157" s="173">
        <f>'Données projet'!D150</f>
        <v>67.22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120</v>
      </c>
      <c r="B158" s="173">
        <f>'Données projet'!D151</f>
        <v>60.46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130</v>
      </c>
      <c r="B159" s="173">
        <f>'Données projet'!D152</f>
        <v>69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140</v>
      </c>
      <c r="B160" s="173">
        <f>'Données projet'!D153</f>
        <v>67.930000000000007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150</v>
      </c>
      <c r="B161" s="173">
        <f>'Données projet'!D154</f>
        <v>234.51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153</v>
      </c>
      <c r="B162" s="173">
        <f>'Données projet'!D155</f>
        <v>141.22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156</v>
      </c>
      <c r="B163" s="173">
        <f>'Données projet'!D156</f>
        <v>87.28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159</v>
      </c>
      <c r="B164" s="173">
        <f>'Données projet'!D157</f>
        <v>180.6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2024-02-01T13:31:34Z</dcterms:modified>
</cp:coreProperties>
</file>