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PDLB\DURTAL2 (49) - CHEVREUX Charles-BEL3\déposé le 11 03 2024\"/>
    </mc:Choice>
  </mc:AlternateContent>
  <xr:revisionPtr revIDLastSave="0" documentId="8_{49492C14-3E71-4A5B-9CB3-94A4C4E68F11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3" i="6" l="1"/>
  <c r="I22" i="6"/>
  <c r="I21" i="6"/>
  <c r="I20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51" i="2" l="1" a="1"/>
  <c r="AH151" i="2" s="1"/>
  <c r="AH163" i="2" a="1"/>
  <c r="AH163" i="2" s="1"/>
  <c r="AH62" i="2" a="1"/>
  <c r="AH62" i="2" s="1"/>
  <c r="AH199" i="2" a="1"/>
  <c r="AH199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<sst xmlns="http://schemas.openxmlformats.org/spreadsheetml/2006/main" count="1171" uniqueCount="324">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</sst>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2.7230187432202917</c:v>
                </c:pt>
                <c:pt idx="2">
                  <c:v>3.209337976607936</c:v>
                </c:pt>
                <c:pt idx="3">
                  <c:v>3.7828300891783795</c:v>
                </c:pt>
                <c:pt idx="4">
                  <c:v>4.459174737767909</c:v>
                </c:pt>
                <c:pt idx="5">
                  <c:v>5.2568809438883566</c:v>
                </c:pt>
                <c:pt idx="6">
                  <c:v>6.1977991746015464</c:v>
                </c:pt>
                <c:pt idx="7">
                  <c:v>7.3077263597114817</c:v>
                </c:pt>
                <c:pt idx="8">
                  <c:v>8.6171207547947688</c:v>
                </c:pt>
                <c:pt idx="9">
                  <c:v>10.161946643350502</c:v>
                </c:pt>
                <c:pt idx="10">
                  <c:v>11.984672518674538</c:v>
                </c:pt>
                <c:pt idx="11">
                  <c:v>14.135450700137341</c:v>
                </c:pt>
                <c:pt idx="12">
                  <c:v>16.673511441484454</c:v>
                </c:pt>
                <c:pt idx="13">
                  <c:v>19.668810625100239</c:v>
                </c:pt>
                <c:pt idx="14">
                  <c:v>23.203977276915577</c:v>
                </c:pt>
                <c:pt idx="15">
                  <c:v>27.376615584226887</c:v>
                </c:pt>
                <c:pt idx="16">
                  <c:v>32.302026092718499</c:v>
                </c:pt>
                <c:pt idx="17">
                  <c:v>38.11642258302998</c:v>
                </c:pt>
                <c:pt idx="18">
                  <c:v>44.980735116955863</c:v>
                </c:pt>
                <c:pt idx="19">
                  <c:v>53.085106296146058</c:v>
                </c:pt>
                <c:pt idx="20">
                  <c:v>62.654207362334567</c:v>
                </c:pt>
                <c:pt idx="21">
                  <c:v>73.953523944453949</c:v>
                </c:pt>
                <c:pt idx="22">
                  <c:v>87.2967886836296</c:v>
                </c:pt>
                <c:pt idx="23">
                  <c:v>103.0547704223186</c:v>
                </c:pt>
                <c:pt idx="24">
                  <c:v>121.66566805259345</c:v>
                </c:pt>
                <c:pt idx="25">
                  <c:v>143.6474025745157</c:v>
                </c:pt>
                <c:pt idx="26">
                  <c:v>141.67594470663133</c:v>
                </c:pt>
                <c:pt idx="27">
                  <c:v>155.46288225618903</c:v>
                </c:pt>
                <c:pt idx="28">
                  <c:v>169.22076873606747</c:v>
                </c:pt>
                <c:pt idx="29">
                  <c:v>182.95230030612535</c:v>
                </c:pt>
                <c:pt idx="30">
                  <c:v>196.65973476943884</c:v>
                </c:pt>
                <c:pt idx="31">
                  <c:v>170.79137460696458</c:v>
                </c:pt>
                <c:pt idx="32">
                  <c:v>186.08747857758416</c:v>
                </c:pt>
                <c:pt idx="33">
                  <c:v>201.35423252127552</c:v>
                </c:pt>
                <c:pt idx="34">
                  <c:v>216.59417586765153</c:v>
                </c:pt>
                <c:pt idx="35">
                  <c:v>231.8094611658297</c:v>
                </c:pt>
                <c:pt idx="36">
                  <c:v>207.21879690654114</c:v>
                </c:pt>
                <c:pt idx="37">
                  <c:v>223.61956111075634</c:v>
                </c:pt>
                <c:pt idx="38">
                  <c:v>239.99275146392384</c:v>
                </c:pt>
                <c:pt idx="39">
                  <c:v>256.34051411178768</c:v>
                </c:pt>
                <c:pt idx="40">
                  <c:v>272.6646989766358</c:v>
                </c:pt>
                <c:pt idx="41">
                  <c:v>248.16968942779488</c:v>
                </c:pt>
                <c:pt idx="42">
                  <c:v>264.50544806917611</c:v>
                </c:pt>
                <c:pt idx="43">
                  <c:v>280.81846105391611</c:v>
                </c:pt>
                <c:pt idx="44">
                  <c:v>297.11023564036316</c:v>
                </c:pt>
                <c:pt idx="45">
                  <c:v>313.38210026249641</c:v>
                </c:pt>
                <c:pt idx="46">
                  <c:v>288.96691630985219</c:v>
                </c:pt>
                <c:pt idx="47">
                  <c:v>305.24857979967953</c:v>
                </c:pt>
                <c:pt idx="48">
                  <c:v>321.51093999187805</c:v>
                </c:pt>
                <c:pt idx="49">
                  <c:v>337.75511058999291</c:v>
                </c:pt>
                <c:pt idx="50">
                  <c:v>353.9820894286774</c:v>
                </c:pt>
                <c:pt idx="51">
                  <c:v>328.86168411801799</c:v>
                </c:pt>
                <c:pt idx="52">
                  <c:v>344.32519168762178</c:v>
                </c:pt>
                <c:pt idx="53">
                  <c:v>359.77344653568485</c:v>
                </c:pt>
                <c:pt idx="54">
                  <c:v>375.2071957314734</c:v>
                </c:pt>
                <c:pt idx="55">
                  <c:v>390.62711987432004</c:v>
                </c:pt>
                <c:pt idx="56">
                  <c:v>364.40506221560395</c:v>
                </c:pt>
                <c:pt idx="57">
                  <c:v>378.67786100909797</c:v>
                </c:pt>
                <c:pt idx="58">
                  <c:v>392.93895526469413</c:v>
                </c:pt>
                <c:pt idx="59">
                  <c:v>407.18882957990081</c:v>
                </c:pt>
                <c:pt idx="60">
                  <c:v>421.42793186976115</c:v>
                </c:pt>
                <c:pt idx="61">
                  <c:v>394.86525935006421</c:v>
                </c:pt>
                <c:pt idx="62">
                  <c:v>408.72870365690954</c:v>
                </c:pt>
                <c:pt idx="63">
                  <c:v>422.58199440092818</c:v>
                </c:pt>
                <c:pt idx="64">
                  <c:v>436.42551129808612</c:v>
                </c:pt>
                <c:pt idx="65">
                  <c:v>450.25960801246742</c:v>
                </c:pt>
                <c:pt idx="66">
                  <c:v>422.96666682108616</c:v>
                </c:pt>
                <c:pt idx="67">
                  <c:v>436.04109794385869</c:v>
                </c:pt>
                <c:pt idx="68">
                  <c:v>449.10711821530089</c:v>
                </c:pt>
                <c:pt idx="69">
                  <c:v>462.16500679362139</c:v>
                </c:pt>
                <c:pt idx="70">
                  <c:v>475.21502577729046</c:v>
                </c:pt>
                <c:pt idx="71">
                  <c:v>447.18616113243934</c:v>
                </c:pt>
                <c:pt idx="72">
                  <c:v>459.47726966137287</c:v>
                </c:pt>
                <c:pt idx="73">
                  <c:v>471.76136070205121</c:v>
                </c:pt>
                <c:pt idx="74">
                  <c:v>484.03864272240349</c:v>
                </c:pt>
                <c:pt idx="75">
                  <c:v>496.30931275327725</c:v>
                </c:pt>
                <c:pt idx="76">
                  <c:v>467.53948269999205</c:v>
                </c:pt>
                <c:pt idx="77">
                  <c:v>479.05180523598909</c:v>
                </c:pt>
                <c:pt idx="78">
                  <c:v>490.55824735832448</c:v>
                </c:pt>
                <c:pt idx="79">
                  <c:v>502.05896643512574</c:v>
                </c:pt>
                <c:pt idx="80">
                  <c:v>513.55411203705955</c:v>
                </c:pt>
                <c:pt idx="81">
                  <c:v>484.03864272240349</c:v>
                </c:pt>
                <c:pt idx="82">
                  <c:v>494.77583412162312</c:v>
                </c:pt>
                <c:pt idx="83">
                  <c:v>505.50808871924113</c:v>
                </c:pt>
                <c:pt idx="84">
                  <c:v>516.23552610410366</c:v>
                </c:pt>
                <c:pt idx="85">
                  <c:v>526.95826048952097</c:v>
                </c:pt>
                <c:pt idx="86">
                  <c:v>497.07601440225977</c:v>
                </c:pt>
                <c:pt idx="87">
                  <c:v>507.42405248193273</c:v>
                </c:pt>
                <c:pt idx="88">
                  <c:v>517.76763064125009</c:v>
                </c:pt>
                <c:pt idx="89">
                  <c:v>528.10685054075077</c:v>
                </c:pt>
                <c:pt idx="90">
                  <c:v>538.44180953565865</c:v>
                </c:pt>
                <c:pt idx="91">
                  <c:v>507.80722686130639</c:v>
                </c:pt>
                <c:pt idx="92">
                  <c:v>517.3846134864898</c:v>
                </c:pt>
                <c:pt idx="93">
                  <c:v>526.95826048952074</c:v>
                </c:pt>
                <c:pt idx="94">
                  <c:v>536.52824539615131</c:v>
                </c:pt>
                <c:pt idx="95">
                  <c:v>546.09464274073594</c:v>
                </c:pt>
                <c:pt idx="96">
                  <c:v>515.08638473795338</c:v>
                </c:pt>
                <c:pt idx="97">
                  <c:v>524.2780117454289</c:v>
                </c:pt>
                <c:pt idx="98">
                  <c:v>533.4662440625948</c:v>
                </c:pt>
                <c:pt idx="99">
                  <c:v>542.65114840915612</c:v>
                </c:pt>
                <c:pt idx="100">
                  <c:v>551.83278906179737</c:v>
                </c:pt>
                <c:pt idx="101">
                  <c:v>520.06560820994309</c:v>
                </c:pt>
                <c:pt idx="102">
                  <c:v>528.48970219589717</c:v>
                </c:pt>
                <c:pt idx="103">
                  <c:v>536.91096968482668</c:v>
                </c:pt>
                <c:pt idx="104">
                  <c:v>545.32946126916988</c:v>
                </c:pt>
                <c:pt idx="105">
                  <c:v>553.74522585166335</c:v>
                </c:pt>
                <c:pt idx="106">
                  <c:v>523.12924541243819</c:v>
                </c:pt>
                <c:pt idx="107">
                  <c:v>530.78668966466364</c:v>
                </c:pt>
                <c:pt idx="108">
                  <c:v>538.44180953565854</c:v>
                </c:pt>
                <c:pt idx="109">
                  <c:v>546.09464274073571</c:v>
                </c:pt>
                <c:pt idx="110">
                  <c:v>553.74522585166335</c:v>
                </c:pt>
                <c:pt idx="111">
                  <c:v>524.66092206348787</c:v>
                </c:pt>
                <c:pt idx="112">
                  <c:v>531.93510488968684</c:v>
                </c:pt>
                <c:pt idx="113">
                  <c:v>539.20719514390646</c:v>
                </c:pt>
                <c:pt idx="114">
                  <c:v>546.47722503675379</c:v>
                </c:pt>
                <c:pt idx="115">
                  <c:v>553.74522585166335</c:v>
                </c:pt>
                <c:pt idx="116">
                  <c:v>526.1925045020057</c:v>
                </c:pt>
                <c:pt idx="117">
                  <c:v>533.08346794728629</c:v>
                </c:pt>
                <c:pt idx="118">
                  <c:v>539.97255792351177</c:v>
                </c:pt>
                <c:pt idx="119">
                  <c:v>546.85980171226186</c:v>
                </c:pt>
                <c:pt idx="120">
                  <c:v>553.7452258516638</c:v>
                </c:pt>
                <c:pt idx="121">
                  <c:v>4.107100892103012E-12</c:v>
                </c:pt>
                <c:pt idx="122">
                  <c:v>4.107100892103012E-12</c:v>
                </c:pt>
                <c:pt idx="123">
                  <c:v>4.107100892103012E-12</c:v>
                </c:pt>
                <c:pt idx="124">
                  <c:v>4.107100892103012E-12</c:v>
                </c:pt>
                <c:pt idx="125">
                  <c:v>4.107100892103012E-12</c:v>
                </c:pt>
                <c:pt idx="126">
                  <c:v>4.107100892103012E-12</c:v>
                </c:pt>
                <c:pt idx="127">
                  <c:v>4.107100892103012E-12</c:v>
                </c:pt>
                <c:pt idx="128">
                  <c:v>4.107100892103012E-12</c:v>
                </c:pt>
                <c:pt idx="129">
                  <c:v>4.107100892103012E-12</c:v>
                </c:pt>
                <c:pt idx="130">
                  <c:v>4.107100892103012E-12</c:v>
                </c:pt>
                <c:pt idx="131">
                  <c:v>4.107100892103012E-12</c:v>
                </c:pt>
                <c:pt idx="132">
                  <c:v>4.107100892103012E-12</c:v>
                </c:pt>
                <c:pt idx="133">
                  <c:v>4.107100892103012E-12</c:v>
                </c:pt>
                <c:pt idx="134">
                  <c:v>4.107100892103012E-12</c:v>
                </c:pt>
                <c:pt idx="135">
                  <c:v>4.107100892103012E-12</c:v>
                </c:pt>
                <c:pt idx="136">
                  <c:v>4.107100892103012E-12</c:v>
                </c:pt>
                <c:pt idx="137">
                  <c:v>4.107100892103012E-12</c:v>
                </c:pt>
                <c:pt idx="138">
                  <c:v>4.107100892103012E-12</c:v>
                </c:pt>
                <c:pt idx="139">
                  <c:v>4.107100892103012E-12</c:v>
                </c:pt>
                <c:pt idx="140">
                  <c:v>4.107100892103012E-12</c:v>
                </c:pt>
                <c:pt idx="141">
                  <c:v>4.107100892103012E-12</c:v>
                </c:pt>
                <c:pt idx="142">
                  <c:v>4.107100892103012E-12</c:v>
                </c:pt>
                <c:pt idx="143">
                  <c:v>4.107100892103012E-12</c:v>
                </c:pt>
                <c:pt idx="144">
                  <c:v>4.107100892103012E-12</c:v>
                </c:pt>
                <c:pt idx="145">
                  <c:v>4.107100892103012E-12</c:v>
                </c:pt>
                <c:pt idx="146">
                  <c:v>4.107100892103012E-12</c:v>
                </c:pt>
                <c:pt idx="147">
                  <c:v>4.107100892103012E-12</c:v>
                </c:pt>
                <c:pt idx="148">
                  <c:v>4.107100892103012E-12</c:v>
                </c:pt>
                <c:pt idx="149">
                  <c:v>4.107100892103012E-12</c:v>
                </c:pt>
                <c:pt idx="150">
                  <c:v>4.107100892103012E-12</c:v>
                </c:pt>
                <c:pt idx="151">
                  <c:v>4.107100892103012E-12</c:v>
                </c:pt>
                <c:pt idx="152">
                  <c:v>4.107100892103012E-12</c:v>
                </c:pt>
                <c:pt idx="153">
                  <c:v>4.107100892103012E-12</c:v>
                </c:pt>
                <c:pt idx="154">
                  <c:v>4.107100892103012E-12</c:v>
                </c:pt>
                <c:pt idx="155">
                  <c:v>4.107100892103012E-12</c:v>
                </c:pt>
                <c:pt idx="156">
                  <c:v>4.107100892103012E-12</c:v>
                </c:pt>
                <c:pt idx="157">
                  <c:v>4.107100892103012E-12</c:v>
                </c:pt>
                <c:pt idx="158">
                  <c:v>4.107100892103012E-12</c:v>
                </c:pt>
                <c:pt idx="159">
                  <c:v>4.107100892103012E-12</c:v>
                </c:pt>
                <c:pt idx="160">
                  <c:v>4.107100892103012E-12</c:v>
                </c:pt>
                <c:pt idx="161">
                  <c:v>4.107100892103012E-12</c:v>
                </c:pt>
                <c:pt idx="162">
                  <c:v>4.107100892103012E-12</c:v>
                </c:pt>
                <c:pt idx="163">
                  <c:v>4.107100892103012E-12</c:v>
                </c:pt>
                <c:pt idx="164">
                  <c:v>4.107100892103012E-12</c:v>
                </c:pt>
                <c:pt idx="165">
                  <c:v>4.107100892103012E-12</c:v>
                </c:pt>
                <c:pt idx="166">
                  <c:v>4.107100892103012E-12</c:v>
                </c:pt>
                <c:pt idx="167">
                  <c:v>4.107100892103012E-12</c:v>
                </c:pt>
                <c:pt idx="168">
                  <c:v>4.107100892103012E-12</c:v>
                </c:pt>
                <c:pt idx="169">
                  <c:v>4.107100892103012E-12</c:v>
                </c:pt>
                <c:pt idx="170">
                  <c:v>4.107100892103012E-12</c:v>
                </c:pt>
                <c:pt idx="171">
                  <c:v>4.107100892103012E-12</c:v>
                </c:pt>
                <c:pt idx="172">
                  <c:v>4.107100892103012E-12</c:v>
                </c:pt>
                <c:pt idx="173">
                  <c:v>4.107100892103012E-12</c:v>
                </c:pt>
                <c:pt idx="174">
                  <c:v>4.107100892103012E-12</c:v>
                </c:pt>
                <c:pt idx="175">
                  <c:v>4.107100892103012E-12</c:v>
                </c:pt>
                <c:pt idx="176">
                  <c:v>4.107100892103012E-12</c:v>
                </c:pt>
                <c:pt idx="177">
                  <c:v>4.107100892103012E-12</c:v>
                </c:pt>
                <c:pt idx="178">
                  <c:v>4.107100892103012E-12</c:v>
                </c:pt>
                <c:pt idx="179">
                  <c:v>4.107100892103012E-12</c:v>
                </c:pt>
                <c:pt idx="180">
                  <c:v>4.107100892103012E-12</c:v>
                </c:pt>
                <c:pt idx="181">
                  <c:v>4.107100892103012E-12</c:v>
                </c:pt>
                <c:pt idx="182">
                  <c:v>4.107100892103012E-12</c:v>
                </c:pt>
                <c:pt idx="183">
                  <c:v>4.107100892103012E-12</c:v>
                </c:pt>
                <c:pt idx="184">
                  <c:v>4.107100892103012E-12</c:v>
                </c:pt>
                <c:pt idx="185">
                  <c:v>4.107100892103012E-12</c:v>
                </c:pt>
                <c:pt idx="186">
                  <c:v>4.107100892103012E-12</c:v>
                </c:pt>
                <c:pt idx="187">
                  <c:v>4.107100892103012E-12</c:v>
                </c:pt>
                <c:pt idx="188">
                  <c:v>4.107100892103012E-12</c:v>
                </c:pt>
                <c:pt idx="189">
                  <c:v>4.107100892103012E-12</c:v>
                </c:pt>
                <c:pt idx="190">
                  <c:v>4.107100892103012E-12</c:v>
                </c:pt>
                <c:pt idx="191">
                  <c:v>4.107100892103012E-12</c:v>
                </c:pt>
                <c:pt idx="192">
                  <c:v>4.107100892103012E-12</c:v>
                </c:pt>
                <c:pt idx="193">
                  <c:v>4.107100892103012E-12</c:v>
                </c:pt>
                <c:pt idx="194">
                  <c:v>4.107100892103012E-12</c:v>
                </c:pt>
                <c:pt idx="195">
                  <c:v>4.107100892103012E-12</c:v>
                </c:pt>
                <c:pt idx="196">
                  <c:v>4.107100892103012E-12</c:v>
                </c:pt>
                <c:pt idx="197">
                  <c:v>4.107100892103012E-12</c:v>
                </c:pt>
                <c:pt idx="198">
                  <c:v>4.107100892103012E-12</c:v>
                </c:pt>
                <c:pt idx="199">
                  <c:v>4.107100892103012E-12</c:v>
                </c:pt>
                <c:pt idx="200">
                  <c:v>4.107100892103012E-12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1.945758313630227</c:v>
                </c:pt>
                <c:pt idx="2">
                  <c:v>2.6050980468053448</c:v>
                </c:pt>
                <c:pt idx="3">
                  <c:v>3.4887980517210706</c:v>
                </c:pt>
                <c:pt idx="4">
                  <c:v>4.6735040654797206</c:v>
                </c:pt>
                <c:pt idx="5">
                  <c:v>6.2621414188034761</c:v>
                </c:pt>
                <c:pt idx="6">
                  <c:v>8.3929560750059693</c:v>
                </c:pt>
                <c:pt idx="7">
                  <c:v>11.251675760913587</c:v>
                </c:pt>
                <c:pt idx="8">
                  <c:v>15.087871001792513</c:v>
                </c:pt>
                <c:pt idx="9">
                  <c:v>20.236970540629144</c:v>
                </c:pt>
                <c:pt idx="10">
                  <c:v>27.149890593651492</c:v>
                </c:pt>
                <c:pt idx="11">
                  <c:v>36.432918080797933</c:v>
                </c:pt>
                <c:pt idx="12">
                  <c:v>48.901405640152291</c:v>
                </c:pt>
                <c:pt idx="13">
                  <c:v>65.652073559199778</c:v>
                </c:pt>
                <c:pt idx="14">
                  <c:v>88.160382293019723</c:v>
                </c:pt>
                <c:pt idx="15">
                  <c:v>118.41168955175056</c:v>
                </c:pt>
                <c:pt idx="16">
                  <c:v>159.07794124592061</c:v>
                </c:pt>
                <c:pt idx="17">
                  <c:v>213.75574019899872</c:v>
                </c:pt>
                <c:pt idx="18">
                  <c:v>249.31858647831859</c:v>
                </c:pt>
                <c:pt idx="19">
                  <c:v>186.65295119618835</c:v>
                </c:pt>
                <c:pt idx="20">
                  <c:v>219.38527831101297</c:v>
                </c:pt>
                <c:pt idx="21">
                  <c:v>252.00526262376073</c:v>
                </c:pt>
                <c:pt idx="22">
                  <c:v>284.52949620568376</c:v>
                </c:pt>
                <c:pt idx="23">
                  <c:v>316.97045957191079</c:v>
                </c:pt>
                <c:pt idx="24">
                  <c:v>353.21835259366952</c:v>
                </c:pt>
                <c:pt idx="25">
                  <c:v>324.75291318794217</c:v>
                </c:pt>
                <c:pt idx="26">
                  <c:v>357.64353127694949</c:v>
                </c:pt>
                <c:pt idx="27">
                  <c:v>391.75345691850794</c:v>
                </c:pt>
                <c:pt idx="28">
                  <c:v>425.79897297789597</c:v>
                </c:pt>
                <c:pt idx="29">
                  <c:v>461.70741999611255</c:v>
                </c:pt>
                <c:pt idx="30">
                  <c:v>497.55629175055515</c:v>
                </c:pt>
                <c:pt idx="31">
                  <c:v>434.07832225738576</c:v>
                </c:pt>
                <c:pt idx="32">
                  <c:v>466.6407952399947</c:v>
                </c:pt>
                <c:pt idx="33">
                  <c:v>500.64674115998105</c:v>
                </c:pt>
                <c:pt idx="34">
                  <c:v>534.60381399607388</c:v>
                </c:pt>
                <c:pt idx="35">
                  <c:v>569.77901956235246</c:v>
                </c:pt>
                <c:pt idx="36">
                  <c:v>604.90887079787183</c:v>
                </c:pt>
                <c:pt idx="37">
                  <c:v>535.66200804942548</c:v>
                </c:pt>
                <c:pt idx="38">
                  <c:v>567.84246187417853</c:v>
                </c:pt>
                <c:pt idx="39">
                  <c:v>600.99917872090748</c:v>
                </c:pt>
                <c:pt idx="40">
                  <c:v>634.11789501107194</c:v>
                </c:pt>
                <c:pt idx="41">
                  <c:v>668.08943967387813</c:v>
                </c:pt>
                <c:pt idx="42">
                  <c:v>702.0254786345663</c:v>
                </c:pt>
                <c:pt idx="43">
                  <c:v>625.80482280365356</c:v>
                </c:pt>
                <c:pt idx="44">
                  <c:v>657.01294905815314</c:v>
                </c:pt>
                <c:pt idx="45">
                  <c:v>688.88449344969774</c:v>
                </c:pt>
                <c:pt idx="46">
                  <c:v>720.72582265116989</c:v>
                </c:pt>
                <c:pt idx="47">
                  <c:v>753.17243083327423</c:v>
                </c:pt>
                <c:pt idx="48">
                  <c:v>785.59065255131372</c:v>
                </c:pt>
                <c:pt idx="49">
                  <c:v>696.17586923903229</c:v>
                </c:pt>
                <c:pt idx="50">
                  <c:v>725.80175633672332</c:v>
                </c:pt>
                <c:pt idx="51">
                  <c:v>756.00757035468848</c:v>
                </c:pt>
                <c:pt idx="52">
                  <c:v>786.18888455630861</c:v>
                </c:pt>
                <c:pt idx="53">
                  <c:v>816.78630665073081</c:v>
                </c:pt>
                <c:pt idx="54">
                  <c:v>847.360640692846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1.7729111845982548</c:v>
                </c:pt>
                <c:pt idx="2">
                  <c:v>2.1151678278372312</c:v>
                </c:pt>
                <c:pt idx="3">
                  <c:v>2.5237467481232607</c:v>
                </c:pt>
                <c:pt idx="4">
                  <c:v>3.0115457623705972</c:v>
                </c:pt>
                <c:pt idx="5">
                  <c:v>3.593979342926795</c:v>
                </c:pt>
                <c:pt idx="6">
                  <c:v>4.2894712021729635</c:v>
                </c:pt>
                <c:pt idx="7">
                  <c:v>5.1200435679930258</c:v>
                </c:pt>
                <c:pt idx="8">
                  <c:v>6.1120221800245114</c:v>
                </c:pt>
                <c:pt idx="9">
                  <c:v>7.2968797909689798</c:v>
                </c:pt>
                <c:pt idx="10">
                  <c:v>8.712245453924151</c:v>
                </c:pt>
                <c:pt idx="11">
                  <c:v>10.403112262766973</c:v>
                </c:pt>
                <c:pt idx="12">
                  <c:v>12.423282664319792</c:v>
                </c:pt>
                <c:pt idx="13">
                  <c:v>14.837098189613906</c:v>
                </c:pt>
                <c:pt idx="14">
                  <c:v>17.721509710216786</c:v>
                </c:pt>
                <c:pt idx="15">
                  <c:v>21.168555417793829</c:v>
                </c:pt>
                <c:pt idx="16">
                  <c:v>25.288327014609248</c:v>
                </c:pt>
                <c:pt idx="17">
                  <c:v>30.212520525604287</c:v>
                </c:pt>
                <c:pt idx="18">
                  <c:v>36.098687221774846</c:v>
                </c:pt>
                <c:pt idx="19">
                  <c:v>43.135323006491404</c:v>
                </c:pt>
                <c:pt idx="20">
                  <c:v>51.547962012479537</c:v>
                </c:pt>
                <c:pt idx="21">
                  <c:v>61.606472988176044</c:v>
                </c:pt>
                <c:pt idx="22">
                  <c:v>73.633796398083533</c:v>
                </c:pt>
                <c:pt idx="23">
                  <c:v>88.016407317478823</c:v>
                </c:pt>
                <c:pt idx="24">
                  <c:v>105.21684572006173</c:v>
                </c:pt>
                <c:pt idx="25">
                  <c:v>125.78872349965967</c:v>
                </c:pt>
                <c:pt idx="26">
                  <c:v>124.28836887153766</c:v>
                </c:pt>
                <c:pt idx="27">
                  <c:v>137.77640210827045</c:v>
                </c:pt>
                <c:pt idx="28">
                  <c:v>151.23268433365888</c:v>
                </c:pt>
                <c:pt idx="29">
                  <c:v>164.66044113992641</c:v>
                </c:pt>
                <c:pt idx="30">
                  <c:v>178.06232809976675</c:v>
                </c:pt>
                <c:pt idx="31">
                  <c:v>162.9213170179128</c:v>
                </c:pt>
                <c:pt idx="32">
                  <c:v>176.32642399290862</c:v>
                </c:pt>
                <c:pt idx="33">
                  <c:v>189.70761630775556</c:v>
                </c:pt>
                <c:pt idx="34">
                  <c:v>203.06681934037002</c:v>
                </c:pt>
                <c:pt idx="35">
                  <c:v>216.40568417713143</c:v>
                </c:pt>
                <c:pt idx="36">
                  <c:v>197.62672417984075</c:v>
                </c:pt>
                <c:pt idx="37">
                  <c:v>213.44317328361072</c:v>
                </c:pt>
                <c:pt idx="38">
                  <c:v>229.23263189102838</c:v>
                </c:pt>
                <c:pt idx="39">
                  <c:v>244.99722113546932</c:v>
                </c:pt>
                <c:pt idx="40">
                  <c:v>260.73876672061471</c:v>
                </c:pt>
                <c:pt idx="41">
                  <c:v>229.47913975307119</c:v>
                </c:pt>
                <c:pt idx="42">
                  <c:v>243.76646443655667</c:v>
                </c:pt>
                <c:pt idx="43">
                  <c:v>258.0347569994421</c:v>
                </c:pt>
                <c:pt idx="44">
                  <c:v>272.28521827223369</c:v>
                </c:pt>
                <c:pt idx="45">
                  <c:v>286.51891307475512</c:v>
                </c:pt>
                <c:pt idx="46">
                  <c:v>300.73679175655633</c:v>
                </c:pt>
                <c:pt idx="47">
                  <c:v>314.93970744758707</c:v>
                </c:pt>
                <c:pt idx="48">
                  <c:v>329.12843003230131</c:v>
                </c:pt>
                <c:pt idx="49">
                  <c:v>343.30365758683416</c:v>
                </c:pt>
                <c:pt idx="50">
                  <c:v>357.46602582767576</c:v>
                </c:pt>
                <c:pt idx="51">
                  <c:v>291.17819254141574</c:v>
                </c:pt>
                <c:pt idx="52">
                  <c:v>304.4113617557411</c:v>
                </c:pt>
                <c:pt idx="53">
                  <c:v>317.63174051702936</c:v>
                </c:pt>
                <c:pt idx="54">
                  <c:v>330.83993628075677</c:v>
                </c:pt>
                <c:pt idx="55">
                  <c:v>344.03650402875382</c:v>
                </c:pt>
                <c:pt idx="56">
                  <c:v>357.22195268358115</c:v>
                </c:pt>
                <c:pt idx="57">
                  <c:v>370.39675052607771</c:v>
                </c:pt>
                <c:pt idx="58">
                  <c:v>383.56132980166291</c:v>
                </c:pt>
                <c:pt idx="59">
                  <c:v>396.71609066110949</c:v>
                </c:pt>
                <c:pt idx="60">
                  <c:v>409.86140455127207</c:v>
                </c:pt>
                <c:pt idx="61">
                  <c:v>348.31076049861173</c:v>
                </c:pt>
                <c:pt idx="62">
                  <c:v>359.90655706035335</c:v>
                </c:pt>
                <c:pt idx="63">
                  <c:v>371.49418337037804</c:v>
                </c:pt>
                <c:pt idx="64">
                  <c:v>383.07393025577699</c:v>
                </c:pt>
                <c:pt idx="65">
                  <c:v>394.64606952207788</c:v>
                </c:pt>
                <c:pt idx="66">
                  <c:v>406.21085573052596</c:v>
                </c:pt>
                <c:pt idx="67">
                  <c:v>417.76852776237479</c:v>
                </c:pt>
                <c:pt idx="68">
                  <c:v>429.31931020102047</c:v>
                </c:pt>
                <c:pt idx="69">
                  <c:v>440.86341455761885</c:v>
                </c:pt>
                <c:pt idx="70">
                  <c:v>452.40104036163103</c:v>
                </c:pt>
                <c:pt idx="71">
                  <c:v>399.27285265946415</c:v>
                </c:pt>
                <c:pt idx="72">
                  <c:v>409.37470543171111</c:v>
                </c:pt>
                <c:pt idx="73">
                  <c:v>419.4711759521465</c:v>
                </c:pt>
                <c:pt idx="74">
                  <c:v>429.56241207278003</c:v>
                </c:pt>
                <c:pt idx="75">
                  <c:v>439.64855413024537</c:v>
                </c:pt>
                <c:pt idx="76">
                  <c:v>449.72973549516274</c:v>
                </c:pt>
                <c:pt idx="77">
                  <c:v>459.80608306967133</c:v>
                </c:pt>
                <c:pt idx="78">
                  <c:v>469.87771773907002</c:v>
                </c:pt>
                <c:pt idx="79">
                  <c:v>479.94475478271625</c:v>
                </c:pt>
                <c:pt idx="80">
                  <c:v>490.0073042486506</c:v>
                </c:pt>
                <c:pt idx="81">
                  <c:v>5.0621685358189711E-12</c:v>
                </c:pt>
                <c:pt idx="82">
                  <c:v>5.0621685358189711E-12</c:v>
                </c:pt>
                <c:pt idx="83">
                  <c:v>5.0621685358189711E-12</c:v>
                </c:pt>
                <c:pt idx="84">
                  <c:v>5.0621685358189711E-12</c:v>
                </c:pt>
                <c:pt idx="85">
                  <c:v>5.0621685358189711E-12</c:v>
                </c:pt>
                <c:pt idx="86">
                  <c:v>5.0621685358189711E-12</c:v>
                </c:pt>
                <c:pt idx="87">
                  <c:v>5.0621685358189711E-12</c:v>
                </c:pt>
                <c:pt idx="88">
                  <c:v>5.0621685358189711E-12</c:v>
                </c:pt>
                <c:pt idx="89">
                  <c:v>5.0621685358189711E-12</c:v>
                </c:pt>
                <c:pt idx="90">
                  <c:v>5.0621685358189711E-12</c:v>
                </c:pt>
                <c:pt idx="91">
                  <c:v>5.0621685358189711E-12</c:v>
                </c:pt>
                <c:pt idx="92">
                  <c:v>5.0621685358189711E-12</c:v>
                </c:pt>
                <c:pt idx="93">
                  <c:v>5.0621685358189711E-12</c:v>
                </c:pt>
                <c:pt idx="94">
                  <c:v>5.0621685358189711E-12</c:v>
                </c:pt>
                <c:pt idx="95">
                  <c:v>5.0621685358189711E-12</c:v>
                </c:pt>
                <c:pt idx="96">
                  <c:v>5.0621685358189711E-12</c:v>
                </c:pt>
                <c:pt idx="97">
                  <c:v>5.0621685358189711E-12</c:v>
                </c:pt>
                <c:pt idx="98">
                  <c:v>5.0621685358189711E-12</c:v>
                </c:pt>
                <c:pt idx="99">
                  <c:v>5.0621685358189711E-12</c:v>
                </c:pt>
                <c:pt idx="100">
                  <c:v>5.0621685358189711E-12</c:v>
                </c:pt>
                <c:pt idx="101">
                  <c:v>5.0621685358189711E-12</c:v>
                </c:pt>
                <c:pt idx="102">
                  <c:v>5.0621685358189711E-12</c:v>
                </c:pt>
                <c:pt idx="103">
                  <c:v>5.0621685358189711E-12</c:v>
                </c:pt>
                <c:pt idx="104">
                  <c:v>5.0621685358189711E-12</c:v>
                </c:pt>
                <c:pt idx="105">
                  <c:v>5.0621685358189711E-12</c:v>
                </c:pt>
                <c:pt idx="106">
                  <c:v>5.0621685358189711E-12</c:v>
                </c:pt>
                <c:pt idx="107">
                  <c:v>5.0621685358189711E-12</c:v>
                </c:pt>
                <c:pt idx="108">
                  <c:v>5.0621685358189711E-12</c:v>
                </c:pt>
                <c:pt idx="109">
                  <c:v>5.0621685358189711E-12</c:v>
                </c:pt>
                <c:pt idx="110">
                  <c:v>5.0621685358189711E-12</c:v>
                </c:pt>
                <c:pt idx="111">
                  <c:v>5.0621685358189711E-12</c:v>
                </c:pt>
                <c:pt idx="112">
                  <c:v>5.0621685358189711E-12</c:v>
                </c:pt>
                <c:pt idx="113">
                  <c:v>5.0621685358189711E-12</c:v>
                </c:pt>
                <c:pt idx="114">
                  <c:v>5.0621685358189711E-12</c:v>
                </c:pt>
                <c:pt idx="115">
                  <c:v>5.0621685358189711E-12</c:v>
                </c:pt>
                <c:pt idx="116">
                  <c:v>5.0621685358189711E-12</c:v>
                </c:pt>
                <c:pt idx="117">
                  <c:v>5.0621685358189711E-12</c:v>
                </c:pt>
                <c:pt idx="118">
                  <c:v>5.0621685358189711E-12</c:v>
                </c:pt>
                <c:pt idx="119">
                  <c:v>5.0621685358189711E-12</c:v>
                </c:pt>
                <c:pt idx="120">
                  <c:v>5.0621685358189711E-12</c:v>
                </c:pt>
                <c:pt idx="121">
                  <c:v>5.0621685358189711E-12</c:v>
                </c:pt>
                <c:pt idx="122">
                  <c:v>5.0621685358189711E-12</c:v>
                </c:pt>
                <c:pt idx="123">
                  <c:v>5.0621685358189711E-12</c:v>
                </c:pt>
                <c:pt idx="124">
                  <c:v>5.0621685358189711E-12</c:v>
                </c:pt>
                <c:pt idx="125">
                  <c:v>5.0621685358189711E-12</c:v>
                </c:pt>
                <c:pt idx="126">
                  <c:v>5.0621685358189711E-12</c:v>
                </c:pt>
                <c:pt idx="127">
                  <c:v>5.0621685358189711E-12</c:v>
                </c:pt>
                <c:pt idx="128">
                  <c:v>5.0621685358189711E-12</c:v>
                </c:pt>
                <c:pt idx="129">
                  <c:v>5.0621685358189711E-12</c:v>
                </c:pt>
                <c:pt idx="130">
                  <c:v>5.0621685358189711E-12</c:v>
                </c:pt>
                <c:pt idx="131">
                  <c:v>5.0621685358189711E-12</c:v>
                </c:pt>
                <c:pt idx="132">
                  <c:v>5.0621685358189711E-12</c:v>
                </c:pt>
                <c:pt idx="133">
                  <c:v>5.0621685358189711E-12</c:v>
                </c:pt>
                <c:pt idx="134">
                  <c:v>5.0621685358189711E-12</c:v>
                </c:pt>
                <c:pt idx="135">
                  <c:v>5.0621685358189711E-12</c:v>
                </c:pt>
                <c:pt idx="136">
                  <c:v>5.0621685358189711E-12</c:v>
                </c:pt>
                <c:pt idx="137">
                  <c:v>5.0621685358189711E-12</c:v>
                </c:pt>
                <c:pt idx="138">
                  <c:v>5.0621685358189711E-12</c:v>
                </c:pt>
                <c:pt idx="139">
                  <c:v>5.0621685358189711E-12</c:v>
                </c:pt>
                <c:pt idx="140">
                  <c:v>5.0621685358189711E-12</c:v>
                </c:pt>
                <c:pt idx="141">
                  <c:v>5.0621685358189711E-12</c:v>
                </c:pt>
                <c:pt idx="142">
                  <c:v>5.0621685358189711E-12</c:v>
                </c:pt>
                <c:pt idx="143">
                  <c:v>5.0621685358189711E-12</c:v>
                </c:pt>
                <c:pt idx="144">
                  <c:v>5.0621685358189711E-12</c:v>
                </c:pt>
                <c:pt idx="145">
                  <c:v>5.0621685358189711E-12</c:v>
                </c:pt>
                <c:pt idx="146">
                  <c:v>5.0621685358189711E-12</c:v>
                </c:pt>
                <c:pt idx="147">
                  <c:v>5.0621685358189711E-12</c:v>
                </c:pt>
                <c:pt idx="148">
                  <c:v>5.0621685358189711E-12</c:v>
                </c:pt>
                <c:pt idx="149">
                  <c:v>5.0621685358189711E-12</c:v>
                </c:pt>
                <c:pt idx="150">
                  <c:v>5.0621685358189711E-12</c:v>
                </c:pt>
                <c:pt idx="151">
                  <c:v>5.0621685358189711E-12</c:v>
                </c:pt>
                <c:pt idx="152">
                  <c:v>5.0621685358189711E-12</c:v>
                </c:pt>
                <c:pt idx="153">
                  <c:v>5.0621685358189711E-12</c:v>
                </c:pt>
                <c:pt idx="154">
                  <c:v>5.0621685358189711E-12</c:v>
                </c:pt>
                <c:pt idx="155">
                  <c:v>5.0621685358189711E-12</c:v>
                </c:pt>
                <c:pt idx="156">
                  <c:v>5.0621685358189711E-12</c:v>
                </c:pt>
                <c:pt idx="157">
                  <c:v>5.0621685358189711E-12</c:v>
                </c:pt>
                <c:pt idx="158">
                  <c:v>5.0621685358189711E-12</c:v>
                </c:pt>
                <c:pt idx="159">
                  <c:v>5.0621685358189711E-12</c:v>
                </c:pt>
                <c:pt idx="160">
                  <c:v>5.0621685358189711E-12</c:v>
                </c:pt>
                <c:pt idx="161">
                  <c:v>5.0621685358189711E-12</c:v>
                </c:pt>
                <c:pt idx="162">
                  <c:v>5.0621685358189711E-12</c:v>
                </c:pt>
                <c:pt idx="163">
                  <c:v>5.0621685358189711E-12</c:v>
                </c:pt>
                <c:pt idx="164">
                  <c:v>5.0621685358189711E-12</c:v>
                </c:pt>
                <c:pt idx="165">
                  <c:v>5.0621685358189711E-12</c:v>
                </c:pt>
                <c:pt idx="166">
                  <c:v>5.0621685358189711E-12</c:v>
                </c:pt>
                <c:pt idx="167">
                  <c:v>5.0621685358189711E-12</c:v>
                </c:pt>
                <c:pt idx="168">
                  <c:v>5.0621685358189711E-12</c:v>
                </c:pt>
                <c:pt idx="169">
                  <c:v>5.0621685358189711E-12</c:v>
                </c:pt>
                <c:pt idx="170">
                  <c:v>5.0621685358189711E-12</c:v>
                </c:pt>
                <c:pt idx="171">
                  <c:v>5.0621685358189711E-12</c:v>
                </c:pt>
                <c:pt idx="172">
                  <c:v>5.0621685358189711E-12</c:v>
                </c:pt>
                <c:pt idx="173">
                  <c:v>5.0621685358189711E-12</c:v>
                </c:pt>
                <c:pt idx="174">
                  <c:v>5.0621685358189711E-12</c:v>
                </c:pt>
                <c:pt idx="175">
                  <c:v>5.0621685358189711E-12</c:v>
                </c:pt>
                <c:pt idx="176">
                  <c:v>5.0621685358189711E-12</c:v>
                </c:pt>
                <c:pt idx="177">
                  <c:v>5.0621685358189711E-12</c:v>
                </c:pt>
                <c:pt idx="178">
                  <c:v>5.0621685358189711E-12</c:v>
                </c:pt>
                <c:pt idx="179">
                  <c:v>5.0621685358189711E-12</c:v>
                </c:pt>
                <c:pt idx="180">
                  <c:v>5.0621685358189711E-12</c:v>
                </c:pt>
                <c:pt idx="181">
                  <c:v>5.0621685358189711E-12</c:v>
                </c:pt>
                <c:pt idx="182">
                  <c:v>5.0621685358189711E-12</c:v>
                </c:pt>
                <c:pt idx="183">
                  <c:v>5.0621685358189711E-12</c:v>
                </c:pt>
                <c:pt idx="184">
                  <c:v>5.0621685358189711E-12</c:v>
                </c:pt>
                <c:pt idx="185">
                  <c:v>5.0621685358189711E-12</c:v>
                </c:pt>
                <c:pt idx="186">
                  <c:v>5.0621685358189711E-12</c:v>
                </c:pt>
                <c:pt idx="187">
                  <c:v>5.0621685358189711E-12</c:v>
                </c:pt>
                <c:pt idx="188">
                  <c:v>5.0621685358189711E-12</c:v>
                </c:pt>
                <c:pt idx="189">
                  <c:v>5.0621685358189711E-12</c:v>
                </c:pt>
                <c:pt idx="190">
                  <c:v>5.0621685358189711E-12</c:v>
                </c:pt>
                <c:pt idx="191">
                  <c:v>5.0621685358189711E-12</c:v>
                </c:pt>
                <c:pt idx="192">
                  <c:v>5.0621685358189711E-12</c:v>
                </c:pt>
                <c:pt idx="193">
                  <c:v>5.0621685358189711E-12</c:v>
                </c:pt>
                <c:pt idx="194">
                  <c:v>5.0621685358189711E-12</c:v>
                </c:pt>
                <c:pt idx="195">
                  <c:v>5.0621685358189711E-12</c:v>
                </c:pt>
                <c:pt idx="196">
                  <c:v>5.0621685358189711E-12</c:v>
                </c:pt>
                <c:pt idx="197">
                  <c:v>5.0621685358189711E-12</c:v>
                </c:pt>
                <c:pt idx="198">
                  <c:v>5.0621685358189711E-12</c:v>
                </c:pt>
                <c:pt idx="199">
                  <c:v>5.0621685358189711E-12</c:v>
                </c:pt>
                <c:pt idx="200">
                  <c:v>5.0621685358189711E-12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I21" sqref="I21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3.53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14</v>
      </c>
      <c r="C9" s="35">
        <v>0.24</v>
      </c>
      <c r="D9" s="36">
        <f t="shared" ref="D9:D18" si="0">C9*$C$5</f>
        <v>0.84719999999999995</v>
      </c>
      <c r="E9" s="37">
        <v>120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18</v>
      </c>
      <c r="C10" s="35">
        <v>0.54</v>
      </c>
      <c r="D10" s="36">
        <f t="shared" si="0"/>
        <v>1.9062000000000001</v>
      </c>
      <c r="E10" s="37">
        <v>54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41</v>
      </c>
      <c r="C11" s="35">
        <v>0.22</v>
      </c>
      <c r="D11" s="36">
        <f t="shared" si="0"/>
        <v>0.77659999999999996</v>
      </c>
      <c r="E11" s="37">
        <v>80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3.5300000000000002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/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sessile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25</v>
      </c>
      <c r="B36" s="63">
        <v>71</v>
      </c>
      <c r="C36" s="63">
        <v>1</v>
      </c>
      <c r="D36" s="63">
        <v>8</v>
      </c>
      <c r="E36" s="54"/>
      <c r="F36" s="54"/>
      <c r="G36" s="54"/>
      <c r="H36" s="54">
        <v>1</v>
      </c>
      <c r="I36" s="52">
        <f>IFERROR(B36/A36,"")</f>
        <v>2.84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30</v>
      </c>
      <c r="B37" s="63">
        <v>98</v>
      </c>
      <c r="C37" s="63">
        <v>2</v>
      </c>
      <c r="D37" s="63">
        <v>21</v>
      </c>
      <c r="E37" s="54"/>
      <c r="F37" s="54"/>
      <c r="G37" s="54"/>
      <c r="H37" s="54">
        <v>1</v>
      </c>
      <c r="I37" s="56">
        <f t="shared" ref="I37:I55" si="1">IF(A37&lt;&gt;0,(B37-(B36-D36))/(A37-A36),"")</f>
        <v>7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35</v>
      </c>
      <c r="B38" s="63">
        <v>116</v>
      </c>
      <c r="C38" s="63">
        <v>3</v>
      </c>
      <c r="D38" s="63">
        <v>21</v>
      </c>
      <c r="E38" s="54"/>
      <c r="F38" s="54"/>
      <c r="G38" s="54"/>
      <c r="H38" s="54"/>
      <c r="I38" s="56">
        <f t="shared" si="1"/>
        <v>7.8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40</v>
      </c>
      <c r="B39" s="63">
        <v>137</v>
      </c>
      <c r="C39" s="63">
        <v>4</v>
      </c>
      <c r="D39" s="63">
        <v>21</v>
      </c>
      <c r="E39" s="54"/>
      <c r="F39" s="54"/>
      <c r="G39" s="54"/>
      <c r="H39" s="54"/>
      <c r="I39" s="52">
        <f t="shared" si="1"/>
        <v>8.4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45</v>
      </c>
      <c r="B40" s="63">
        <v>158</v>
      </c>
      <c r="C40" s="63">
        <v>5</v>
      </c>
      <c r="D40" s="63">
        <v>21</v>
      </c>
      <c r="E40" s="54"/>
      <c r="F40" s="54"/>
      <c r="G40" s="54"/>
      <c r="H40" s="54"/>
      <c r="I40" s="52">
        <f t="shared" si="1"/>
        <v>8.4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50</v>
      </c>
      <c r="B41" s="63">
        <v>179</v>
      </c>
      <c r="C41" s="63">
        <v>6</v>
      </c>
      <c r="D41" s="63">
        <v>21</v>
      </c>
      <c r="E41" s="54"/>
      <c r="F41" s="54"/>
      <c r="G41" s="54"/>
      <c r="H41" s="54"/>
      <c r="I41" s="56">
        <f t="shared" si="1"/>
        <v>8.4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55</v>
      </c>
      <c r="B42" s="63">
        <v>198</v>
      </c>
      <c r="C42" s="63">
        <v>7</v>
      </c>
      <c r="D42" s="63">
        <v>21</v>
      </c>
      <c r="E42" s="54"/>
      <c r="F42" s="54"/>
      <c r="G42" s="54"/>
      <c r="H42" s="54"/>
      <c r="I42" s="56">
        <f t="shared" si="1"/>
        <v>8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60</v>
      </c>
      <c r="B43" s="63">
        <v>214</v>
      </c>
      <c r="C43" s="63">
        <v>8</v>
      </c>
      <c r="D43" s="63">
        <v>21</v>
      </c>
      <c r="E43" s="54"/>
      <c r="F43" s="54"/>
      <c r="G43" s="54"/>
      <c r="H43" s="54"/>
      <c r="I43" s="52">
        <f t="shared" si="1"/>
        <v>7.4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65</v>
      </c>
      <c r="B44" s="63">
        <v>229</v>
      </c>
      <c r="C44" s="63">
        <v>9</v>
      </c>
      <c r="D44" s="63">
        <v>21</v>
      </c>
      <c r="E44" s="54"/>
      <c r="F44" s="54"/>
      <c r="G44" s="54"/>
      <c r="H44" s="54"/>
      <c r="I44" s="52">
        <f t="shared" si="1"/>
        <v>7.2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>
        <v>70</v>
      </c>
      <c r="B45" s="63">
        <v>242</v>
      </c>
      <c r="C45" s="63">
        <v>10</v>
      </c>
      <c r="D45" s="63">
        <v>21</v>
      </c>
      <c r="E45" s="54"/>
      <c r="F45" s="54"/>
      <c r="G45" s="54"/>
      <c r="H45" s="54"/>
      <c r="I45" s="52">
        <f t="shared" si="1"/>
        <v>6.8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>
        <v>75</v>
      </c>
      <c r="B46" s="63">
        <v>253</v>
      </c>
      <c r="C46" s="63">
        <v>11</v>
      </c>
      <c r="D46" s="63">
        <v>21</v>
      </c>
      <c r="E46" s="54"/>
      <c r="F46" s="54"/>
      <c r="G46" s="54"/>
      <c r="H46" s="54"/>
      <c r="I46" s="52">
        <f t="shared" si="1"/>
        <v>6.4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>
        <v>80</v>
      </c>
      <c r="B47" s="63">
        <v>262</v>
      </c>
      <c r="C47" s="63">
        <v>12</v>
      </c>
      <c r="D47" s="63">
        <v>21</v>
      </c>
      <c r="E47" s="54"/>
      <c r="F47" s="54"/>
      <c r="G47" s="54"/>
      <c r="H47" s="54"/>
      <c r="I47" s="52">
        <f t="shared" si="1"/>
        <v>6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>
        <v>85</v>
      </c>
      <c r="B48" s="63">
        <v>269</v>
      </c>
      <c r="C48" s="63">
        <v>13</v>
      </c>
      <c r="D48" s="63">
        <v>21</v>
      </c>
      <c r="E48" s="54"/>
      <c r="F48" s="54"/>
      <c r="G48" s="54"/>
      <c r="H48" s="54"/>
      <c r="I48" s="52">
        <f t="shared" si="1"/>
        <v>5.6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>
        <v>90</v>
      </c>
      <c r="B49" s="63">
        <v>275</v>
      </c>
      <c r="C49" s="63">
        <v>14</v>
      </c>
      <c r="D49" s="63">
        <v>21</v>
      </c>
      <c r="E49" s="54"/>
      <c r="F49" s="54"/>
      <c r="G49" s="54"/>
      <c r="H49" s="54"/>
      <c r="I49" s="52">
        <f t="shared" si="1"/>
        <v>5.4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>
        <v>95</v>
      </c>
      <c r="B50" s="53">
        <v>279</v>
      </c>
      <c r="C50" s="53">
        <v>15</v>
      </c>
      <c r="D50" s="53">
        <v>21</v>
      </c>
      <c r="E50" s="54"/>
      <c r="F50" s="54"/>
      <c r="G50" s="54"/>
      <c r="H50" s="54"/>
      <c r="I50" s="52">
        <f t="shared" si="1"/>
        <v>5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>
        <v>100</v>
      </c>
      <c r="B51" s="53">
        <v>282</v>
      </c>
      <c r="C51" s="53">
        <v>16</v>
      </c>
      <c r="D51" s="53">
        <v>21</v>
      </c>
      <c r="E51" s="54"/>
      <c r="F51" s="54"/>
      <c r="G51" s="54"/>
      <c r="H51" s="54"/>
      <c r="I51" s="52">
        <f t="shared" si="1"/>
        <v>4.8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>
        <v>105</v>
      </c>
      <c r="B52" s="53">
        <v>283</v>
      </c>
      <c r="C52" s="53">
        <v>17</v>
      </c>
      <c r="D52" s="53">
        <v>20</v>
      </c>
      <c r="E52" s="54"/>
      <c r="F52" s="54"/>
      <c r="G52" s="54"/>
      <c r="H52" s="54"/>
      <c r="I52" s="52">
        <f t="shared" si="1"/>
        <v>4.4000000000000004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>
        <v>110</v>
      </c>
      <c r="B53" s="53">
        <v>283</v>
      </c>
      <c r="C53" s="53">
        <v>18</v>
      </c>
      <c r="D53" s="53">
        <v>19</v>
      </c>
      <c r="E53" s="54"/>
      <c r="F53" s="54"/>
      <c r="G53" s="54"/>
      <c r="H53" s="54"/>
      <c r="I53" s="52">
        <f t="shared" si="1"/>
        <v>4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>
        <v>115</v>
      </c>
      <c r="B54" s="53">
        <v>283</v>
      </c>
      <c r="C54" s="53">
        <v>19</v>
      </c>
      <c r="D54" s="53">
        <v>18</v>
      </c>
      <c r="E54" s="54"/>
      <c r="F54" s="54"/>
      <c r="G54" s="54"/>
      <c r="H54" s="54"/>
      <c r="I54" s="52">
        <f t="shared" si="1"/>
        <v>3.8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>
        <v>120</v>
      </c>
      <c r="B55" s="53">
        <v>283</v>
      </c>
      <c r="C55" s="53">
        <v>20</v>
      </c>
      <c r="D55" s="53">
        <v>283</v>
      </c>
      <c r="E55" s="54"/>
      <c r="F55" s="54"/>
      <c r="G55" s="54"/>
      <c r="H55" s="54"/>
      <c r="I55" s="52">
        <f t="shared" si="1"/>
        <v>3.6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Douglas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17</v>
      </c>
      <c r="B62" s="63">
        <v>172.78</v>
      </c>
      <c r="C62" s="63">
        <v>1</v>
      </c>
      <c r="D62" s="63">
        <v>0</v>
      </c>
      <c r="E62" s="54">
        <v>0</v>
      </c>
      <c r="F62" s="54">
        <v>0.3</v>
      </c>
      <c r="G62" s="54">
        <v>0.7</v>
      </c>
      <c r="H62" s="54">
        <v>0</v>
      </c>
      <c r="I62" s="56">
        <f>IFERROR(B62/A62,"")</f>
        <v>10.163529411764706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18</v>
      </c>
      <c r="B63" s="63">
        <v>202.31</v>
      </c>
      <c r="C63" s="63">
        <v>2</v>
      </c>
      <c r="D63" s="63">
        <v>74.819999999999993</v>
      </c>
      <c r="E63" s="54">
        <v>0.1</v>
      </c>
      <c r="F63" s="54">
        <v>0.4</v>
      </c>
      <c r="G63" s="54">
        <v>0.5</v>
      </c>
      <c r="H63" s="54">
        <v>0</v>
      </c>
      <c r="I63" s="52">
        <f>IF(A63&lt;&gt;0,(B63-(B62-D62))/(A63-A62),"")</f>
        <v>29.53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19</v>
      </c>
      <c r="B64" s="63">
        <v>150.35</v>
      </c>
      <c r="C64" s="63">
        <v>3</v>
      </c>
      <c r="D64" s="63">
        <v>0</v>
      </c>
      <c r="E64" s="54">
        <v>0.4</v>
      </c>
      <c r="F64" s="54">
        <v>0.3</v>
      </c>
      <c r="G64" s="54">
        <v>0.3</v>
      </c>
      <c r="H64" s="54">
        <v>0</v>
      </c>
      <c r="I64" s="52">
        <f>IF(A64&lt;&gt;0,(B64-(B63-D63))/(A64-A63),"")</f>
        <v>22.859999999999985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23</v>
      </c>
      <c r="B65" s="63">
        <v>258.74</v>
      </c>
      <c r="C65" s="63">
        <v>4</v>
      </c>
      <c r="D65" s="63">
        <v>0</v>
      </c>
      <c r="E65" s="54">
        <v>0.5</v>
      </c>
      <c r="F65" s="54">
        <v>0.3</v>
      </c>
      <c r="G65" s="54">
        <v>0.2</v>
      </c>
      <c r="H65" s="54">
        <v>0</v>
      </c>
      <c r="I65" s="52">
        <f>IF(A65&lt;&gt;0,(B65-(B64-D64))/(A65-A64),"")</f>
        <v>27.097500000000004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24</v>
      </c>
      <c r="B66" s="63">
        <v>289.08999999999997</v>
      </c>
      <c r="C66" s="63">
        <v>5</v>
      </c>
      <c r="D66" s="63">
        <v>51.39</v>
      </c>
      <c r="E66" s="54"/>
      <c r="F66" s="54"/>
      <c r="G66" s="54"/>
      <c r="H66" s="54"/>
      <c r="I66" s="52">
        <f t="shared" ref="I66:I81" si="2">IF(A66&lt;&gt;0,(B66-(B65-D65))/(A66-A65),"")</f>
        <v>30.349999999999966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26</v>
      </c>
      <c r="B67" s="63">
        <v>292.8</v>
      </c>
      <c r="C67" s="63">
        <v>6</v>
      </c>
      <c r="D67" s="63">
        <v>0</v>
      </c>
      <c r="E67" s="54"/>
      <c r="F67" s="54"/>
      <c r="G67" s="54"/>
      <c r="H67" s="54"/>
      <c r="I67" s="52">
        <f t="shared" si="2"/>
        <v>27.550000000000011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28</v>
      </c>
      <c r="B68" s="63">
        <v>350.06</v>
      </c>
      <c r="C68" s="63">
        <v>7</v>
      </c>
      <c r="D68" s="63">
        <v>0</v>
      </c>
      <c r="E68" s="54"/>
      <c r="F68" s="54"/>
      <c r="G68" s="54"/>
      <c r="H68" s="54"/>
      <c r="I68" s="52">
        <f t="shared" si="2"/>
        <v>28.629999999999995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30</v>
      </c>
      <c r="B69" s="53">
        <v>410.56</v>
      </c>
      <c r="C69" s="53">
        <v>8</v>
      </c>
      <c r="D69" s="53">
        <v>80.97</v>
      </c>
      <c r="E69" s="54"/>
      <c r="F69" s="54"/>
      <c r="G69" s="54"/>
      <c r="H69" s="54"/>
      <c r="I69" s="52">
        <f t="shared" si="2"/>
        <v>30.25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32</v>
      </c>
      <c r="B70" s="53">
        <v>384.47</v>
      </c>
      <c r="C70" s="53">
        <v>9</v>
      </c>
      <c r="D70" s="53">
        <v>0</v>
      </c>
      <c r="E70" s="54"/>
      <c r="F70" s="54"/>
      <c r="G70" s="54"/>
      <c r="H70" s="54"/>
      <c r="I70" s="52">
        <f t="shared" si="2"/>
        <v>27.439999999999998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34</v>
      </c>
      <c r="B71" s="53">
        <v>441.87</v>
      </c>
      <c r="C71" s="53">
        <v>10</v>
      </c>
      <c r="D71" s="53">
        <v>0</v>
      </c>
      <c r="E71" s="54"/>
      <c r="F71" s="54"/>
      <c r="G71" s="54"/>
      <c r="H71" s="54"/>
      <c r="I71" s="52">
        <f t="shared" si="2"/>
        <v>28.699999999999989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36</v>
      </c>
      <c r="B72" s="53">
        <v>501.41</v>
      </c>
      <c r="C72" s="53">
        <v>11</v>
      </c>
      <c r="D72" s="53">
        <v>85.88</v>
      </c>
      <c r="E72" s="54"/>
      <c r="F72" s="54"/>
      <c r="G72" s="54"/>
      <c r="H72" s="54"/>
      <c r="I72" s="52">
        <f t="shared" si="2"/>
        <v>29.77000000000001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38</v>
      </c>
      <c r="B73" s="53">
        <v>470</v>
      </c>
      <c r="C73" s="53">
        <v>12</v>
      </c>
      <c r="D73" s="53">
        <v>0</v>
      </c>
      <c r="E73" s="54"/>
      <c r="F73" s="54"/>
      <c r="G73" s="54"/>
      <c r="H73" s="54"/>
      <c r="I73" s="52">
        <f t="shared" si="2"/>
        <v>27.234999999999985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40</v>
      </c>
      <c r="B74" s="53">
        <v>526.19000000000005</v>
      </c>
      <c r="C74" s="53">
        <v>13</v>
      </c>
      <c r="D74" s="53">
        <v>0</v>
      </c>
      <c r="E74" s="54"/>
      <c r="F74" s="54"/>
      <c r="G74" s="54"/>
      <c r="H74" s="54"/>
      <c r="I74" s="52">
        <f t="shared" si="2"/>
        <v>28.095000000000027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42</v>
      </c>
      <c r="B75" s="53">
        <v>583.89</v>
      </c>
      <c r="C75" s="53">
        <v>14</v>
      </c>
      <c r="D75" s="53">
        <v>91.25</v>
      </c>
      <c r="E75" s="54"/>
      <c r="F75" s="54"/>
      <c r="G75" s="54"/>
      <c r="H75" s="54"/>
      <c r="I75" s="52">
        <f t="shared" si="2"/>
        <v>28.849999999999966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>
        <v>44</v>
      </c>
      <c r="B76" s="53">
        <v>545.63</v>
      </c>
      <c r="C76" s="53">
        <v>15</v>
      </c>
      <c r="D76" s="53">
        <v>0</v>
      </c>
      <c r="E76" s="54"/>
      <c r="F76" s="54"/>
      <c r="G76" s="54"/>
      <c r="H76" s="54"/>
      <c r="I76" s="52">
        <f t="shared" si="2"/>
        <v>26.495000000000005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>
        <v>46</v>
      </c>
      <c r="B77" s="53">
        <v>599.79999999999995</v>
      </c>
      <c r="C77" s="53">
        <v>16</v>
      </c>
      <c r="D77" s="53">
        <v>0</v>
      </c>
      <c r="E77" s="54"/>
      <c r="F77" s="54"/>
      <c r="G77" s="54"/>
      <c r="H77" s="54"/>
      <c r="I77" s="52">
        <f t="shared" si="2"/>
        <v>27.08499999999998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>
        <v>48</v>
      </c>
      <c r="B78" s="53">
        <v>655.04999999999995</v>
      </c>
      <c r="C78" s="53">
        <v>17</v>
      </c>
      <c r="D78" s="53">
        <v>101.34</v>
      </c>
      <c r="E78" s="54"/>
      <c r="F78" s="54"/>
      <c r="G78" s="54"/>
      <c r="H78" s="54"/>
      <c r="I78" s="52">
        <f t="shared" si="2"/>
        <v>27.625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>
        <v>50</v>
      </c>
      <c r="B79" s="53">
        <v>604.12</v>
      </c>
      <c r="C79" s="53">
        <v>18</v>
      </c>
      <c r="D79" s="53">
        <v>0</v>
      </c>
      <c r="E79" s="54"/>
      <c r="F79" s="54"/>
      <c r="G79" s="54"/>
      <c r="H79" s="54"/>
      <c r="I79" s="52">
        <f t="shared" si="2"/>
        <v>25.205000000000041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>
        <v>52</v>
      </c>
      <c r="B80" s="53">
        <v>655.56</v>
      </c>
      <c r="C80" s="53">
        <v>19</v>
      </c>
      <c r="D80" s="53">
        <v>0</v>
      </c>
      <c r="E80" s="54"/>
      <c r="F80" s="54"/>
      <c r="G80" s="54"/>
      <c r="H80" s="54"/>
      <c r="I80" s="52">
        <f t="shared" si="2"/>
        <v>25.71999999999997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>
        <v>54</v>
      </c>
      <c r="B81" s="53">
        <v>707.75</v>
      </c>
      <c r="C81" s="53">
        <v>20</v>
      </c>
      <c r="D81" s="53">
        <v>707.75</v>
      </c>
      <c r="E81" s="54"/>
      <c r="F81" s="54"/>
      <c r="G81" s="54"/>
      <c r="H81" s="54"/>
      <c r="I81" s="52">
        <f t="shared" si="2"/>
        <v>26.095000000000027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Pin sylvestre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25</v>
      </c>
      <c r="B88" s="63">
        <v>98</v>
      </c>
      <c r="C88" s="63">
        <v>1</v>
      </c>
      <c r="D88" s="63">
        <v>12</v>
      </c>
      <c r="E88" s="54"/>
      <c r="F88" s="54"/>
      <c r="G88" s="54">
        <v>1</v>
      </c>
      <c r="H88" s="93"/>
      <c r="I88" s="56">
        <f>IFERROR(B88/A88,"")</f>
        <v>3.92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30</v>
      </c>
      <c r="B89" s="63">
        <v>140</v>
      </c>
      <c r="C89" s="63">
        <v>2</v>
      </c>
      <c r="D89" s="63">
        <v>23</v>
      </c>
      <c r="E89" s="54"/>
      <c r="F89" s="54">
        <v>0.8</v>
      </c>
      <c r="G89" s="54">
        <v>0.2</v>
      </c>
      <c r="H89" s="93"/>
      <c r="I89" s="56">
        <f t="shared" ref="I89:I107" si="3">IF(A89&lt;&gt;0,(B89-(B88-D88))/(A89-A88),"")</f>
        <v>10.8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35</v>
      </c>
      <c r="B90" s="63">
        <v>171</v>
      </c>
      <c r="C90" s="63">
        <v>3</v>
      </c>
      <c r="D90" s="63">
        <v>28</v>
      </c>
      <c r="E90" s="93"/>
      <c r="F90" s="93"/>
      <c r="G90" s="93"/>
      <c r="H90" s="93"/>
      <c r="I90" s="56">
        <f t="shared" si="3"/>
        <v>10.8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40</v>
      </c>
      <c r="B91" s="63">
        <v>207</v>
      </c>
      <c r="C91" s="63">
        <v>4</v>
      </c>
      <c r="D91" s="63">
        <v>37</v>
      </c>
      <c r="E91" s="93"/>
      <c r="F91" s="93"/>
      <c r="G91" s="93"/>
      <c r="H91" s="93"/>
      <c r="I91" s="56">
        <f t="shared" si="3"/>
        <v>12.8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50</v>
      </c>
      <c r="B92" s="63">
        <v>286</v>
      </c>
      <c r="C92" s="63">
        <v>5</v>
      </c>
      <c r="D92" s="63">
        <v>65</v>
      </c>
      <c r="E92" s="93"/>
      <c r="F92" s="93"/>
      <c r="G92" s="93"/>
      <c r="H92" s="93"/>
      <c r="I92" s="56">
        <f t="shared" si="3"/>
        <v>11.6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60</v>
      </c>
      <c r="B93" s="63">
        <v>329</v>
      </c>
      <c r="C93" s="63">
        <v>6</v>
      </c>
      <c r="D93" s="63">
        <v>60</v>
      </c>
      <c r="E93" s="93"/>
      <c r="F93" s="93"/>
      <c r="G93" s="93"/>
      <c r="H93" s="93"/>
      <c r="I93" s="56">
        <f t="shared" si="3"/>
        <v>10.8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70</v>
      </c>
      <c r="B94" s="63">
        <v>364</v>
      </c>
      <c r="C94" s="63">
        <v>7</v>
      </c>
      <c r="D94" s="63">
        <v>52</v>
      </c>
      <c r="E94" s="93"/>
      <c r="F94" s="93"/>
      <c r="G94" s="93"/>
      <c r="H94" s="93"/>
      <c r="I94" s="56">
        <f t="shared" si="3"/>
        <v>9.5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80</v>
      </c>
      <c r="B95" s="63">
        <v>395</v>
      </c>
      <c r="C95" s="63">
        <v>8</v>
      </c>
      <c r="D95" s="63">
        <v>395</v>
      </c>
      <c r="E95" s="93"/>
      <c r="F95" s="93"/>
      <c r="G95" s="93"/>
      <c r="H95" s="93"/>
      <c r="I95" s="56">
        <f t="shared" si="3"/>
        <v>8.3000000000000007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15" sqref="G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Chêne sessile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Douglas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Pin sylvestre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371.75294069149942</v>
      </c>
      <c r="T3" s="62">
        <f>IF('Données projet'!E9&gt;30,$R$33-$H$33,LOOKUP('Données projet'!$E$9,$A$3:$A$203,R3:R203)-LOOKUP('Données projet'!$E$9,$A$3:$A$203,$H$3:$H$203))</f>
        <v>233.32640143610547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405.09126081846171</v>
      </c>
      <c r="AO3" s="62">
        <f>IF('Données projet'!E10&gt;30,$AM$33-$H$33,LOOKUP('Données projet'!$E$10,$A$3:$A$203,AM3:AM203)-LOOKUP('Données projet'!$E$10,$A$3:$A$203,$H$3:$H$203))</f>
        <v>534.22295841722166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258.09881752732008</v>
      </c>
      <c r="BJ3" s="62">
        <f>IF('Données projet'!E11&gt;30,$BH$33-$H$33,LOOKUP('Données projet'!$E$11,$A$3:$A$203,BH3:BH203)-LOOKUP('Données projet'!$E$11,$A$3:$A$203,$H$3:$H$203))</f>
        <v>214.72899476643335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2.84</v>
      </c>
      <c r="N4" s="14">
        <f>IF('Données projet'!$A$36&gt;35,N3+M4-V3,IF(A4&lt;'Données projet'!$A$36,$K$205^A4,IF(A4='Données projet'!$A$36,'Données projet'!$B$36,N3+M4-V3)))</f>
        <v>1.185906184594963</v>
      </c>
      <c r="O4" s="14">
        <f>N4*VLOOKUP('Données projet'!$B$9,Paramètres!$A$1:$I$89,3,0)*VLOOKUP('Données projet'!$B$9,Paramètres!$A$1:$I$89,5,0)</f>
        <v>1.0730079158215224</v>
      </c>
      <c r="P4" s="14">
        <f>EXP(-1.0587+0.8836*LN(O4)+0.284)</f>
        <v>0.49044782191261621</v>
      </c>
      <c r="Q4" s="22">
        <f t="shared" ref="Q4:Q34" si="2">(O4+P4)*0.475*44/12</f>
        <v>2.7230187432202917</v>
      </c>
      <c r="R4" s="62">
        <f t="shared" si="0"/>
        <v>260.61190763210914</v>
      </c>
      <c r="S4" s="62">
        <f ca="1">AVERAGE(OFFSET($R$3,0,0,'Données projet'!$E$9+1,1))-AVERAGE(OFFSET($H$3,0,0,'Données projet'!$E$9+1,1))</f>
        <v>371.75294069149942</v>
      </c>
      <c r="T4" s="62">
        <f>$T$3</f>
        <v>233.32640143610547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10.163529411764706</v>
      </c>
      <c r="AI4" s="14">
        <f>IF('Données projet'!$A$62&gt;35,AI3+AH4-AQ3,IF(A4&lt;'Données projet'!$A$62,$AF$205^A4,IF(A4='Données projet'!$A$62,'Données projet'!$B$62,AI3+AH4-AQ3)))</f>
        <v>1.3539956307764309</v>
      </c>
      <c r="AJ4" s="14">
        <f>AI4*VLOOKUP('Données projet'!$B$10,Paramètres!$A$1:$I$89,3,0)*VLOOKUP('Données projet'!$B$10,Paramètres!$A$1:$I$89,5,0)</f>
        <v>0.75688355760402493</v>
      </c>
      <c r="AK4" s="14">
        <f>EXP(-1.0587+0.8836*LN(AJ4)+0.284)</f>
        <v>0.36029824926500498</v>
      </c>
      <c r="AL4" s="22">
        <f t="shared" ref="AL4:AL67" si="4">(AJ4+AK4)*0.475*44/12</f>
        <v>1.945758313630227</v>
      </c>
      <c r="AM4" s="62">
        <f t="shared" ref="AM4:AM67" si="5">AL4+(AD4+AE4)*44/12</f>
        <v>259.83464720251908</v>
      </c>
      <c r="AN4" s="62">
        <f ca="1">AVERAGE(OFFSET($AM$3,0,0,'Données projet'!$E$10+1,1))-AVERAGE(OFFSET($H$3,0,0,'Données projet'!$E$10+1,1))</f>
        <v>405.09126081846171</v>
      </c>
      <c r="AO4" s="62">
        <f>$AO$3</f>
        <v>534.22295841722166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3.92</v>
      </c>
      <c r="BD4" s="13">
        <f>IF('Données projet'!$A$88&gt;35,BD3+BC4-BL3,IF(A4&lt;'Données projet'!$A$88,$BA$205^A4,IF(A4='Données projet'!$A$88,'Données projet'!$B$88,BD3+BC4-BL3)))</f>
        <v>1.201293267214846</v>
      </c>
      <c r="BE4" s="14">
        <f>BD4*VLOOKUP('Données projet'!$B$11,Paramètres!$A$1:$I$89,3,0)*VLOOKUP('Données projet'!$B$11,Paramètres!$A$1:$I$89,5,0)</f>
        <v>0.68713974884689188</v>
      </c>
      <c r="BF4" s="14">
        <f>EXP(-1.0587+0.8836*LN(BE4)+0.284)</f>
        <v>0.33079968728607767</v>
      </c>
      <c r="BG4" s="22">
        <f t="shared" ref="BG4:BG67" si="7">(BE4+BF4)*0.475*44/12</f>
        <v>1.7729111845982548</v>
      </c>
      <c r="BH4" s="62">
        <f t="shared" ref="BH4:BH67" si="8">BG4+(AY4+AZ4)*44/12</f>
        <v>259.66180007348709</v>
      </c>
      <c r="BI4" s="62">
        <f ca="1">AVERAGE(OFFSET($BH$3,0,0,'Données projet'!$E$11+1,1))-AVERAGE(OFFSET($H$3,0,0,'Données projet'!$E$11+1,1))</f>
        <v>258.09881752732008</v>
      </c>
      <c r="BJ4" s="62">
        <f>$BJ$3</f>
        <v>214.72899476643335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2.84</v>
      </c>
      <c r="N5" s="14">
        <f>IF('Données projet'!$A$36&gt;35,N4+M5-V4,IF(A5&lt;'Données projet'!$A$36,$K$205^A5,IF(A5='Données projet'!$A$36,'Données projet'!$B$36,N4+M5-V4)))</f>
        <v>1.4063734786605824</v>
      </c>
      <c r="O5" s="14">
        <f>N5*VLOOKUP('Données projet'!$B$9,Paramètres!$A$1:$I$89,3,0)*VLOOKUP('Données projet'!$B$9,Paramètres!$A$1:$I$89,5,0)</f>
        <v>1.2724867234920949</v>
      </c>
      <c r="P5" s="14">
        <f t="shared" ref="P5:P68" si="33">EXP(-1.0587+0.8836*LN(O5)+0.284)</f>
        <v>0.570195368340213</v>
      </c>
      <c r="Q5" s="22">
        <f t="shared" si="2"/>
        <v>3.209337976607936</v>
      </c>
      <c r="R5" s="62">
        <f t="shared" si="0"/>
        <v>262.32044908771906</v>
      </c>
      <c r="S5" s="62">
        <f ca="1">AVERAGE(OFFSET($R$3,0,0,'Données projet'!$E$9+1,1))-AVERAGE(OFFSET($H$3,0,0,'Données projet'!$E$9+1,1))</f>
        <v>371.75294069149942</v>
      </c>
      <c r="T5" s="62">
        <f t="shared" ref="T5:T68" si="34">$T$3</f>
        <v>233.32640143610547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10.163529411764706</v>
      </c>
      <c r="AI5" s="14">
        <f>IF('Données projet'!$A$62&gt;35,AI4+AH5-AQ4,IF(A5&lt;'Données projet'!$A$62,$AF$205^A5,IF(A5='Données projet'!$A$62,'Données projet'!$B$62,AI4+AH5-AQ4)))</f>
        <v>1.8333041681616651</v>
      </c>
      <c r="AJ5" s="14">
        <f>AI5*VLOOKUP('Données projet'!$B$10,Paramètres!$A$1:$I$89,3,0)*VLOOKUP('Données projet'!$B$10,Paramètres!$A$1:$I$89,5,0)</f>
        <v>1.0248170300023709</v>
      </c>
      <c r="AK5" s="14">
        <f t="shared" ref="AK5:AK68" si="35">EXP(-1.0587+0.8836*LN(AJ5)+0.284)</f>
        <v>0.47093304471840119</v>
      </c>
      <c r="AL5" s="22">
        <f t="shared" si="4"/>
        <v>2.6050980468053448</v>
      </c>
      <c r="AM5" s="62">
        <f t="shared" si="5"/>
        <v>261.71620915791647</v>
      </c>
      <c r="AN5" s="62">
        <f ca="1">AVERAGE(OFFSET($AM$3,0,0,'Données projet'!$E$10+1,1))-AVERAGE(OFFSET($H$3,0,0,'Données projet'!$E$10+1,1))</f>
        <v>405.09126081846171</v>
      </c>
      <c r="AO5" s="62">
        <f t="shared" ref="AO5:AO68" si="36">$AO$3</f>
        <v>534.22295841722166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3.92</v>
      </c>
      <c r="BD5" s="13">
        <f>IF('Données projet'!$A$88&gt;35,BD4+BC5-BL4,IF(A5&lt;'Données projet'!$A$88,$BA$205^A5,IF(A5='Données projet'!$A$88,'Données projet'!$B$88,BD4+BC5-BL4)))</f>
        <v>1.4431055138557194</v>
      </c>
      <c r="BE5" s="14">
        <f>BD5*VLOOKUP('Données projet'!$B$11,Paramètres!$A$1:$I$89,3,0)*VLOOKUP('Données projet'!$B$11,Paramètres!$A$1:$I$89,5,0)</f>
        <v>0.82545635392547156</v>
      </c>
      <c r="BF5" s="14">
        <f t="shared" ref="BF5:BF68" si="37">EXP(-1.0587+0.8836*LN(BE5)+0.284)</f>
        <v>0.3889940735408815</v>
      </c>
      <c r="BG5" s="22">
        <f t="shared" si="7"/>
        <v>2.1151678278372312</v>
      </c>
      <c r="BH5" s="62">
        <f t="shared" si="8"/>
        <v>261.22627893894838</v>
      </c>
      <c r="BI5" s="62">
        <f ca="1">AVERAGE(OFFSET($BH$3,0,0,'Données projet'!$E$11+1,1))-AVERAGE(OFFSET($H$3,0,0,'Données projet'!$E$11+1,1))</f>
        <v>258.09881752732008</v>
      </c>
      <c r="BJ5" s="62">
        <f t="shared" ref="BJ5:BJ68" si="38">$BJ$3</f>
        <v>214.72899476643335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2.84</v>
      </c>
      <c r="N6" s="14">
        <f>IF('Données projet'!$A$36&gt;35,N5+M6-V5,IF(A6&lt;'Données projet'!$A$36,$K$205^A6,IF(A6='Données projet'!$A$36,'Données projet'!$B$36,N5+M6-V5)))</f>
        <v>1.6678270061939169</v>
      </c>
      <c r="O6" s="14">
        <f>N6*VLOOKUP('Données projet'!$B$9,Paramètres!$A$1:$I$89,3,0)*VLOOKUP('Données projet'!$B$9,Paramètres!$A$1:$I$89,5,0)</f>
        <v>1.5090498752042558</v>
      </c>
      <c r="P6" s="14">
        <f t="shared" si="33"/>
        <v>0.66290998461108197</v>
      </c>
      <c r="Q6" s="22">
        <f t="shared" si="2"/>
        <v>3.7828300891783795</v>
      </c>
      <c r="R6" s="62">
        <f t="shared" si="0"/>
        <v>264.1161634225117</v>
      </c>
      <c r="S6" s="62">
        <f ca="1">AVERAGE(OFFSET($R$3,0,0,'Données projet'!$E$9+1,1))-AVERAGE(OFFSET($H$3,0,0,'Données projet'!$E$9+1,1))</f>
        <v>371.75294069149942</v>
      </c>
      <c r="T6" s="62">
        <f t="shared" si="34"/>
        <v>233.32640143610547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10.163529411764706</v>
      </c>
      <c r="AI6" s="14">
        <f>IF('Données projet'!$A$62&gt;35,AI5+AH6-AQ5,IF(A6&lt;'Données projet'!$A$62,$AF$205^A6,IF(A6='Données projet'!$A$62,'Données projet'!$B$62,AI5+AH6-AQ5)))</f>
        <v>2.4822858335751139</v>
      </c>
      <c r="AJ6" s="14">
        <f>AI6*VLOOKUP('Données projet'!$B$10,Paramètres!$A$1:$I$89,3,0)*VLOOKUP('Données projet'!$B$10,Paramètres!$A$1:$I$89,5,0)</f>
        <v>1.3875977809684887</v>
      </c>
      <c r="AK6" s="14">
        <f t="shared" si="35"/>
        <v>0.61553985638332231</v>
      </c>
      <c r="AL6" s="22">
        <f t="shared" si="4"/>
        <v>3.4887980517210706</v>
      </c>
      <c r="AM6" s="62">
        <f t="shared" si="5"/>
        <v>263.82213138505438</v>
      </c>
      <c r="AN6" s="62">
        <f ca="1">AVERAGE(OFFSET($AM$3,0,0,'Données projet'!$E$10+1,1))-AVERAGE(OFFSET($H$3,0,0,'Données projet'!$E$10+1,1))</f>
        <v>405.09126081846171</v>
      </c>
      <c r="AO6" s="62">
        <f t="shared" si="36"/>
        <v>534.22295841722166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3.92</v>
      </c>
      <c r="BD6" s="13">
        <f>IF('Données projet'!$A$88&gt;35,BD5+BC6-BL5,IF(A6&lt;'Données projet'!$A$88,$BA$205^A6,IF(A6='Données projet'!$A$88,'Données projet'!$B$88,BD5+BC6-BL5)))</f>
        <v>1.7335929376754964</v>
      </c>
      <c r="BE6" s="14">
        <f>BD6*VLOOKUP('Données projet'!$B$11,Paramètres!$A$1:$I$89,3,0)*VLOOKUP('Données projet'!$B$11,Paramètres!$A$1:$I$89,5,0)</f>
        <v>0.99161516035038388</v>
      </c>
      <c r="BF6" s="14">
        <f t="shared" si="37"/>
        <v>0.45742603474431143</v>
      </c>
      <c r="BG6" s="22">
        <f t="shared" si="7"/>
        <v>2.5237467481232607</v>
      </c>
      <c r="BH6" s="62">
        <f t="shared" si="8"/>
        <v>262.85708008145656</v>
      </c>
      <c r="BI6" s="62">
        <f ca="1">AVERAGE(OFFSET($BH$3,0,0,'Données projet'!$E$11+1,1))-AVERAGE(OFFSET($H$3,0,0,'Données projet'!$E$11+1,1))</f>
        <v>258.09881752732008</v>
      </c>
      <c r="BJ6" s="62">
        <f t="shared" si="38"/>
        <v>214.72899476643335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2.84</v>
      </c>
      <c r="N7" s="14">
        <f>IF('Données projet'!$A$36&gt;35,N6+M7-V6,IF(A7&lt;'Données projet'!$A$36,$K$205^A7,IF(A7='Données projet'!$A$36,'Données projet'!$B$36,N6+M7-V6)))</f>
        <v>1.9778863614798676</v>
      </c>
      <c r="O7" s="14">
        <f>N7*VLOOKUP('Données projet'!$B$9,Paramètres!$A$1:$I$89,3,0)*VLOOKUP('Données projet'!$B$9,Paramètres!$A$1:$I$89,5,0)</f>
        <v>1.7895915798669841</v>
      </c>
      <c r="P7" s="14">
        <f t="shared" si="33"/>
        <v>0.77070013559784434</v>
      </c>
      <c r="Q7" s="22">
        <f t="shared" si="2"/>
        <v>4.459174737767909</v>
      </c>
      <c r="R7" s="62">
        <f t="shared" si="0"/>
        <v>266.01473029332345</v>
      </c>
      <c r="S7" s="62">
        <f ca="1">AVERAGE(OFFSET($R$3,0,0,'Données projet'!$E$9+1,1))-AVERAGE(OFFSET($H$3,0,0,'Données projet'!$E$9+1,1))</f>
        <v>371.75294069149942</v>
      </c>
      <c r="T7" s="62">
        <f t="shared" si="34"/>
        <v>233.32640143610547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10.163529411764706</v>
      </c>
      <c r="AI7" s="14">
        <f>IF('Données projet'!$A$62&gt;35,AI6+AH7-AQ6,IF(A7&lt;'Données projet'!$A$62,$AF$205^A7,IF(A7='Données projet'!$A$62,'Données projet'!$B$62,AI6+AH7-AQ6)))</f>
        <v>3.3610041729989346</v>
      </c>
      <c r="AJ7" s="14">
        <f>AI7*VLOOKUP('Données projet'!$B$10,Paramètres!$A$1:$I$89,3,0)*VLOOKUP('Données projet'!$B$10,Paramètres!$A$1:$I$89,5,0)</f>
        <v>1.8788013327064044</v>
      </c>
      <c r="AK7" s="14">
        <f t="shared" si="35"/>
        <v>0.80455028383697591</v>
      </c>
      <c r="AL7" s="22">
        <f t="shared" si="4"/>
        <v>4.6735040654797206</v>
      </c>
      <c r="AM7" s="62">
        <f t="shared" si="5"/>
        <v>266.22905962103528</v>
      </c>
      <c r="AN7" s="62">
        <f ca="1">AVERAGE(OFFSET($AM$3,0,0,'Données projet'!$E$10+1,1))-AVERAGE(OFFSET($H$3,0,0,'Données projet'!$E$10+1,1))</f>
        <v>405.09126081846171</v>
      </c>
      <c r="AO7" s="62">
        <f t="shared" si="36"/>
        <v>534.22295841722166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3.92</v>
      </c>
      <c r="BD7" s="13">
        <f>IF('Données projet'!$A$88&gt;35,BD6+BC7-BL6,IF(A7&lt;'Données projet'!$A$88,$BA$205^A7,IF(A7='Données projet'!$A$88,'Données projet'!$B$88,BD6+BC7-BL6)))</f>
        <v>2.08255352412078</v>
      </c>
      <c r="BE7" s="14">
        <f>BD7*VLOOKUP('Données projet'!$B$11,Paramètres!$A$1:$I$89,3,0)*VLOOKUP('Données projet'!$B$11,Paramètres!$A$1:$I$89,5,0)</f>
        <v>1.1912206157970862</v>
      </c>
      <c r="BF7" s="14">
        <f t="shared" si="37"/>
        <v>0.53789656833914212</v>
      </c>
      <c r="BG7" s="22">
        <f t="shared" si="7"/>
        <v>3.0115457623705972</v>
      </c>
      <c r="BH7" s="62">
        <f t="shared" si="8"/>
        <v>264.56710131792613</v>
      </c>
      <c r="BI7" s="62">
        <f ca="1">AVERAGE(OFFSET($BH$3,0,0,'Données projet'!$E$11+1,1))-AVERAGE(OFFSET($H$3,0,0,'Données projet'!$E$11+1,1))</f>
        <v>258.09881752732008</v>
      </c>
      <c r="BJ7" s="62">
        <f t="shared" si="38"/>
        <v>214.72899476643335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2.84</v>
      </c>
      <c r="N8" s="14">
        <f>IF('Données projet'!$A$36&gt;35,N7+M8-V7,IF(A8&lt;'Données projet'!$A$36,$K$205^A8,IF(A8='Données projet'!$A$36,'Données projet'!$B$36,N7+M8-V7)))</f>
        <v>2.3455876685050034</v>
      </c>
      <c r="O8" s="14">
        <f>N8*VLOOKUP('Données projet'!$B$9,Paramètres!$A$1:$I$89,3,0)*VLOOKUP('Données projet'!$B$9,Paramètres!$A$1:$I$89,5,0)</f>
        <v>2.122287722463327</v>
      </c>
      <c r="P8" s="14">
        <f t="shared" si="33"/>
        <v>0.89601712570223679</v>
      </c>
      <c r="Q8" s="22">
        <f t="shared" si="2"/>
        <v>5.2568809438883566</v>
      </c>
      <c r="R8" s="62">
        <f t="shared" si="0"/>
        <v>268.03465872166612</v>
      </c>
      <c r="S8" s="62">
        <f ca="1">AVERAGE(OFFSET($R$3,0,0,'Données projet'!$E$9+1,1))-AVERAGE(OFFSET($H$3,0,0,'Données projet'!$E$9+1,1))</f>
        <v>371.75294069149942</v>
      </c>
      <c r="T8" s="62">
        <f t="shared" si="34"/>
        <v>233.32640143610547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10.163529411764706</v>
      </c>
      <c r="AI8" s="14">
        <f>IF('Données projet'!$A$62&gt;35,AI7+AH8-AQ7,IF(A8&lt;'Données projet'!$A$62,$AF$205^A8,IF(A8='Données projet'!$A$62,'Données projet'!$B$62,AI7+AH8-AQ7)))</f>
        <v>4.5507849652619088</v>
      </c>
      <c r="AJ8" s="14">
        <f>AI8*VLOOKUP('Données projet'!$B$10,Paramètres!$A$1:$I$89,3,0)*VLOOKUP('Données projet'!$B$10,Paramètres!$A$1:$I$89,5,0)</f>
        <v>2.5438887955814073</v>
      </c>
      <c r="AK8" s="14">
        <f t="shared" si="35"/>
        <v>1.0515991003823111</v>
      </c>
      <c r="AL8" s="22">
        <f t="shared" si="4"/>
        <v>6.2621414188034761</v>
      </c>
      <c r="AM8" s="62">
        <f t="shared" si="5"/>
        <v>269.03991919658125</v>
      </c>
      <c r="AN8" s="62">
        <f ca="1">AVERAGE(OFFSET($AM$3,0,0,'Données projet'!$E$10+1,1))-AVERAGE(OFFSET($H$3,0,0,'Données projet'!$E$10+1,1))</f>
        <v>405.09126081846171</v>
      </c>
      <c r="AO8" s="62">
        <f t="shared" si="36"/>
        <v>534.22295841722166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3.92</v>
      </c>
      <c r="BD8" s="13">
        <f>IF('Données projet'!$A$88&gt;35,BD7+BC8-BL7,IF(A8&lt;'Données projet'!$A$88,$BA$205^A8,IF(A8='Données projet'!$A$88,'Données projet'!$B$88,BD7+BC8-BL7)))</f>
        <v>2.5017575271408434</v>
      </c>
      <c r="BE8" s="14">
        <f>BD8*VLOOKUP('Données projet'!$B$11,Paramètres!$A$1:$I$89,3,0)*VLOOKUP('Données projet'!$B$11,Paramètres!$A$1:$I$89,5,0)</f>
        <v>1.4310053055245626</v>
      </c>
      <c r="BF8" s="14">
        <f t="shared" si="37"/>
        <v>0.63252350381139633</v>
      </c>
      <c r="BG8" s="22">
        <f t="shared" si="7"/>
        <v>3.593979342926795</v>
      </c>
      <c r="BH8" s="62">
        <f t="shared" si="8"/>
        <v>266.37175712070456</v>
      </c>
      <c r="BI8" s="62">
        <f ca="1">AVERAGE(OFFSET($BH$3,0,0,'Données projet'!$E$11+1,1))-AVERAGE(OFFSET($H$3,0,0,'Données projet'!$E$11+1,1))</f>
        <v>258.09881752732008</v>
      </c>
      <c r="BJ8" s="62">
        <f t="shared" si="38"/>
        <v>214.72899476643335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2.84</v>
      </c>
      <c r="N9" s="14">
        <f>IF('Données projet'!$A$36&gt;35,N8+M9-V8,IF(A9&lt;'Données projet'!$A$36,$K$205^A9,IF(A9='Données projet'!$A$36,'Données projet'!$B$36,N8+M9-V8)))</f>
        <v>2.7816469225897635</v>
      </c>
      <c r="O9" s="14">
        <f>N9*VLOOKUP('Données projet'!$B$9,Paramètres!$A$1:$I$89,3,0)*VLOOKUP('Données projet'!$B$9,Paramètres!$A$1:$I$89,5,0)</f>
        <v>2.5168341355592179</v>
      </c>
      <c r="P9" s="14">
        <f t="shared" si="33"/>
        <v>1.0417108450732491</v>
      </c>
      <c r="Q9" s="22">
        <f t="shared" si="2"/>
        <v>6.1977991746015464</v>
      </c>
      <c r="R9" s="62">
        <f t="shared" si="0"/>
        <v>270.19779917460153</v>
      </c>
      <c r="S9" s="62">
        <f ca="1">AVERAGE(OFFSET($R$3,0,0,'Données projet'!$E$9+1,1))-AVERAGE(OFFSET($H$3,0,0,'Données projet'!$E$9+1,1))</f>
        <v>371.75294069149942</v>
      </c>
      <c r="T9" s="62">
        <f t="shared" si="34"/>
        <v>233.32640143610547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10.163529411764706</v>
      </c>
      <c r="AI9" s="14">
        <f>IF('Données projet'!$A$62&gt;35,AI8+AH9-AQ8,IF(A9&lt;'Données projet'!$A$62,$AF$205^A9,IF(A9='Données projet'!$A$62,'Données projet'!$B$62,AI8+AH9-AQ8)))</f>
        <v>6.1617429595676967</v>
      </c>
      <c r="AJ9" s="14">
        <f>AI9*VLOOKUP('Données projet'!$B$10,Paramètres!$A$1:$I$89,3,0)*VLOOKUP('Données projet'!$B$10,Paramètres!$A$1:$I$89,5,0)</f>
        <v>3.4444143143983426</v>
      </c>
      <c r="AK9" s="14">
        <f t="shared" si="35"/>
        <v>1.3745078339304442</v>
      </c>
      <c r="AL9" s="22">
        <f t="shared" si="4"/>
        <v>8.3929560750059693</v>
      </c>
      <c r="AM9" s="62">
        <f t="shared" si="5"/>
        <v>272.39295607500594</v>
      </c>
      <c r="AN9" s="62">
        <f ca="1">AVERAGE(OFFSET($AM$3,0,0,'Données projet'!$E$10+1,1))-AVERAGE(OFFSET($H$3,0,0,'Données projet'!$E$10+1,1))</f>
        <v>405.09126081846171</v>
      </c>
      <c r="AO9" s="62">
        <f t="shared" si="36"/>
        <v>534.22295841722166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3.92</v>
      </c>
      <c r="BD9" s="13">
        <f>IF('Données projet'!$A$88&gt;35,BD8+BC9-BL8,IF(A9&lt;'Données projet'!$A$88,$BA$205^A9,IF(A9='Données projet'!$A$88,'Données projet'!$B$88,BD8+BC9-BL8)))</f>
        <v>3.0053444735583574</v>
      </c>
      <c r="BE9" s="14">
        <f>BD9*VLOOKUP('Données projet'!$B$11,Paramètres!$A$1:$I$89,3,0)*VLOOKUP('Données projet'!$B$11,Paramètres!$A$1:$I$89,5,0)</f>
        <v>1.7190570388753805</v>
      </c>
      <c r="BF9" s="14">
        <f t="shared" si="37"/>
        <v>0.74379723988421598</v>
      </c>
      <c r="BG9" s="22">
        <f t="shared" si="7"/>
        <v>4.2894712021729635</v>
      </c>
      <c r="BH9" s="62">
        <f t="shared" si="8"/>
        <v>268.28947120217299</v>
      </c>
      <c r="BI9" s="62">
        <f ca="1">AVERAGE(OFFSET($BH$3,0,0,'Données projet'!$E$11+1,1))-AVERAGE(OFFSET($H$3,0,0,'Données projet'!$E$11+1,1))</f>
        <v>258.09881752732008</v>
      </c>
      <c r="BJ9" s="62">
        <f t="shared" si="38"/>
        <v>214.72899476643335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2.84</v>
      </c>
      <c r="N10" s="14">
        <f>IF('Données projet'!$A$36&gt;35,N9+M10-V9,IF(A10&lt;'Données projet'!$A$36,$K$205^A10,IF(A10='Données projet'!$A$36,'Données projet'!$B$36,N9+M10-V9)))</f>
        <v>3.2987722888587467</v>
      </c>
      <c r="O10" s="14">
        <f>N10*VLOOKUP('Données projet'!$B$9,Paramètres!$A$1:$I$89,3,0)*VLOOKUP('Données projet'!$B$9,Paramètres!$A$1:$I$89,5,0)</f>
        <v>2.9847291669593941</v>
      </c>
      <c r="P10" s="14">
        <f t="shared" si="33"/>
        <v>1.2110945802433715</v>
      </c>
      <c r="Q10" s="22">
        <f t="shared" si="2"/>
        <v>7.3077263597114817</v>
      </c>
      <c r="R10" s="62">
        <f t="shared" si="0"/>
        <v>272.5299485819337</v>
      </c>
      <c r="S10" s="62">
        <f ca="1">AVERAGE(OFFSET($R$3,0,0,'Données projet'!$E$9+1,1))-AVERAGE(OFFSET($H$3,0,0,'Données projet'!$E$9+1,1))</f>
        <v>371.75294069149942</v>
      </c>
      <c r="T10" s="62">
        <f t="shared" si="34"/>
        <v>233.32640143610547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10.163529411764706</v>
      </c>
      <c r="AI10" s="14">
        <f>IF('Données projet'!$A$62&gt;35,AI9+AH10-AQ9,IF(A10&lt;'Données projet'!$A$62,$AF$205^A10,IF(A10='Données projet'!$A$62,'Données projet'!$B$62,AI9+AH10-AQ9)))</f>
        <v>8.3429730452220969</v>
      </c>
      <c r="AJ10" s="14">
        <f>AI10*VLOOKUP('Données projet'!$B$10,Paramètres!$A$1:$I$89,3,0)*VLOOKUP('Données projet'!$B$10,Paramètres!$A$1:$I$89,5,0)</f>
        <v>4.6637219322791523</v>
      </c>
      <c r="AK10" s="14">
        <f t="shared" si="35"/>
        <v>1.7965703706377396</v>
      </c>
      <c r="AL10" s="22">
        <f t="shared" si="4"/>
        <v>11.251675760913587</v>
      </c>
      <c r="AM10" s="62">
        <f t="shared" si="5"/>
        <v>276.47389798313583</v>
      </c>
      <c r="AN10" s="62">
        <f ca="1">AVERAGE(OFFSET($AM$3,0,0,'Données projet'!$E$10+1,1))-AVERAGE(OFFSET($H$3,0,0,'Données projet'!$E$10+1,1))</f>
        <v>405.09126081846171</v>
      </c>
      <c r="AO10" s="62">
        <f t="shared" si="36"/>
        <v>534.22295841722166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3.92</v>
      </c>
      <c r="BD10" s="13">
        <f>IF('Données projet'!$A$88&gt;35,BD9+BC10-BL9,IF(A10&lt;'Données projet'!$A$88,$BA$205^A10,IF(A10='Données projet'!$A$88,'Données projet'!$B$88,BD9+BC10-BL9)))</f>
        <v>3.6103000817470008</v>
      </c>
      <c r="BE10" s="14">
        <f>BD10*VLOOKUP('Données projet'!$B$11,Paramètres!$A$1:$I$89,3,0)*VLOOKUP('Données projet'!$B$11,Paramètres!$A$1:$I$89,5,0)</f>
        <v>2.0650916467592846</v>
      </c>
      <c r="BF10" s="14">
        <f t="shared" si="37"/>
        <v>0.87464628701661573</v>
      </c>
      <c r="BG10" s="22">
        <f t="shared" si="7"/>
        <v>5.1200435679930258</v>
      </c>
      <c r="BH10" s="62">
        <f t="shared" si="8"/>
        <v>270.34226579021527</v>
      </c>
      <c r="BI10" s="62">
        <f ca="1">AVERAGE(OFFSET($BH$3,0,0,'Données projet'!$E$11+1,1))-AVERAGE(OFFSET($H$3,0,0,'Données projet'!$E$11+1,1))</f>
        <v>258.09881752732008</v>
      </c>
      <c r="BJ10" s="62">
        <f t="shared" si="38"/>
        <v>214.72899476643335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2.84</v>
      </c>
      <c r="N11" s="14">
        <f>IF('Données projet'!$A$36&gt;35,N10+M11-V10,IF(A11&lt;'Données projet'!$A$36,$K$205^A11,IF(A11='Données projet'!$A$36,'Données projet'!$B$36,N10+M11-V10)))</f>
        <v>3.9120344589280696</v>
      </c>
      <c r="O11" s="14">
        <f>N11*VLOOKUP('Données projet'!$B$9,Paramètres!$A$1:$I$89,3,0)*VLOOKUP('Données projet'!$B$9,Paramètres!$A$1:$I$89,5,0)</f>
        <v>3.5396087784381174</v>
      </c>
      <c r="P11" s="14">
        <f t="shared" si="33"/>
        <v>1.4080203630708406</v>
      </c>
      <c r="Q11" s="22">
        <f t="shared" si="2"/>
        <v>8.6171207547947688</v>
      </c>
      <c r="R11" s="62">
        <f t="shared" si="0"/>
        <v>275.06156519923923</v>
      </c>
      <c r="S11" s="62">
        <f ca="1">AVERAGE(OFFSET($R$3,0,0,'Données projet'!$E$9+1,1))-AVERAGE(OFFSET($H$3,0,0,'Données projet'!$E$9+1,1))</f>
        <v>371.75294069149942</v>
      </c>
      <c r="T11" s="62">
        <f t="shared" si="34"/>
        <v>233.32640143610547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10.163529411764706</v>
      </c>
      <c r="AI11" s="14">
        <f>IF('Données projet'!$A$62&gt;35,AI10+AH11-AQ10,IF(A11&lt;'Données projet'!$A$62,$AF$205^A11,IF(A11='Données projet'!$A$62,'Données projet'!$B$62,AI10+AH11-AQ10)))</f>
        <v>11.296349050916252</v>
      </c>
      <c r="AJ11" s="14">
        <f>AI11*VLOOKUP('Données projet'!$B$10,Paramètres!$A$1:$I$89,3,0)*VLOOKUP('Données projet'!$B$10,Paramètres!$A$1:$I$89,5,0)</f>
        <v>6.3146591194621848</v>
      </c>
      <c r="AK11" s="14">
        <f t="shared" si="35"/>
        <v>2.3482333217583955</v>
      </c>
      <c r="AL11" s="22">
        <f t="shared" si="4"/>
        <v>15.087871001792513</v>
      </c>
      <c r="AM11" s="62">
        <f t="shared" si="5"/>
        <v>281.53231544623696</v>
      </c>
      <c r="AN11" s="62">
        <f ca="1">AVERAGE(OFFSET($AM$3,0,0,'Données projet'!$E$10+1,1))-AVERAGE(OFFSET($H$3,0,0,'Données projet'!$E$10+1,1))</f>
        <v>405.09126081846171</v>
      </c>
      <c r="AO11" s="62">
        <f t="shared" si="36"/>
        <v>534.22295841722166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3.92</v>
      </c>
      <c r="BD11" s="13">
        <f>IF('Données projet'!$A$88&gt;35,BD10+BC11-BL10,IF(A11&lt;'Données projet'!$A$88,$BA$205^A11,IF(A11='Données projet'!$A$88,'Données projet'!$B$88,BD10+BC11-BL10)))</f>
        <v>4.33702918082788</v>
      </c>
      <c r="BE11" s="14">
        <f>BD11*VLOOKUP('Données projet'!$B$11,Paramètres!$A$1:$I$89,3,0)*VLOOKUP('Données projet'!$B$11,Paramètres!$A$1:$I$89,5,0)</f>
        <v>2.4807806914335475</v>
      </c>
      <c r="BF11" s="14">
        <f t="shared" si="37"/>
        <v>1.0285143401594736</v>
      </c>
      <c r="BG11" s="22">
        <f t="shared" si="7"/>
        <v>6.1120221800245114</v>
      </c>
      <c r="BH11" s="62">
        <f t="shared" si="8"/>
        <v>272.55646662446895</v>
      </c>
      <c r="BI11" s="62">
        <f ca="1">AVERAGE(OFFSET($BH$3,0,0,'Données projet'!$E$11+1,1))-AVERAGE(OFFSET($H$3,0,0,'Données projet'!$E$11+1,1))</f>
        <v>258.09881752732008</v>
      </c>
      <c r="BJ11" s="62">
        <f t="shared" si="38"/>
        <v>214.72899476643335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2.84</v>
      </c>
      <c r="N12" s="14">
        <f>IF('Données projet'!$A$36&gt;35,N11+M12-V11,IF(A12&lt;'Données projet'!$A$36,$K$205^A12,IF(A12='Données projet'!$A$36,'Données projet'!$B$36,N11+M12-V11)))</f>
        <v>4.6393058591914071</v>
      </c>
      <c r="O12" s="14">
        <f>N12*VLOOKUP('Données projet'!$B$9,Paramètres!$A$1:$I$89,3,0)*VLOOKUP('Données projet'!$B$9,Paramètres!$A$1:$I$89,5,0)</f>
        <v>4.1976439413963851</v>
      </c>
      <c r="P12" s="14">
        <f t="shared" si="33"/>
        <v>1.6369665715321342</v>
      </c>
      <c r="Q12" s="22">
        <f t="shared" si="2"/>
        <v>10.161946643350502</v>
      </c>
      <c r="R12" s="62">
        <f t="shared" si="0"/>
        <v>277.8286133100172</v>
      </c>
      <c r="S12" s="62">
        <f ca="1">AVERAGE(OFFSET($R$3,0,0,'Données projet'!$E$9+1,1))-AVERAGE(OFFSET($H$3,0,0,'Données projet'!$E$9+1,1))</f>
        <v>371.75294069149942</v>
      </c>
      <c r="T12" s="62">
        <f t="shared" si="34"/>
        <v>233.32640143610547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10.163529411764706</v>
      </c>
      <c r="AI12" s="14">
        <f>IF('Données projet'!$A$62&gt;35,AI11+AH12-AQ11,IF(A12&lt;'Données projet'!$A$62,$AF$205^A12,IF(A12='Données projet'!$A$62,'Données projet'!$B$62,AI11+AH12-AQ11)))</f>
        <v>15.295207258666087</v>
      </c>
      <c r="AJ12" s="14">
        <f>AI12*VLOOKUP('Données projet'!$B$10,Paramètres!$A$1:$I$89,3,0)*VLOOKUP('Données projet'!$B$10,Paramètres!$A$1:$I$89,5,0)</f>
        <v>8.5500208575943439</v>
      </c>
      <c r="AK12" s="14">
        <f t="shared" si="35"/>
        <v>3.0692923714750222</v>
      </c>
      <c r="AL12" s="22">
        <f t="shared" si="4"/>
        <v>20.236970540629144</v>
      </c>
      <c r="AM12" s="62">
        <f t="shared" si="5"/>
        <v>287.90363720729584</v>
      </c>
      <c r="AN12" s="62">
        <f ca="1">AVERAGE(OFFSET($AM$3,0,0,'Données projet'!$E$10+1,1))-AVERAGE(OFFSET($H$3,0,0,'Données projet'!$E$10+1,1))</f>
        <v>405.09126081846171</v>
      </c>
      <c r="AO12" s="62">
        <f t="shared" si="36"/>
        <v>534.22295841722166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3.92</v>
      </c>
      <c r="BD12" s="13">
        <f>IF('Données projet'!$A$88&gt;35,BD11+BC12-BL11,IF(A12&lt;'Données projet'!$A$88,$BA$205^A12,IF(A12='Données projet'!$A$88,'Données projet'!$B$88,BD11+BC12-BL11)))</f>
        <v>5.2100439546428507</v>
      </c>
      <c r="BE12" s="14">
        <f>BD12*VLOOKUP('Données projet'!$B$11,Paramètres!$A$1:$I$89,3,0)*VLOOKUP('Données projet'!$B$11,Paramètres!$A$1:$I$89,5,0)</f>
        <v>2.980145142055711</v>
      </c>
      <c r="BF12" s="14">
        <f t="shared" si="37"/>
        <v>1.2094509101752824</v>
      </c>
      <c r="BG12" s="22">
        <f t="shared" si="7"/>
        <v>7.2968797909689798</v>
      </c>
      <c r="BH12" s="62">
        <f t="shared" si="8"/>
        <v>274.96354645763569</v>
      </c>
      <c r="BI12" s="62">
        <f ca="1">AVERAGE(OFFSET($BH$3,0,0,'Données projet'!$E$11+1,1))-AVERAGE(OFFSET($H$3,0,0,'Données projet'!$E$11+1,1))</f>
        <v>258.09881752732008</v>
      </c>
      <c r="BJ12" s="62">
        <f t="shared" si="38"/>
        <v>214.72899476643335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2.84</v>
      </c>
      <c r="N13" s="14">
        <f>IF('Données projet'!$A$36&gt;35,N12+M13-V12,IF(A13&lt;'Données projet'!$A$36,$K$205^A13,IF(A13='Données projet'!$A$36,'Données projet'!$B$36,N12+M13-V12)))</f>
        <v>5.5017815106427381</v>
      </c>
      <c r="O13" s="14">
        <f>N13*VLOOKUP('Données projet'!$B$9,Paramètres!$A$1:$I$89,3,0)*VLOOKUP('Données projet'!$B$9,Paramètres!$A$1:$I$89,5,0)</f>
        <v>4.9780119108295491</v>
      </c>
      <c r="P13" s="14">
        <f t="shared" si="33"/>
        <v>1.9031397745338225</v>
      </c>
      <c r="Q13" s="22">
        <f t="shared" si="2"/>
        <v>11.984672518674538</v>
      </c>
      <c r="R13" s="62">
        <f t="shared" si="0"/>
        <v>280.87356140756339</v>
      </c>
      <c r="S13" s="62">
        <f ca="1">AVERAGE(OFFSET($R$3,0,0,'Données projet'!$E$9+1,1))-AVERAGE(OFFSET($H$3,0,0,'Données projet'!$E$9+1,1))</f>
        <v>371.75294069149942</v>
      </c>
      <c r="T13" s="62">
        <f t="shared" si="34"/>
        <v>233.32640143610547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10.163529411764706</v>
      </c>
      <c r="AI13" s="14">
        <f>IF('Données projet'!$A$62&gt;35,AI12+AH13-AQ12,IF(A13&lt;'Données projet'!$A$62,$AF$205^A13,IF(A13='Données projet'!$A$62,'Données projet'!$B$62,AI12+AH13-AQ12)))</f>
        <v>20.709643800053833</v>
      </c>
      <c r="AJ13" s="14">
        <f>AI13*VLOOKUP('Données projet'!$B$10,Paramètres!$A$1:$I$89,3,0)*VLOOKUP('Données projet'!$B$10,Paramètres!$A$1:$I$89,5,0)</f>
        <v>11.576690884230093</v>
      </c>
      <c r="AK13" s="14">
        <f t="shared" si="35"/>
        <v>4.0117630451391877</v>
      </c>
      <c r="AL13" s="22">
        <f t="shared" si="4"/>
        <v>27.149890593651492</v>
      </c>
      <c r="AM13" s="62">
        <f t="shared" si="5"/>
        <v>296.03877948254035</v>
      </c>
      <c r="AN13" s="62">
        <f ca="1">AVERAGE(OFFSET($AM$3,0,0,'Données projet'!$E$10+1,1))-AVERAGE(OFFSET($H$3,0,0,'Données projet'!$E$10+1,1))</f>
        <v>405.09126081846171</v>
      </c>
      <c r="AO13" s="62">
        <f t="shared" si="36"/>
        <v>534.22295841722166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3.92</v>
      </c>
      <c r="BD13" s="13">
        <f>IF('Données projet'!$A$88&gt;35,BD12+BC13-BL12,IF(A13&lt;'Données projet'!$A$88,$BA$205^A13,IF(A13='Données projet'!$A$88,'Données projet'!$B$88,BD12+BC13-BL12)))</f>
        <v>6.2587907246058672</v>
      </c>
      <c r="BE13" s="14">
        <f>BD13*VLOOKUP('Données projet'!$B$11,Paramètres!$A$1:$I$89,3,0)*VLOOKUP('Données projet'!$B$11,Paramètres!$A$1:$I$89,5,0)</f>
        <v>3.5800282944745563</v>
      </c>
      <c r="BF13" s="14">
        <f t="shared" si="37"/>
        <v>1.422217899166105</v>
      </c>
      <c r="BG13" s="22">
        <f t="shared" si="7"/>
        <v>8.712245453924151</v>
      </c>
      <c r="BH13" s="62">
        <f t="shared" si="8"/>
        <v>277.601134342813</v>
      </c>
      <c r="BI13" s="62">
        <f ca="1">AVERAGE(OFFSET($BH$3,0,0,'Données projet'!$E$11+1,1))-AVERAGE(OFFSET($H$3,0,0,'Données projet'!$E$11+1,1))</f>
        <v>258.09881752732008</v>
      </c>
      <c r="BJ13" s="62">
        <f t="shared" si="38"/>
        <v>214.72899476643335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2.84</v>
      </c>
      <c r="N14" s="14">
        <f>IF('Données projet'!$A$36&gt;35,N13+M14-V13,IF(A14&lt;'Données projet'!$A$36,$K$205^A14,IF(A14='Données projet'!$A$36,'Données projet'!$B$36,N13+M14-V13)))</f>
        <v>6.5245967197614414</v>
      </c>
      <c r="O14" s="14">
        <f>N14*VLOOKUP('Données projet'!$B$9,Paramètres!$A$1:$I$89,3,0)*VLOOKUP('Données projet'!$B$9,Paramètres!$A$1:$I$89,5,0)</f>
        <v>5.9034551120401524</v>
      </c>
      <c r="P14" s="14">
        <f t="shared" si="33"/>
        <v>2.2125931368425316</v>
      </c>
      <c r="Q14" s="22">
        <f t="shared" si="2"/>
        <v>14.135450700137341</v>
      </c>
      <c r="R14" s="62">
        <f t="shared" si="0"/>
        <v>284.24656181124851</v>
      </c>
      <c r="S14" s="62">
        <f ca="1">AVERAGE(OFFSET($R$3,0,0,'Données projet'!$E$9+1,1))-AVERAGE(OFFSET($H$3,0,0,'Données projet'!$E$9+1,1))</f>
        <v>371.75294069149942</v>
      </c>
      <c r="T14" s="62">
        <f t="shared" si="34"/>
        <v>233.32640143610547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10.163529411764706</v>
      </c>
      <c r="AI14" s="14">
        <f>IF('Données projet'!$A$62&gt;35,AI13+AH14-AQ13,IF(A14&lt;'Données projet'!$A$62,$AF$205^A14,IF(A14='Données projet'!$A$62,'Données projet'!$B$62,AI13+AH14-AQ13)))</f>
        <v>28.040767220209094</v>
      </c>
      <c r="AJ14" s="14">
        <f>AI14*VLOOKUP('Données projet'!$B$10,Paramètres!$A$1:$I$89,3,0)*VLOOKUP('Données projet'!$B$10,Paramètres!$A$1:$I$89,5,0)</f>
        <v>15.674788876096885</v>
      </c>
      <c r="AK14" s="14">
        <f t="shared" si="35"/>
        <v>5.2436329884760928</v>
      </c>
      <c r="AL14" s="22">
        <f t="shared" si="4"/>
        <v>36.432918080797933</v>
      </c>
      <c r="AM14" s="62">
        <f t="shared" si="5"/>
        <v>306.54402919190909</v>
      </c>
      <c r="AN14" s="62">
        <f ca="1">AVERAGE(OFFSET($AM$3,0,0,'Données projet'!$E$10+1,1))-AVERAGE(OFFSET($H$3,0,0,'Données projet'!$E$10+1,1))</f>
        <v>405.09126081846171</v>
      </c>
      <c r="AO14" s="62">
        <f t="shared" si="36"/>
        <v>534.22295841722166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3.92</v>
      </c>
      <c r="BD14" s="13">
        <f>IF('Données projet'!$A$88&gt;35,BD13+BC14-BL13,IF(A14&lt;'Données projet'!$A$88,$BA$205^A14,IF(A14='Données projet'!$A$88,'Données projet'!$B$88,BD13+BC14-BL13)))</f>
        <v>7.518643158375756</v>
      </c>
      <c r="BE14" s="14">
        <f>BD14*VLOOKUP('Données projet'!$B$11,Paramètres!$A$1:$I$89,3,0)*VLOOKUP('Données projet'!$B$11,Paramètres!$A$1:$I$89,5,0)</f>
        <v>4.3006638865909332</v>
      </c>
      <c r="BF14" s="14">
        <f t="shared" si="37"/>
        <v>1.6724149245671369</v>
      </c>
      <c r="BG14" s="22">
        <f t="shared" si="7"/>
        <v>10.403112262766973</v>
      </c>
      <c r="BH14" s="62">
        <f t="shared" si="8"/>
        <v>280.51422337387811</v>
      </c>
      <c r="BI14" s="62">
        <f ca="1">AVERAGE(OFFSET($BH$3,0,0,'Données projet'!$E$11+1,1))-AVERAGE(OFFSET($H$3,0,0,'Données projet'!$E$11+1,1))</f>
        <v>258.09881752732008</v>
      </c>
      <c r="BJ14" s="62">
        <f t="shared" si="38"/>
        <v>214.72899476643335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2.84</v>
      </c>
      <c r="N15" s="14">
        <f>IF('Données projet'!$A$36&gt;35,N14+M15-V14,IF(A15&lt;'Données projet'!$A$36,$K$205^A15,IF(A15='Données projet'!$A$36,'Données projet'!$B$36,N14+M15-V14)))</f>
        <v>7.7375596019531026</v>
      </c>
      <c r="O15" s="14">
        <f>N15*VLOOKUP('Données projet'!$B$9,Paramètres!$A$1:$I$89,3,0)*VLOOKUP('Données projet'!$B$9,Paramètres!$A$1:$I$89,5,0)</f>
        <v>7.0009439278471666</v>
      </c>
      <c r="P15" s="14">
        <f t="shared" si="33"/>
        <v>2.5723640768329017</v>
      </c>
      <c r="Q15" s="22">
        <f t="shared" si="2"/>
        <v>16.673511441484454</v>
      </c>
      <c r="R15" s="62">
        <f t="shared" si="0"/>
        <v>288.00684477481775</v>
      </c>
      <c r="S15" s="62">
        <f ca="1">AVERAGE(OFFSET($R$3,0,0,'Données projet'!$E$9+1,1))-AVERAGE(OFFSET($H$3,0,0,'Données projet'!$E$9+1,1))</f>
        <v>371.75294069149942</v>
      </c>
      <c r="T15" s="62">
        <f t="shared" si="34"/>
        <v>233.32640143610547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10.163529411764706</v>
      </c>
      <c r="AI15" s="14">
        <f>IF('Données projet'!$A$62&gt;35,AI14+AH15-AQ14,IF(A15&lt;'Données projet'!$A$62,$AF$205^A15,IF(A15='Données projet'!$A$62,'Données projet'!$B$62,AI14+AH15-AQ14)))</f>
        <v>37.967076299782079</v>
      </c>
      <c r="AJ15" s="14">
        <f>AI15*VLOOKUP('Données projet'!$B$10,Paramètres!$A$1:$I$89,3,0)*VLOOKUP('Données projet'!$B$10,Paramètres!$A$1:$I$89,5,0)</f>
        <v>21.223595651578183</v>
      </c>
      <c r="AK15" s="14">
        <f t="shared" si="35"/>
        <v>6.8537664384614088</v>
      </c>
      <c r="AL15" s="22">
        <f t="shared" si="4"/>
        <v>48.901405640152291</v>
      </c>
      <c r="AM15" s="62">
        <f t="shared" si="5"/>
        <v>320.23473897348561</v>
      </c>
      <c r="AN15" s="62">
        <f ca="1">AVERAGE(OFFSET($AM$3,0,0,'Données projet'!$E$10+1,1))-AVERAGE(OFFSET($H$3,0,0,'Données projet'!$E$10+1,1))</f>
        <v>405.09126081846171</v>
      </c>
      <c r="AO15" s="62">
        <f t="shared" si="36"/>
        <v>534.22295841722166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3.92</v>
      </c>
      <c r="BD15" s="13">
        <f>IF('Données projet'!$A$88&gt;35,BD14+BC15-BL14,IF(A15&lt;'Données projet'!$A$88,$BA$205^A15,IF(A15='Données projet'!$A$88,'Données projet'!$B$88,BD14+BC15-BL14)))</f>
        <v>9.0320954047477606</v>
      </c>
      <c r="BE15" s="14">
        <f>BD15*VLOOKUP('Données projet'!$B$11,Paramètres!$A$1:$I$89,3,0)*VLOOKUP('Données projet'!$B$11,Paramètres!$A$1:$I$89,5,0)</f>
        <v>5.1663585715157199</v>
      </c>
      <c r="BF15" s="14">
        <f t="shared" si="37"/>
        <v>1.9666266902946876</v>
      </c>
      <c r="BG15" s="22">
        <f t="shared" si="7"/>
        <v>12.423282664319792</v>
      </c>
      <c r="BH15" s="62">
        <f t="shared" si="8"/>
        <v>283.75661599765311</v>
      </c>
      <c r="BI15" s="62">
        <f ca="1">AVERAGE(OFFSET($BH$3,0,0,'Données projet'!$E$11+1,1))-AVERAGE(OFFSET($H$3,0,0,'Données projet'!$E$11+1,1))</f>
        <v>258.09881752732008</v>
      </c>
      <c r="BJ15" s="62">
        <f t="shared" si="38"/>
        <v>214.72899476643335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2.84</v>
      </c>
      <c r="N16" s="14">
        <f>IF('Données projet'!$A$36&gt;35,N15+M16-V15,IF(A16&lt;'Données projet'!$A$36,$K$205^A16,IF(A16='Données projet'!$A$36,'Données projet'!$B$36,N15+M16-V15)))</f>
        <v>9.1760197856283234</v>
      </c>
      <c r="O16" s="14">
        <f>N16*VLOOKUP('Données projet'!$B$9,Paramètres!$A$1:$I$89,3,0)*VLOOKUP('Données projet'!$B$9,Paramètres!$A$1:$I$89,5,0)</f>
        <v>8.3024627020365074</v>
      </c>
      <c r="P16" s="14">
        <f t="shared" si="33"/>
        <v>2.9906343075904238</v>
      </c>
      <c r="Q16" s="22">
        <f t="shared" si="2"/>
        <v>19.668810625100239</v>
      </c>
      <c r="R16" s="62">
        <f t="shared" si="0"/>
        <v>292.22436618065581</v>
      </c>
      <c r="S16" s="62">
        <f ca="1">AVERAGE(OFFSET($R$3,0,0,'Données projet'!$E$9+1,1))-AVERAGE(OFFSET($H$3,0,0,'Données projet'!$E$9+1,1))</f>
        <v>371.75294069149942</v>
      </c>
      <c r="T16" s="62">
        <f t="shared" si="34"/>
        <v>233.32640143610547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10.163529411764706</v>
      </c>
      <c r="AI16" s="14">
        <f>IF('Données projet'!$A$62&gt;35,AI15+AH16-AQ15,IF(A16&lt;'Données projet'!$A$62,$AF$205^A16,IF(A16='Données projet'!$A$62,'Données projet'!$B$62,AI15+AH16-AQ15)))</f>
        <v>51.40725542326031</v>
      </c>
      <c r="AJ16" s="14">
        <f>AI16*VLOOKUP('Données projet'!$B$10,Paramètres!$A$1:$I$89,3,0)*VLOOKUP('Données projet'!$B$10,Paramètres!$A$1:$I$89,5,0)</f>
        <v>28.736655781602511</v>
      </c>
      <c r="AK16" s="14">
        <f t="shared" si="35"/>
        <v>8.9583146830098084</v>
      </c>
      <c r="AL16" s="22">
        <f t="shared" si="4"/>
        <v>65.652073559199778</v>
      </c>
      <c r="AM16" s="62">
        <f t="shared" si="5"/>
        <v>338.20762911475532</v>
      </c>
      <c r="AN16" s="62">
        <f ca="1">AVERAGE(OFFSET($AM$3,0,0,'Données projet'!$E$10+1,1))-AVERAGE(OFFSET($H$3,0,0,'Données projet'!$E$10+1,1))</f>
        <v>405.09126081846171</v>
      </c>
      <c r="AO16" s="62">
        <f t="shared" si="36"/>
        <v>534.22295841722166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3.92</v>
      </c>
      <c r="BD16" s="13">
        <f>IF('Données projet'!$A$88&gt;35,BD15+BC16-BL15,IF(A16&lt;'Données projet'!$A$88,$BA$205^A16,IF(A16='Données projet'!$A$88,'Données projet'!$B$88,BD15+BC16-BL15)))</f>
        <v>10.850195398565635</v>
      </c>
      <c r="BE16" s="14">
        <f>BD16*VLOOKUP('Données projet'!$B$11,Paramètres!$A$1:$I$89,3,0)*VLOOKUP('Données projet'!$B$11,Paramètres!$A$1:$I$89,5,0)</f>
        <v>6.2063117679795434</v>
      </c>
      <c r="BF16" s="14">
        <f t="shared" si="37"/>
        <v>2.3125962834734182</v>
      </c>
      <c r="BG16" s="22">
        <f t="shared" si="7"/>
        <v>14.837098189613906</v>
      </c>
      <c r="BH16" s="62">
        <f t="shared" si="8"/>
        <v>287.39265374516947</v>
      </c>
      <c r="BI16" s="62">
        <f ca="1">AVERAGE(OFFSET($BH$3,0,0,'Données projet'!$E$11+1,1))-AVERAGE(OFFSET($H$3,0,0,'Données projet'!$E$11+1,1))</f>
        <v>258.09881752732008</v>
      </c>
      <c r="BJ16" s="62">
        <f t="shared" si="38"/>
        <v>214.72899476643335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2.84</v>
      </c>
      <c r="N17" s="14">
        <f>IF('Données projet'!$A$36&gt;35,N16+M17-V16,IF(A17&lt;'Données projet'!$A$36,$K$205^A17,IF(A17='Données projet'!$A$36,'Données projet'!$B$36,N16+M17-V16)))</f>
        <v>10.881898613742376</v>
      </c>
      <c r="O17" s="14">
        <f>N17*VLOOKUP('Données projet'!$B$9,Paramètres!$A$1:$I$89,3,0)*VLOOKUP('Données projet'!$B$9,Paramètres!$A$1:$I$89,5,0)</f>
        <v>9.8459418657141011</v>
      </c>
      <c r="P17" s="14">
        <f t="shared" si="33"/>
        <v>3.4769159009359916</v>
      </c>
      <c r="Q17" s="22">
        <f t="shared" si="2"/>
        <v>23.203977276915577</v>
      </c>
      <c r="R17" s="62">
        <f t="shared" si="0"/>
        <v>296.98175505469334</v>
      </c>
      <c r="S17" s="62">
        <f ca="1">AVERAGE(OFFSET($R$3,0,0,'Données projet'!$E$9+1,1))-AVERAGE(OFFSET($H$3,0,0,'Données projet'!$E$9+1,1))</f>
        <v>371.75294069149942</v>
      </c>
      <c r="T17" s="62">
        <f t="shared" si="34"/>
        <v>233.32640143610547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10.163529411764706</v>
      </c>
      <c r="AI17" s="14">
        <f>IF('Données projet'!$A$62&gt;35,AI16+AH17-AQ16,IF(A17&lt;'Données projet'!$A$62,$AF$205^A17,IF(A17='Données projet'!$A$62,'Données projet'!$B$62,AI16+AH17-AQ16)))</f>
        <v>69.605199233302443</v>
      </c>
      <c r="AJ17" s="14">
        <f>AI17*VLOOKUP('Données projet'!$B$10,Paramètres!$A$1:$I$89,3,0)*VLOOKUP('Données projet'!$B$10,Paramètres!$A$1:$I$89,5,0)</f>
        <v>38.909306371416065</v>
      </c>
      <c r="AK17" s="14">
        <f t="shared" si="35"/>
        <v>11.709094945150285</v>
      </c>
      <c r="AL17" s="22">
        <f t="shared" si="4"/>
        <v>88.160382293019723</v>
      </c>
      <c r="AM17" s="62">
        <f t="shared" si="5"/>
        <v>361.93816007079749</v>
      </c>
      <c r="AN17" s="62">
        <f ca="1">AVERAGE(OFFSET($AM$3,0,0,'Données projet'!$E$10+1,1))-AVERAGE(OFFSET($H$3,0,0,'Données projet'!$E$10+1,1))</f>
        <v>405.09126081846171</v>
      </c>
      <c r="AO17" s="62">
        <f t="shared" si="36"/>
        <v>534.22295841722166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3.92</v>
      </c>
      <c r="BD17" s="13">
        <f>IF('Données projet'!$A$88&gt;35,BD16+BC17-BL16,IF(A17&lt;'Données projet'!$A$88,$BA$205^A17,IF(A17='Données projet'!$A$88,'Données projet'!$B$88,BD16+BC17-BL16)))</f>
        <v>13.0342666802624</v>
      </c>
      <c r="BE17" s="14">
        <f>BD17*VLOOKUP('Données projet'!$B$11,Paramètres!$A$1:$I$89,3,0)*VLOOKUP('Données projet'!$B$11,Paramètres!$A$1:$I$89,5,0)</f>
        <v>7.4556005411100932</v>
      </c>
      <c r="BF17" s="14">
        <f t="shared" si="37"/>
        <v>2.7194289575789719</v>
      </c>
      <c r="BG17" s="22">
        <f t="shared" si="7"/>
        <v>17.721509710216786</v>
      </c>
      <c r="BH17" s="62">
        <f t="shared" si="8"/>
        <v>291.49928748799454</v>
      </c>
      <c r="BI17" s="62">
        <f ca="1">AVERAGE(OFFSET($BH$3,0,0,'Données projet'!$E$11+1,1))-AVERAGE(OFFSET($H$3,0,0,'Données projet'!$E$11+1,1))</f>
        <v>258.09881752732008</v>
      </c>
      <c r="BJ17" s="62">
        <f t="shared" si="38"/>
        <v>214.72899476643335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2.84</v>
      </c>
      <c r="N18" s="14">
        <f>IF('Données projet'!$A$36&gt;35,N17+M18-V17,IF(A18&lt;'Données projet'!$A$36,$K$205^A18,IF(A18='Données projet'!$A$36,'Données projet'!$B$36,N17+M18-V17)))</f>
        <v>12.904910866172436</v>
      </c>
      <c r="O18" s="14">
        <f>N18*VLOOKUP('Données projet'!$B$9,Paramètres!$A$1:$I$89,3,0)*VLOOKUP('Données projet'!$B$9,Paramètres!$A$1:$I$89,5,0)</f>
        <v>11.676363351712819</v>
      </c>
      <c r="P18" s="14">
        <f t="shared" si="33"/>
        <v>4.0422676057380276</v>
      </c>
      <c r="Q18" s="22">
        <f t="shared" si="2"/>
        <v>27.376615584226887</v>
      </c>
      <c r="R18" s="62">
        <f t="shared" si="0"/>
        <v>302.3766155842269</v>
      </c>
      <c r="S18" s="62">
        <f ca="1">AVERAGE(OFFSET($R$3,0,0,'Données projet'!$E$9+1,1))-AVERAGE(OFFSET($H$3,0,0,'Données projet'!$E$9+1,1))</f>
        <v>371.75294069149942</v>
      </c>
      <c r="T18" s="62">
        <f t="shared" si="34"/>
        <v>233.32640143610547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10.163529411764706</v>
      </c>
      <c r="AI18" s="14">
        <f>IF('Données projet'!$A$62&gt;35,AI17+AH18-AQ17,IF(A18&lt;'Données projet'!$A$62,$AF$205^A18,IF(A18='Données projet'!$A$62,'Données projet'!$B$62,AI17+AH18-AQ17)))</f>
        <v>94.245135641214503</v>
      </c>
      <c r="AJ18" s="14">
        <f>AI18*VLOOKUP('Données projet'!$B$10,Paramètres!$A$1:$I$89,3,0)*VLOOKUP('Données projet'!$B$10,Paramètres!$A$1:$I$89,5,0)</f>
        <v>52.683030823438912</v>
      </c>
      <c r="AK18" s="14">
        <f t="shared" si="35"/>
        <v>15.304542124934633</v>
      </c>
      <c r="AL18" s="22">
        <f t="shared" si="4"/>
        <v>118.41168955175056</v>
      </c>
      <c r="AM18" s="62">
        <f t="shared" si="5"/>
        <v>393.41168955175056</v>
      </c>
      <c r="AN18" s="62">
        <f ca="1">AVERAGE(OFFSET($AM$3,0,0,'Données projet'!$E$10+1,1))-AVERAGE(OFFSET($H$3,0,0,'Données projet'!$E$10+1,1))</f>
        <v>405.09126081846171</v>
      </c>
      <c r="AO18" s="62">
        <f t="shared" si="36"/>
        <v>534.22295841722166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3.92</v>
      </c>
      <c r="BD18" s="13">
        <f>IF('Données projet'!$A$88&gt;35,BD17+BC18-BL17,IF(A18&lt;'Données projet'!$A$88,$BA$205^A18,IF(A18='Données projet'!$A$88,'Données projet'!$B$88,BD17+BC18-BL17)))</f>
        <v>15.657976806082024</v>
      </c>
      <c r="BE18" s="14">
        <f>BD18*VLOOKUP('Données projet'!$B$11,Paramètres!$A$1:$I$89,3,0)*VLOOKUP('Données projet'!$B$11,Paramètres!$A$1:$I$89,5,0)</f>
        <v>8.9563627330789188</v>
      </c>
      <c r="BF18" s="14">
        <f t="shared" si="37"/>
        <v>3.1978317651759127</v>
      </c>
      <c r="BG18" s="22">
        <f t="shared" si="7"/>
        <v>21.168555417793829</v>
      </c>
      <c r="BH18" s="62">
        <f t="shared" si="8"/>
        <v>296.16855541779381</v>
      </c>
      <c r="BI18" s="62">
        <f ca="1">AVERAGE(OFFSET($BH$3,0,0,'Données projet'!$E$11+1,1))-AVERAGE(OFFSET($H$3,0,0,'Données projet'!$E$11+1,1))</f>
        <v>258.09881752732008</v>
      </c>
      <c r="BJ18" s="62">
        <f t="shared" si="38"/>
        <v>214.72899476643335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2.84</v>
      </c>
      <c r="N19" s="14">
        <f>IF('Données projet'!$A$36&gt;35,N18+M19-V18,IF(A19&lt;'Données projet'!$A$36,$K$205^A19,IF(A19='Données projet'!$A$36,'Données projet'!$B$36,N18+M19-V18)))</f>
        <v>15.304013607840634</v>
      </c>
      <c r="O19" s="14">
        <f>N19*VLOOKUP('Données projet'!$B$9,Paramètres!$A$1:$I$89,3,0)*VLOOKUP('Données projet'!$B$9,Paramètres!$A$1:$I$89,5,0)</f>
        <v>13.847071512374203</v>
      </c>
      <c r="P19" s="14">
        <f t="shared" si="33"/>
        <v>4.6995463399043667</v>
      </c>
      <c r="Q19" s="22">
        <f t="shared" si="2"/>
        <v>32.302026092718499</v>
      </c>
      <c r="R19" s="62">
        <f t="shared" si="0"/>
        <v>308.52424831494073</v>
      </c>
      <c r="S19" s="62">
        <f ca="1">AVERAGE(OFFSET($R$3,0,0,'Données projet'!$E$9+1,1))-AVERAGE(OFFSET($H$3,0,0,'Données projet'!$E$9+1,1))</f>
        <v>371.75294069149942</v>
      </c>
      <c r="T19" s="62">
        <f t="shared" si="34"/>
        <v>233.32640143610547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10.163529411764706</v>
      </c>
      <c r="AI19" s="14">
        <f>IF('Données projet'!$A$62&gt;35,AI18+AH19-AQ18,IF(A19&lt;'Données projet'!$A$62,$AF$205^A19,IF(A19='Données projet'!$A$62,'Données projet'!$B$62,AI18+AH19-AQ18)))</f>
        <v>127.60750188013651</v>
      </c>
      <c r="AJ19" s="14">
        <f>AI19*VLOOKUP('Données projet'!$B$10,Paramètres!$A$1:$I$89,3,0)*VLOOKUP('Données projet'!$B$10,Paramètres!$A$1:$I$89,5,0)</f>
        <v>71.332593550996307</v>
      </c>
      <c r="AK19" s="14">
        <f t="shared" si="35"/>
        <v>20.004023432307392</v>
      </c>
      <c r="AL19" s="22">
        <f t="shared" si="4"/>
        <v>159.07794124592061</v>
      </c>
      <c r="AM19" s="62">
        <f t="shared" si="5"/>
        <v>435.30016346814284</v>
      </c>
      <c r="AN19" s="62">
        <f ca="1">AVERAGE(OFFSET($AM$3,0,0,'Données projet'!$E$10+1,1))-AVERAGE(OFFSET($H$3,0,0,'Données projet'!$E$10+1,1))</f>
        <v>405.09126081846171</v>
      </c>
      <c r="AO19" s="62">
        <f t="shared" si="36"/>
        <v>534.22295841722166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3.92</v>
      </c>
      <c r="BD19" s="13">
        <f>IF('Données projet'!$A$88&gt;35,BD18+BC19-BL18,IF(A19&lt;'Données projet'!$A$88,$BA$205^A19,IF(A19='Données projet'!$A$88,'Données projet'!$B$88,BD18+BC19-BL18)))</f>
        <v>18.809822115352553</v>
      </c>
      <c r="BE19" s="14">
        <f>BD19*VLOOKUP('Données projet'!$B$11,Paramètres!$A$1:$I$89,3,0)*VLOOKUP('Données projet'!$B$11,Paramètres!$A$1:$I$89,5,0)</f>
        <v>10.759218249981661</v>
      </c>
      <c r="BF19" s="14">
        <f t="shared" si="37"/>
        <v>3.7603953469231675</v>
      </c>
      <c r="BG19" s="22">
        <f t="shared" si="7"/>
        <v>25.288327014609248</v>
      </c>
      <c r="BH19" s="62">
        <f t="shared" si="8"/>
        <v>301.51054923683148</v>
      </c>
      <c r="BI19" s="62">
        <f ca="1">AVERAGE(OFFSET($BH$3,0,0,'Données projet'!$E$11+1,1))-AVERAGE(OFFSET($H$3,0,0,'Données projet'!$E$11+1,1))</f>
        <v>258.09881752732008</v>
      </c>
      <c r="BJ19" s="62">
        <f t="shared" si="38"/>
        <v>214.72899476643335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2.84</v>
      </c>
      <c r="N20" s="14">
        <f>IF('Données projet'!$A$36&gt;35,N19+M20-V19,IF(A20&lt;'Données projet'!$A$36,$K$205^A20,IF(A20='Données projet'!$A$36,'Données projet'!$B$36,N19+M20-V19)))</f>
        <v>18.149124386663679</v>
      </c>
      <c r="O20" s="14">
        <f>N20*VLOOKUP('Données projet'!$B$9,Paramètres!$A$1:$I$89,3,0)*VLOOKUP('Données projet'!$B$9,Paramètres!$A$1:$I$89,5,0)</f>
        <v>16.421327745053297</v>
      </c>
      <c r="P20" s="14">
        <f t="shared" si="33"/>
        <v>5.4636995753466904</v>
      </c>
      <c r="Q20" s="22">
        <f t="shared" si="2"/>
        <v>38.11642258302998</v>
      </c>
      <c r="R20" s="62">
        <f t="shared" si="0"/>
        <v>315.56086702747444</v>
      </c>
      <c r="S20" s="62">
        <f ca="1">AVERAGE(OFFSET($R$3,0,0,'Données projet'!$E$9+1,1))-AVERAGE(OFFSET($H$3,0,0,'Données projet'!$E$9+1,1))</f>
        <v>371.75294069149942</v>
      </c>
      <c r="T20" s="62">
        <f t="shared" si="34"/>
        <v>233.32640143610547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>
        <f>VLOOKUP(A20,'Données projet'!$A$61:$I$81,2,0)</f>
        <v>172.78</v>
      </c>
      <c r="AG20" s="13">
        <f>VLOOKUP(A20,'Données projet'!$A$61:$I$81,9,0)</f>
        <v>10.163529411764706</v>
      </c>
      <c r="AH20" s="13">
        <f t="array" ref="AH20">INDEX(AG:AG,MIN(IF(ISNUMBER(AG20:AG216),ROW(AG20:AG216),"")))</f>
        <v>10.163529411764706</v>
      </c>
      <c r="AI20" s="14">
        <f>IF('Données projet'!$A$62&gt;35,AI19+AH20-AQ19,IF(A20&lt;'Données projet'!$A$62,$AF$205^A20,IF(A20='Données projet'!$A$62,'Données projet'!$B$62,AI19+AH20-AQ19)))</f>
        <v>172.78</v>
      </c>
      <c r="AJ20" s="14">
        <f>AI20*VLOOKUP('Données projet'!$B$10,Paramètres!$A$1:$I$89,3,0)*VLOOKUP('Données projet'!$B$10,Paramètres!$A$1:$I$89,5,0)</f>
        <v>96.58402000000001</v>
      </c>
      <c r="AK20" s="14">
        <f t="shared" si="35"/>
        <v>26.146548535310259</v>
      </c>
      <c r="AL20" s="22">
        <f t="shared" si="4"/>
        <v>213.75574019899872</v>
      </c>
      <c r="AM20" s="62">
        <f t="shared" si="5"/>
        <v>491.20018464344321</v>
      </c>
      <c r="AN20" s="62">
        <f ca="1">AVERAGE(OFFSET($AM$3,0,0,'Données projet'!$E$10+1,1))-AVERAGE(OFFSET($H$3,0,0,'Données projet'!$E$10+1,1))</f>
        <v>405.09126081846171</v>
      </c>
      <c r="AO20" s="62">
        <f t="shared" si="36"/>
        <v>534.22295841722166</v>
      </c>
      <c r="AP20" s="16">
        <f>IF(ISNA(VLOOKUP(A20,'Données projet'!$A$61:$I$81,3,0)),0,VLOOKUP(A20,'Données projet'!$A$61:$I$81,3,0))</f>
        <v>1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0.16500000000000001</v>
      </c>
      <c r="AT20" s="17">
        <f>IF(ISNA(VLOOKUP(A20,'Données projet'!$A$61:$I$81,7,0)),0%,VLOOKUP(A20,'Données projet'!$A$61:$I$81,7,0))</f>
        <v>0.7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3.92</v>
      </c>
      <c r="BD20" s="13">
        <f>IF('Données projet'!$A$88&gt;35,BD19+BC20-BL19,IF(A20&lt;'Données projet'!$A$88,$BA$205^A20,IF(A20='Données projet'!$A$88,'Données projet'!$B$88,BD19+BC20-BL19)))</f>
        <v>22.596112664681932</v>
      </c>
      <c r="BE20" s="14">
        <f>BD20*VLOOKUP('Données projet'!$B$11,Paramètres!$A$1:$I$89,3,0)*VLOOKUP('Données projet'!$B$11,Paramètres!$A$1:$I$89,5,0)</f>
        <v>12.924976444198066</v>
      </c>
      <c r="BF20" s="14">
        <f t="shared" si="37"/>
        <v>4.4219252929909976</v>
      </c>
      <c r="BG20" s="22">
        <f t="shared" si="7"/>
        <v>30.212520525604287</v>
      </c>
      <c r="BH20" s="62">
        <f t="shared" si="8"/>
        <v>307.65696497004876</v>
      </c>
      <c r="BI20" s="62">
        <f ca="1">AVERAGE(OFFSET($BH$3,0,0,'Données projet'!$E$11+1,1))-AVERAGE(OFFSET($H$3,0,0,'Données projet'!$E$11+1,1))</f>
        <v>258.09881752732008</v>
      </c>
      <c r="BJ20" s="62">
        <f t="shared" si="38"/>
        <v>214.72899476643335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2.84</v>
      </c>
      <c r="N21" s="14">
        <f>IF('Données projet'!$A$36&gt;35,N20+M21-V20,IF(A21&lt;'Données projet'!$A$36,$K$205^A21,IF(A21='Données projet'!$A$36,'Données projet'!$B$36,N20+M21-V20)))</f>
        <v>21.523158855127722</v>
      </c>
      <c r="O21" s="14">
        <f>N21*VLOOKUP('Données projet'!$B$9,Paramètres!$A$1:$I$89,3,0)*VLOOKUP('Données projet'!$B$9,Paramètres!$A$1:$I$89,5,0)</f>
        <v>19.474154132119562</v>
      </c>
      <c r="P21" s="14">
        <f t="shared" si="33"/>
        <v>6.3521052651756742</v>
      </c>
      <c r="Q21" s="22">
        <f t="shared" si="2"/>
        <v>44.980735116955863</v>
      </c>
      <c r="R21" s="62">
        <f t="shared" si="0"/>
        <v>323.64740178362257</v>
      </c>
      <c r="S21" s="62">
        <f ca="1">AVERAGE(OFFSET($R$3,0,0,'Données projet'!$E$9+1,1))-AVERAGE(OFFSET($H$3,0,0,'Données projet'!$E$9+1,1))</f>
        <v>371.75294069149942</v>
      </c>
      <c r="T21" s="62">
        <f t="shared" si="34"/>
        <v>233.32640143610547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>
        <f>VLOOKUP(A21,'Données projet'!$A$61:$I$81,2,0)</f>
        <v>202.31</v>
      </c>
      <c r="AG21" s="13">
        <f>VLOOKUP(A21,'Données projet'!$A$61:$I$81,9,0)</f>
        <v>29.53</v>
      </c>
      <c r="AH21" s="13">
        <f t="array" ref="AH21">INDEX(AG:AG,MIN(IF(ISNUMBER(AG21:AG217),ROW(AG21:AG217),"")))</f>
        <v>29.53</v>
      </c>
      <c r="AI21" s="14">
        <f>IF('Données projet'!$A$62&gt;35,AI20+AH21-AQ20,IF(A21&lt;'Données projet'!$A$62,$AF$205^A21,IF(A21='Données projet'!$A$62,'Données projet'!$B$62,AI20+AH21-AQ20)))</f>
        <v>202.31</v>
      </c>
      <c r="AJ21" s="14">
        <f>AI21*VLOOKUP('Données projet'!$B$10,Paramètres!$A$1:$I$89,3,0)*VLOOKUP('Données projet'!$B$10,Paramètres!$A$1:$I$89,5,0)</f>
        <v>113.09129000000001</v>
      </c>
      <c r="AK21" s="14">
        <f t="shared" si="35"/>
        <v>30.05813764305373</v>
      </c>
      <c r="AL21" s="22">
        <f t="shared" si="4"/>
        <v>249.31858647831859</v>
      </c>
      <c r="AM21" s="62">
        <f t="shared" si="5"/>
        <v>527.98525314498534</v>
      </c>
      <c r="AN21" s="62">
        <f ca="1">AVERAGE(OFFSET($AM$3,0,0,'Données projet'!$E$10+1,1))-AVERAGE(OFFSET($H$3,0,0,'Données projet'!$E$10+1,1))</f>
        <v>405.09126081846171</v>
      </c>
      <c r="AO21" s="62">
        <f t="shared" si="36"/>
        <v>534.22295841722166</v>
      </c>
      <c r="AP21" s="16">
        <f>IF(ISNA(VLOOKUP(A21,'Données projet'!$A$61:$I$81,3,0)),0,VLOOKUP(A21,'Données projet'!$A$61:$I$81,3,0))</f>
        <v>2</v>
      </c>
      <c r="AQ21" s="16">
        <f>IF(ISNA(VLOOKUP(A21,'Données projet'!$A$61:$I$81,4,0)),0,VLOOKUP(A21,'Données projet'!$A$61:$I$81,4,0))</f>
        <v>74.819999999999993</v>
      </c>
      <c r="AR21" s="17">
        <f>IF(ISNA(VLOOKUP(A21,'Données projet'!$A$61:$I$81,5,0)),0%,VLOOKUP(A21,'Données projet'!$A$61:$I$81,5,0)*VLOOKUP('Données projet'!$B$10,Paramètres!$A$1:$I$89,7,0))</f>
        <v>5.5000000000000007E-2</v>
      </c>
      <c r="AS21" s="17">
        <f>IF(ISNA(VLOOKUP(A21,'Données projet'!$A$61:$I$81,6,0)),0%,VLOOKUP(A21,'Données projet'!$A$61:$I$81,6,0)*VLOOKUP('Données projet'!$B$10,Paramètres!$A$1:$I$89,7,0))</f>
        <v>0.22000000000000003</v>
      </c>
      <c r="AT21" s="17">
        <f>IF(ISNA(VLOOKUP(A21,'Données projet'!$A$61:$I$81,7,0)),0%,VLOOKUP(A21,'Données projet'!$A$61:$I$81,7,0))</f>
        <v>0.5</v>
      </c>
      <c r="AU21" s="23">
        <f>EXP(-LN(2)/35)*AU20+(1-EXP(-LN(2)/35))/(LN(2)/35)*AQ21*AR21*VLOOKUP('Données projet'!$B$10,Paramètres!$A$1:$I$89,3,0)*0.475*44/12</f>
        <v>3.0515504733338017</v>
      </c>
      <c r="AV21" s="23">
        <f>EXP(-LN(2)/25)*AV20+(1-EXP(-LN(2)/25))/(LN(2)/25)*Calculateur!AQ21*Calculateur!AS21*VLOOKUP('Données projet'!$B$10,Paramètres!$A$1:$I$89,3,0)*0.475*44/12</f>
        <v>12.1581414255536</v>
      </c>
      <c r="AW21" s="23">
        <f>EXP(-LN(2)/2)*AW20+(1-EXP(-LN(2)/2))/(LN(2)/2)*AQ21*AT21*VLOOKUP('Données projet'!$B$10,Paramètres!$A$1:$I$89,3,0)*0.475*44/12</f>
        <v>23.677456930009981</v>
      </c>
      <c r="AX21" s="23">
        <f t="shared" si="6"/>
        <v>38.887148828897381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3.92</v>
      </c>
      <c r="BD21" s="13">
        <f>IF('Données projet'!$A$88&gt;35,BD20+BC21-BL20,IF(A21&lt;'Données projet'!$A$88,$BA$205^A21,IF(A21='Données projet'!$A$88,'Données projet'!$B$88,BD20+BC21-BL20)))</f>
        <v>27.144558009310522</v>
      </c>
      <c r="BE21" s="14">
        <f>BD21*VLOOKUP('Données projet'!$B$11,Paramètres!$A$1:$I$89,3,0)*VLOOKUP('Données projet'!$B$11,Paramètres!$A$1:$I$89,5,0)</f>
        <v>15.526687181325618</v>
      </c>
      <c r="BF21" s="14">
        <f t="shared" si="37"/>
        <v>5.1998317976838608</v>
      </c>
      <c r="BG21" s="22">
        <f t="shared" si="7"/>
        <v>36.098687221774846</v>
      </c>
      <c r="BH21" s="62">
        <f t="shared" si="8"/>
        <v>314.76535388844155</v>
      </c>
      <c r="BI21" s="62">
        <f ca="1">AVERAGE(OFFSET($BH$3,0,0,'Données projet'!$E$11+1,1))-AVERAGE(OFFSET($H$3,0,0,'Données projet'!$E$11+1,1))</f>
        <v>258.09881752732008</v>
      </c>
      <c r="BJ21" s="62">
        <f t="shared" si="38"/>
        <v>214.72899476643335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2.84</v>
      </c>
      <c r="N22" s="14">
        <f>IF('Données projet'!$A$36&gt;35,N21+M22-V21,IF(A22&lt;'Données projet'!$A$36,$K$205^A22,IF(A22='Données projet'!$A$36,'Données projet'!$B$36,N21+M22-V21)))</f>
        <v>25.524447198315809</v>
      </c>
      <c r="O22" s="14">
        <f>N22*VLOOKUP('Données projet'!$B$9,Paramètres!$A$1:$I$89,3,0)*VLOOKUP('Données projet'!$B$9,Paramètres!$A$1:$I$89,5,0)</f>
        <v>23.094519825036141</v>
      </c>
      <c r="P22" s="14">
        <f t="shared" si="33"/>
        <v>7.3849670435644734</v>
      </c>
      <c r="Q22" s="22">
        <f t="shared" si="2"/>
        <v>53.085106296146058</v>
      </c>
      <c r="R22" s="62">
        <f t="shared" si="0"/>
        <v>332.97399518503494</v>
      </c>
      <c r="S22" s="62">
        <f ca="1">AVERAGE(OFFSET($R$3,0,0,'Données projet'!$E$9+1,1))-AVERAGE(OFFSET($H$3,0,0,'Données projet'!$E$9+1,1))</f>
        <v>371.75294069149942</v>
      </c>
      <c r="T22" s="62">
        <f t="shared" si="34"/>
        <v>233.32640143610547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>
        <f>VLOOKUP(A22,'Données projet'!$A$61:$I$81,2,0)</f>
        <v>150.35</v>
      </c>
      <c r="AG22" s="13">
        <f>VLOOKUP(A22,'Données projet'!$A$61:$I$81,9,0)</f>
        <v>22.859999999999985</v>
      </c>
      <c r="AH22" s="13">
        <f t="array" ref="AH22">INDEX(AG:AG,MIN(IF(ISNUMBER(AG22:AG218),ROW(AG22:AG218),"")))</f>
        <v>22.859999999999985</v>
      </c>
      <c r="AI22" s="14">
        <f>IF('Données projet'!$A$62&gt;35,AI21+AH22-AQ21,IF(A22&lt;'Données projet'!$A$62,$AF$205^A22,IF(A22='Données projet'!$A$62,'Données projet'!$B$62,AI21+AH22-AQ21)))</f>
        <v>150.35</v>
      </c>
      <c r="AJ22" s="14">
        <f>AI22*VLOOKUP('Données projet'!$B$10,Paramètres!$A$1:$I$89,3,0)*VLOOKUP('Données projet'!$B$10,Paramètres!$A$1:$I$89,5,0)</f>
        <v>84.045649999999995</v>
      </c>
      <c r="AK22" s="14">
        <f t="shared" si="35"/>
        <v>23.123508581543572</v>
      </c>
      <c r="AL22" s="22">
        <f t="shared" si="4"/>
        <v>186.65295119618835</v>
      </c>
      <c r="AM22" s="62">
        <f t="shared" si="5"/>
        <v>466.54184008507718</v>
      </c>
      <c r="AN22" s="62">
        <f ca="1">AVERAGE(OFFSET($AM$3,0,0,'Données projet'!$E$10+1,1))-AVERAGE(OFFSET($H$3,0,0,'Données projet'!$E$10+1,1))</f>
        <v>405.09126081846171</v>
      </c>
      <c r="AO22" s="62">
        <f t="shared" si="36"/>
        <v>534.22295841722166</v>
      </c>
      <c r="AP22" s="16">
        <f>IF(ISNA(VLOOKUP(A22,'Données projet'!$A$61:$I$81,3,0)),0,VLOOKUP(A22,'Données projet'!$A$61:$I$81,3,0))</f>
        <v>3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0.22000000000000003</v>
      </c>
      <c r="AS22" s="17">
        <f>IF(ISNA(VLOOKUP(A22,'Données projet'!$A$61:$I$81,6,0)),0%,VLOOKUP(A22,'Données projet'!$A$61:$I$81,6,0)*VLOOKUP('Données projet'!$B$10,Paramètres!$A$1:$I$89,7,0))</f>
        <v>0.16500000000000001</v>
      </c>
      <c r="AT22" s="17">
        <f>IF(ISNA(VLOOKUP(A22,'Données projet'!$A$61:$I$81,7,0)),0%,VLOOKUP(A22,'Données projet'!$A$61:$I$81,7,0))</f>
        <v>0.3</v>
      </c>
      <c r="AU22" s="23">
        <f>EXP(-LN(2)/35)*AU21+(1-EXP(-LN(2)/35))/(LN(2)/35)*AQ22*AR22*VLOOKUP('Données projet'!$B$10,Paramètres!$A$1:$I$89,3,0)*0.475*44/12</f>
        <v>2.9917114298137304</v>
      </c>
      <c r="AV22" s="23">
        <f>EXP(-LN(2)/25)*AV21+(1-EXP(-LN(2)/25))/(LN(2)/25)*Calculateur!AQ22*Calculateur!AS22*VLOOKUP('Données projet'!$B$10,Paramètres!$A$1:$I$89,3,0)*0.475*44/12</f>
        <v>11.825676408902966</v>
      </c>
      <c r="AW22" s="23">
        <f>EXP(-LN(2)/2)*AW21+(1-EXP(-LN(2)/2))/(LN(2)/2)*AQ22*AT22*VLOOKUP('Données projet'!$B$10,Paramètres!$A$1:$I$89,3,0)*0.475*44/12</f>
        <v>16.742490356462472</v>
      </c>
      <c r="AX22" s="23">
        <f t="shared" si="6"/>
        <v>31.559878195179166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3.92</v>
      </c>
      <c r="BD22" s="13">
        <f>IF('Données projet'!$A$88&gt;35,BD21+BC22-BL21,IF(A22&lt;'Données projet'!$A$88,$BA$205^A22,IF(A22='Données projet'!$A$88,'Données projet'!$B$88,BD21+BC22-BL21)))</f>
        <v>32.608574778107553</v>
      </c>
      <c r="BE22" s="14">
        <f>BD22*VLOOKUP('Données projet'!$B$11,Paramètres!$A$1:$I$89,3,0)*VLOOKUP('Données projet'!$B$11,Paramètres!$A$1:$I$89,5,0)</f>
        <v>18.652104773077522</v>
      </c>
      <c r="BF22" s="14">
        <f t="shared" si="37"/>
        <v>6.1145878622285492</v>
      </c>
      <c r="BG22" s="22">
        <f t="shared" si="7"/>
        <v>43.135323006491404</v>
      </c>
      <c r="BH22" s="62">
        <f t="shared" si="8"/>
        <v>323.02421189538029</v>
      </c>
      <c r="BI22" s="62">
        <f ca="1">AVERAGE(OFFSET($BH$3,0,0,'Données projet'!$E$11+1,1))-AVERAGE(OFFSET($H$3,0,0,'Données projet'!$E$11+1,1))</f>
        <v>258.09881752732008</v>
      </c>
      <c r="BJ22" s="62">
        <f t="shared" si="38"/>
        <v>214.72899476643335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2.84</v>
      </c>
      <c r="N23" s="14">
        <f>IF('Données projet'!$A$36&gt;35,N22+M23-V22,IF(A23&lt;'Données projet'!$A$36,$K$205^A23,IF(A23='Données projet'!$A$36,'Données projet'!$B$36,N22+M23-V22)))</f>
        <v>30.269599790850293</v>
      </c>
      <c r="O23" s="14">
        <f>N23*VLOOKUP('Données projet'!$B$9,Paramètres!$A$1:$I$89,3,0)*VLOOKUP('Données projet'!$B$9,Paramètres!$A$1:$I$89,5,0)</f>
        <v>27.387933890761346</v>
      </c>
      <c r="P23" s="14">
        <f t="shared" si="33"/>
        <v>8.5857736856986921</v>
      </c>
      <c r="Q23" s="22">
        <f t="shared" si="2"/>
        <v>62.654207362334567</v>
      </c>
      <c r="R23" s="62">
        <f t="shared" si="0"/>
        <v>343.76531847344569</v>
      </c>
      <c r="S23" s="62">
        <f ca="1">AVERAGE(OFFSET($R$3,0,0,'Données projet'!$E$9+1,1))-AVERAGE(OFFSET($H$3,0,0,'Données projet'!$E$9+1,1))</f>
        <v>371.75294069149942</v>
      </c>
      <c r="T23" s="62">
        <f t="shared" si="34"/>
        <v>233.32640143610547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27.097500000000004</v>
      </c>
      <c r="AI23" s="14">
        <f>IF('Données projet'!$A$62&gt;35,AI22+AH23-AQ22,IF(A23&lt;'Données projet'!$A$62,$AF$205^A23,IF(A23='Données projet'!$A$62,'Données projet'!$B$62,AI22+AH23-AQ22)))</f>
        <v>177.44749999999999</v>
      </c>
      <c r="AJ23" s="14">
        <f>AI23*VLOOKUP('Données projet'!$B$10,Paramètres!$A$1:$I$89,3,0)*VLOOKUP('Données projet'!$B$10,Paramètres!$A$1:$I$89,5,0)</f>
        <v>99.193152499999997</v>
      </c>
      <c r="AK23" s="14">
        <f t="shared" si="35"/>
        <v>26.769686721634265</v>
      </c>
      <c r="AL23" s="22">
        <f t="shared" si="4"/>
        <v>219.38527831101297</v>
      </c>
      <c r="AM23" s="62">
        <f t="shared" si="5"/>
        <v>500.49638942212414</v>
      </c>
      <c r="AN23" s="62">
        <f ca="1">AVERAGE(OFFSET($AM$3,0,0,'Données projet'!$E$10+1,1))-AVERAGE(OFFSET($H$3,0,0,'Données projet'!$E$10+1,1))</f>
        <v>405.09126081846171</v>
      </c>
      <c r="AO23" s="62">
        <f t="shared" si="36"/>
        <v>534.22295841722166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2.9330457934388749</v>
      </c>
      <c r="AV23" s="23">
        <f>EXP(-LN(2)/25)*AV22+(1-EXP(-LN(2)/25))/(LN(2)/25)*Calculateur!AQ23*Calculateur!AS23*VLOOKUP('Données projet'!$B$10,Paramètres!$A$1:$I$89,3,0)*0.475*44/12</f>
        <v>11.50230266561622</v>
      </c>
      <c r="AW23" s="23">
        <f>EXP(-LN(2)/2)*AW22+(1-EXP(-LN(2)/2))/(LN(2)/2)*AQ23*AT23*VLOOKUP('Données projet'!$B$10,Paramètres!$A$1:$I$89,3,0)*0.475*44/12</f>
        <v>11.838728465004992</v>
      </c>
      <c r="AX23" s="23">
        <f t="shared" si="6"/>
        <v>26.27407692406009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3.92</v>
      </c>
      <c r="BD23" s="13">
        <f>IF('Données projet'!$A$88&gt;35,BD22+BC23-BL22,IF(A23&lt;'Données projet'!$A$88,$BA$205^A23,IF(A23='Données projet'!$A$88,'Données projet'!$B$88,BD22+BC23-BL22)))</f>
        <v>39.172461334412446</v>
      </c>
      <c r="BE23" s="14">
        <f>BD23*VLOOKUP('Données projet'!$B$11,Paramètres!$A$1:$I$89,3,0)*VLOOKUP('Données projet'!$B$11,Paramètres!$A$1:$I$89,5,0)</f>
        <v>22.40664788328392</v>
      </c>
      <c r="BF23" s="14">
        <f t="shared" si="37"/>
        <v>7.1902681047426107</v>
      </c>
      <c r="BG23" s="22">
        <f t="shared" si="7"/>
        <v>51.547962012479537</v>
      </c>
      <c r="BH23" s="62">
        <f t="shared" si="8"/>
        <v>332.6590731235907</v>
      </c>
      <c r="BI23" s="62">
        <f ca="1">AVERAGE(OFFSET($BH$3,0,0,'Données projet'!$E$11+1,1))-AVERAGE(OFFSET($H$3,0,0,'Données projet'!$E$11+1,1))</f>
        <v>258.09881752732008</v>
      </c>
      <c r="BJ23" s="62">
        <f t="shared" si="38"/>
        <v>214.72899476643335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2.84</v>
      </c>
      <c r="N24" s="14">
        <f>IF('Données projet'!$A$36&gt;35,N23+M24-V23,IF(A24&lt;'Données projet'!$A$36,$K$205^A24,IF(A24='Données projet'!$A$36,'Données projet'!$B$36,N23+M24-V23)))</f>
        <v>35.896905597183761</v>
      </c>
      <c r="O24" s="14">
        <f>N24*VLOOKUP('Données projet'!$B$9,Paramètres!$A$1:$I$89,3,0)*VLOOKUP('Données projet'!$B$9,Paramètres!$A$1:$I$89,5,0)</f>
        <v>32.479520184331868</v>
      </c>
      <c r="P24" s="14">
        <f t="shared" si="33"/>
        <v>9.9818332765986337</v>
      </c>
      <c r="Q24" s="22">
        <f t="shared" si="2"/>
        <v>73.953523944453949</v>
      </c>
      <c r="R24" s="62">
        <f t="shared" si="0"/>
        <v>356.28685727778725</v>
      </c>
      <c r="S24" s="62">
        <f ca="1">AVERAGE(OFFSET($R$3,0,0,'Données projet'!$E$9+1,1))-AVERAGE(OFFSET($H$3,0,0,'Données projet'!$E$9+1,1))</f>
        <v>371.75294069149942</v>
      </c>
      <c r="T24" s="62">
        <f t="shared" si="34"/>
        <v>233.32640143610547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27.097500000000004</v>
      </c>
      <c r="AI24" s="14">
        <f>IF('Données projet'!$A$62&gt;35,AI23+AH24-AQ23,IF(A24&lt;'Données projet'!$A$62,$AF$205^A24,IF(A24='Données projet'!$A$62,'Données projet'!$B$62,AI23+AH24-AQ23)))</f>
        <v>204.54499999999999</v>
      </c>
      <c r="AJ24" s="14">
        <f>AI24*VLOOKUP('Données projet'!$B$10,Paramètres!$A$1:$I$89,3,0)*VLOOKUP('Données projet'!$B$10,Paramètres!$A$1:$I$89,5,0)</f>
        <v>114.340655</v>
      </c>
      <c r="AK24" s="14">
        <f t="shared" si="35"/>
        <v>30.351361817470281</v>
      </c>
      <c r="AL24" s="22">
        <f t="shared" si="4"/>
        <v>252.00526262376073</v>
      </c>
      <c r="AM24" s="62">
        <f t="shared" si="5"/>
        <v>534.33859595709407</v>
      </c>
      <c r="AN24" s="62">
        <f ca="1">AVERAGE(OFFSET($AM$3,0,0,'Données projet'!$E$10+1,1))-AVERAGE(OFFSET($H$3,0,0,'Données projet'!$E$10+1,1))</f>
        <v>405.09126081846171</v>
      </c>
      <c r="AO24" s="62">
        <f t="shared" si="36"/>
        <v>534.22295841722166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2.8755305544108252</v>
      </c>
      <c r="AV24" s="23">
        <f>EXP(-LN(2)/25)*AV23+(1-EXP(-LN(2)/25))/(LN(2)/25)*Calculateur!AQ24*Calculateur!AS24*VLOOKUP('Données projet'!$B$10,Paramètres!$A$1:$I$89,3,0)*0.475*44/12</f>
        <v>11.187771594345136</v>
      </c>
      <c r="AW24" s="23">
        <f>EXP(-LN(2)/2)*AW23+(1-EXP(-LN(2)/2))/(LN(2)/2)*AQ24*AT24*VLOOKUP('Données projet'!$B$10,Paramètres!$A$1:$I$89,3,0)*0.475*44/12</f>
        <v>8.3712451782312378</v>
      </c>
      <c r="AX24" s="23">
        <f t="shared" si="6"/>
        <v>22.4345473269872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3.92</v>
      </c>
      <c r="BD24" s="13">
        <f>IF('Données projet'!$A$88&gt;35,BD23+BC24-BL23,IF(A24&lt;'Données projet'!$A$88,$BA$205^A24,IF(A24='Données projet'!$A$88,'Données projet'!$B$88,BD23+BC24-BL23)))</f>
        <v>47.05761406126355</v>
      </c>
      <c r="BE24" s="14">
        <f>BD24*VLOOKUP('Données projet'!$B$11,Paramètres!$A$1:$I$89,3,0)*VLOOKUP('Données projet'!$B$11,Paramètres!$A$1:$I$89,5,0)</f>
        <v>26.91695524304275</v>
      </c>
      <c r="BF24" s="14">
        <f t="shared" si="37"/>
        <v>8.4551823578238796</v>
      </c>
      <c r="BG24" s="22">
        <f t="shared" si="7"/>
        <v>61.606472988176044</v>
      </c>
      <c r="BH24" s="62">
        <f t="shared" si="8"/>
        <v>343.93980632150937</v>
      </c>
      <c r="BI24" s="62">
        <f ca="1">AVERAGE(OFFSET($BH$3,0,0,'Données projet'!$E$11+1,1))-AVERAGE(OFFSET($H$3,0,0,'Données projet'!$E$11+1,1))</f>
        <v>258.09881752732008</v>
      </c>
      <c r="BJ24" s="62">
        <f t="shared" si="38"/>
        <v>214.72899476643335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2.84</v>
      </c>
      <c r="N25" s="14">
        <f>IF('Données projet'!$A$36&gt;35,N24+M25-V24,IF(A25&lt;'Données projet'!$A$36,$K$205^A25,IF(A25='Données projet'!$A$36,'Données projet'!$B$36,N24+M25-V24)))</f>
        <v>42.570362355521766</v>
      </c>
      <c r="O25" s="14">
        <f>N25*VLOOKUP('Données projet'!$B$9,Paramètres!$A$1:$I$89,3,0)*VLOOKUP('Données projet'!$B$9,Paramètres!$A$1:$I$89,5,0)</f>
        <v>38.517663859276098</v>
      </c>
      <c r="P25" s="14">
        <f t="shared" si="33"/>
        <v>11.604894236587789</v>
      </c>
      <c r="Q25" s="22">
        <f t="shared" si="2"/>
        <v>87.2967886836296</v>
      </c>
      <c r="R25" s="62">
        <f t="shared" si="0"/>
        <v>370.85234423918513</v>
      </c>
      <c r="S25" s="62">
        <f ca="1">AVERAGE(OFFSET($R$3,0,0,'Données projet'!$E$9+1,1))-AVERAGE(OFFSET($H$3,0,0,'Données projet'!$E$9+1,1))</f>
        <v>371.75294069149942</v>
      </c>
      <c r="T25" s="62">
        <f t="shared" si="34"/>
        <v>233.32640143610547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27.097500000000004</v>
      </c>
      <c r="AI25" s="14">
        <f>IF('Données projet'!$A$62&gt;35,AI24+AH25-AQ24,IF(A25&lt;'Données projet'!$A$62,$AF$205^A25,IF(A25='Données projet'!$A$62,'Données projet'!$B$62,AI24+AH25-AQ24)))</f>
        <v>231.64249999999998</v>
      </c>
      <c r="AJ25" s="14">
        <f>AI25*VLOOKUP('Données projet'!$B$10,Paramètres!$A$1:$I$89,3,0)*VLOOKUP('Données projet'!$B$10,Paramètres!$A$1:$I$89,5,0)</f>
        <v>129.4881575</v>
      </c>
      <c r="AK25" s="14">
        <f t="shared" si="35"/>
        <v>33.878060417139011</v>
      </c>
      <c r="AL25" s="22">
        <f t="shared" si="4"/>
        <v>284.52949620568376</v>
      </c>
      <c r="AM25" s="62">
        <f t="shared" si="5"/>
        <v>568.08505176123936</v>
      </c>
      <c r="AN25" s="62">
        <f ca="1">AVERAGE(OFFSET($AM$3,0,0,'Données projet'!$E$10+1,1))-AVERAGE(OFFSET($H$3,0,0,'Données projet'!$E$10+1,1))</f>
        <v>405.09126081846171</v>
      </c>
      <c r="AO25" s="62">
        <f t="shared" si="36"/>
        <v>534.22295841722166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2.819143154139284</v>
      </c>
      <c r="AV25" s="23">
        <f>EXP(-LN(2)/25)*AV24+(1-EXP(-LN(2)/25))/(LN(2)/25)*Calculateur!AQ25*Calculateur!AS25*VLOOKUP('Données projet'!$B$10,Paramètres!$A$1:$I$89,3,0)*0.475*44/12</f>
        <v>10.88184139175843</v>
      </c>
      <c r="AW25" s="23">
        <f>EXP(-LN(2)/2)*AW24+(1-EXP(-LN(2)/2))/(LN(2)/2)*AQ25*AT25*VLOOKUP('Données projet'!$B$10,Paramètres!$A$1:$I$89,3,0)*0.475*44/12</f>
        <v>5.9193642325024971</v>
      </c>
      <c r="AX25" s="23">
        <f t="shared" si="6"/>
        <v>19.620348778400214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3.92</v>
      </c>
      <c r="BD25" s="13">
        <f>IF('Données projet'!$A$88&gt;35,BD24+BC25-BL24,IF(A25&lt;'Données projet'!$A$88,$BA$205^A25,IF(A25='Données projet'!$A$88,'Données projet'!$B$88,BD24+BC25-BL24)))</f>
        <v>56.529994942990569</v>
      </c>
      <c r="BE25" s="14">
        <f>BD25*VLOOKUP('Données projet'!$B$11,Paramètres!$A$1:$I$89,3,0)*VLOOKUP('Données projet'!$B$11,Paramètres!$A$1:$I$89,5,0)</f>
        <v>32.335157107390607</v>
      </c>
      <c r="BF25" s="14">
        <f t="shared" si="37"/>
        <v>9.942620728829608</v>
      </c>
      <c r="BG25" s="22">
        <f t="shared" si="7"/>
        <v>73.633796398083533</v>
      </c>
      <c r="BH25" s="62">
        <f t="shared" si="8"/>
        <v>357.18935195363906</v>
      </c>
      <c r="BI25" s="62">
        <f ca="1">AVERAGE(OFFSET($BH$3,0,0,'Données projet'!$E$11+1,1))-AVERAGE(OFFSET($H$3,0,0,'Données projet'!$E$11+1,1))</f>
        <v>258.09881752732008</v>
      </c>
      <c r="BJ25" s="62">
        <f t="shared" si="38"/>
        <v>214.72899476643335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2.84</v>
      </c>
      <c r="N26" s="14">
        <f>IF('Données projet'!$A$36&gt;35,N25+M26-V25,IF(A26&lt;'Données projet'!$A$36,$K$205^A26,IF(A26='Données projet'!$A$36,'Données projet'!$B$36,N25+M26-V25)))</f>
        <v>50.484455997861858</v>
      </c>
      <c r="O26" s="14">
        <f>N26*VLOOKUP('Données projet'!$B$9,Paramètres!$A$1:$I$89,3,0)*VLOOKUP('Données projet'!$B$9,Paramètres!$A$1:$I$89,5,0)</f>
        <v>45.678335786865411</v>
      </c>
      <c r="P26" s="14">
        <f t="shared" si="33"/>
        <v>13.491867326427556</v>
      </c>
      <c r="Q26" s="22">
        <f t="shared" si="2"/>
        <v>103.0547704223186</v>
      </c>
      <c r="R26" s="62">
        <f t="shared" si="0"/>
        <v>387.83254820009637</v>
      </c>
      <c r="S26" s="62">
        <f ca="1">AVERAGE(OFFSET($R$3,0,0,'Données projet'!$E$9+1,1))-AVERAGE(OFFSET($H$3,0,0,'Données projet'!$E$9+1,1))</f>
        <v>371.75294069149942</v>
      </c>
      <c r="T26" s="62">
        <f t="shared" si="34"/>
        <v>233.32640143610547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>
        <f>VLOOKUP(A26,'Données projet'!$A$61:$I$81,2,0)</f>
        <v>258.74</v>
      </c>
      <c r="AG26" s="13">
        <f>VLOOKUP(A26,'Données projet'!$A$61:$I$81,9,0)</f>
        <v>27.097500000000004</v>
      </c>
      <c r="AH26" s="13">
        <f t="array" ref="AH26">INDEX(AG:AG,MIN(IF(ISNUMBER(AG26:AG222),ROW(AG26:AG222),"")))</f>
        <v>27.097500000000004</v>
      </c>
      <c r="AI26" s="14">
        <f>IF('Données projet'!$A$62&gt;35,AI25+AH26-AQ25,IF(A26&lt;'Données projet'!$A$62,$AF$205^A26,IF(A26='Données projet'!$A$62,'Données projet'!$B$62,AI25+AH26-AQ25)))</f>
        <v>258.74</v>
      </c>
      <c r="AJ26" s="14">
        <f>AI26*VLOOKUP('Données projet'!$B$10,Paramètres!$A$1:$I$89,3,0)*VLOOKUP('Données projet'!$B$10,Paramètres!$A$1:$I$89,5,0)</f>
        <v>144.63566</v>
      </c>
      <c r="AK26" s="14">
        <f t="shared" si="35"/>
        <v>37.356948366647352</v>
      </c>
      <c r="AL26" s="22">
        <f t="shared" si="4"/>
        <v>316.97045957191079</v>
      </c>
      <c r="AM26" s="62">
        <f t="shared" si="5"/>
        <v>601.74823734968857</v>
      </c>
      <c r="AN26" s="62">
        <f ca="1">AVERAGE(OFFSET($AM$3,0,0,'Données projet'!$E$10+1,1))-AVERAGE(OFFSET($H$3,0,0,'Données projet'!$E$10+1,1))</f>
        <v>405.09126081846171</v>
      </c>
      <c r="AO26" s="62">
        <f t="shared" si="36"/>
        <v>534.22295841722166</v>
      </c>
      <c r="AP26" s="16">
        <f>IF(ISNA(VLOOKUP(A26,'Données projet'!$A$61:$I$81,3,0)),0,VLOOKUP(A26,'Données projet'!$A$61:$I$81,3,0))</f>
        <v>4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0.27500000000000002</v>
      </c>
      <c r="AS26" s="17">
        <f>IF(ISNA(VLOOKUP(A26,'Données projet'!$A$61:$I$81,6,0)),0%,VLOOKUP(A26,'Données projet'!$A$61:$I$81,6,0)*VLOOKUP('Données projet'!$B$10,Paramètres!$A$1:$I$89,7,0))</f>
        <v>0.16500000000000001</v>
      </c>
      <c r="AT26" s="17">
        <f>IF(ISNA(VLOOKUP(A26,'Données projet'!$A$61:$I$81,7,0)),0%,VLOOKUP(A26,'Données projet'!$A$61:$I$81,7,0))</f>
        <v>0.2</v>
      </c>
      <c r="AU26" s="23">
        <f>EXP(-LN(2)/35)*AU25+(1-EXP(-LN(2)/35))/(LN(2)/35)*AQ26*AR26*VLOOKUP('Données projet'!$B$10,Paramètres!$A$1:$I$89,3,0)*0.475*44/12</f>
        <v>2.7638614763941494</v>
      </c>
      <c r="AV26" s="23">
        <f>EXP(-LN(2)/25)*AV25+(1-EXP(-LN(2)/25))/(LN(2)/25)*Calculateur!AQ26*Calculateur!AS26*VLOOKUP('Données projet'!$B$10,Paramètres!$A$1:$I$89,3,0)*0.475*44/12</f>
        <v>10.584276866649628</v>
      </c>
      <c r="AW26" s="23">
        <f>EXP(-LN(2)/2)*AW25+(1-EXP(-LN(2)/2))/(LN(2)/2)*AQ26*AT26*VLOOKUP('Données projet'!$B$10,Paramètres!$A$1:$I$89,3,0)*0.475*44/12</f>
        <v>4.1856225891156189</v>
      </c>
      <c r="AX26" s="23">
        <f t="shared" si="6"/>
        <v>17.533760932159396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3.92</v>
      </c>
      <c r="BD26" s="13">
        <f>IF('Données projet'!$A$88&gt;35,BD25+BC26-BL25,IF(A26&lt;'Données projet'!$A$88,$BA$205^A26,IF(A26='Données projet'!$A$88,'Données projet'!$B$88,BD25+BC26-BL25)))</f>
        <v>67.909102320703866</v>
      </c>
      <c r="BE26" s="14">
        <f>BD26*VLOOKUP('Données projet'!$B$11,Paramètres!$A$1:$I$89,3,0)*VLOOKUP('Données projet'!$B$11,Paramètres!$A$1:$I$89,5,0)</f>
        <v>38.844006527442609</v>
      </c>
      <c r="BF26" s="14">
        <f t="shared" si="37"/>
        <v>11.691729731396913</v>
      </c>
      <c r="BG26" s="22">
        <f t="shared" si="7"/>
        <v>88.016407317478823</v>
      </c>
      <c r="BH26" s="62">
        <f t="shared" si="8"/>
        <v>372.79418509525658</v>
      </c>
      <c r="BI26" s="62">
        <f ca="1">AVERAGE(OFFSET($BH$3,0,0,'Données projet'!$E$11+1,1))-AVERAGE(OFFSET($H$3,0,0,'Données projet'!$E$11+1,1))</f>
        <v>258.09881752732008</v>
      </c>
      <c r="BJ26" s="62">
        <f t="shared" si="38"/>
        <v>214.72899476643335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2.84</v>
      </c>
      <c r="N27" s="14">
        <f>IF('Données projet'!$A$36&gt;35,N26+M27-V26,IF(A27&lt;'Données projet'!$A$36,$K$205^A27,IF(A27='Données projet'!$A$36,'Données projet'!$B$36,N26+M27-V26)))</f>
        <v>59.869828593776646</v>
      </c>
      <c r="O27" s="14">
        <f>N27*VLOOKUP('Données projet'!$B$9,Paramètres!$A$1:$I$89,3,0)*VLOOKUP('Données projet'!$B$9,Paramètres!$A$1:$I$89,5,0)</f>
        <v>54.17022091164911</v>
      </c>
      <c r="P27" s="14">
        <f t="shared" si="33"/>
        <v>15.685665051562438</v>
      </c>
      <c r="Q27" s="22">
        <f t="shared" si="2"/>
        <v>121.66566805259345</v>
      </c>
      <c r="R27" s="62">
        <f t="shared" si="0"/>
        <v>407.66566805259345</v>
      </c>
      <c r="S27" s="62">
        <f ca="1">AVERAGE(OFFSET($R$3,0,0,'Données projet'!$E$9+1,1))-AVERAGE(OFFSET($H$3,0,0,'Données projet'!$E$9+1,1))</f>
        <v>371.75294069149942</v>
      </c>
      <c r="T27" s="62">
        <f t="shared" si="34"/>
        <v>233.32640143610547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>
        <f>VLOOKUP(A27,'Données projet'!$A$61:$I$81,2,0)</f>
        <v>289.08999999999997</v>
      </c>
      <c r="AG27" s="13">
        <f>VLOOKUP(A27,'Données projet'!$A$61:$I$81,9,0)</f>
        <v>30.349999999999966</v>
      </c>
      <c r="AH27" s="13">
        <f t="array" ref="AH27">INDEX(AG:AG,MIN(IF(ISNUMBER(AG27:AG223),ROW(AG27:AG223),"")))</f>
        <v>30.349999999999966</v>
      </c>
      <c r="AI27" s="14">
        <f>IF('Données projet'!$A$62&gt;35,AI26+AH27-AQ26,IF(A27&lt;'Données projet'!$A$62,$AF$205^A27,IF(A27='Données projet'!$A$62,'Données projet'!$B$62,AI26+AH27-AQ26)))</f>
        <v>289.08999999999997</v>
      </c>
      <c r="AJ27" s="14">
        <f>AI27*VLOOKUP('Données projet'!$B$10,Paramètres!$A$1:$I$89,3,0)*VLOOKUP('Données projet'!$B$10,Paramètres!$A$1:$I$89,5,0)</f>
        <v>161.60130999999998</v>
      </c>
      <c r="AK27" s="14">
        <f t="shared" si="35"/>
        <v>41.203485747561459</v>
      </c>
      <c r="AL27" s="22">
        <f t="shared" si="4"/>
        <v>353.21835259366952</v>
      </c>
      <c r="AM27" s="62">
        <f t="shared" si="5"/>
        <v>639.21835259366958</v>
      </c>
      <c r="AN27" s="62">
        <f ca="1">AVERAGE(OFFSET($AM$3,0,0,'Données projet'!$E$10+1,1))-AVERAGE(OFFSET($H$3,0,0,'Données projet'!$E$10+1,1))</f>
        <v>405.09126081846171</v>
      </c>
      <c r="AO27" s="62">
        <f t="shared" si="36"/>
        <v>534.22295841722166</v>
      </c>
      <c r="AP27" s="16">
        <f>IF(ISNA(VLOOKUP(A27,'Données projet'!$A$61:$I$81,3,0)),0,VLOOKUP(A27,'Données projet'!$A$61:$I$81,3,0))</f>
        <v>5</v>
      </c>
      <c r="AQ27" s="16">
        <f>IF(ISNA(VLOOKUP(A27,'Données projet'!$A$61:$I$81,4,0)),0,VLOOKUP(A27,'Données projet'!$A$61:$I$81,4,0))</f>
        <v>51.39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2.7096638386311027</v>
      </c>
      <c r="AV27" s="23">
        <f>EXP(-LN(2)/25)*AV26+(1-EXP(-LN(2)/25))/(LN(2)/25)*Calculateur!AQ27*Calculateur!AS27*VLOOKUP('Données projet'!$B$10,Paramètres!$A$1:$I$89,3,0)*0.475*44/12</f>
        <v>10.294849259128164</v>
      </c>
      <c r="AW27" s="23">
        <f>EXP(-LN(2)/2)*AW26+(1-EXP(-LN(2)/2))/(LN(2)/2)*AQ27*AT27*VLOOKUP('Données projet'!$B$10,Paramètres!$A$1:$I$89,3,0)*0.475*44/12</f>
        <v>2.9596821162512486</v>
      </c>
      <c r="AX27" s="23">
        <f t="shared" si="6"/>
        <v>15.964195214010516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3.92</v>
      </c>
      <c r="BD27" s="13">
        <f>IF('Données projet'!$A$88&gt;35,BD26+BC27-BL26,IF(A27&lt;'Données projet'!$A$88,$BA$205^A27,IF(A27='Données projet'!$A$88,'Données projet'!$B$88,BD26+BC27-BL26)))</f>
        <v>81.57874740046563</v>
      </c>
      <c r="BE27" s="14">
        <f>BD27*VLOOKUP('Données projet'!$B$11,Paramètres!$A$1:$I$89,3,0)*VLOOKUP('Données projet'!$B$11,Paramètres!$A$1:$I$89,5,0)</f>
        <v>46.663043513066341</v>
      </c>
      <c r="BF27" s="14">
        <f t="shared" si="37"/>
        <v>13.748542546299239</v>
      </c>
      <c r="BG27" s="22">
        <f t="shared" si="7"/>
        <v>105.21684572006173</v>
      </c>
      <c r="BH27" s="62">
        <f t="shared" si="8"/>
        <v>391.21684572006171</v>
      </c>
      <c r="BI27" s="62">
        <f ca="1">AVERAGE(OFFSET($BH$3,0,0,'Données projet'!$E$11+1,1))-AVERAGE(OFFSET($H$3,0,0,'Données projet'!$E$11+1,1))</f>
        <v>258.09881752732008</v>
      </c>
      <c r="BJ27" s="62">
        <f t="shared" si="38"/>
        <v>214.72899476643335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71</v>
      </c>
      <c r="L28" s="13">
        <f>VLOOKUP(A28,'Données projet'!$A$35:$I$55,9,0)</f>
        <v>2.84</v>
      </c>
      <c r="M28" s="13">
        <f t="array" ref="M28">INDEX(L:L,MIN(IF(ISNUMBER(L28:L224),ROW(L28:L224),"")))</f>
        <v>2.84</v>
      </c>
      <c r="N28" s="14">
        <f>IF('Données projet'!$A$36&gt;35,N27+M28-V27,IF(A28&lt;'Données projet'!$A$36,$K$205^A28,IF(A28='Données projet'!$A$36,'Données projet'!$B$36,N27+M28-V27)))</f>
        <v>71</v>
      </c>
      <c r="O28" s="14">
        <f>N28*VLOOKUP('Données projet'!$B$9,Paramètres!$A$1:$I$89,3,0)*VLOOKUP('Données projet'!$B$9,Paramètres!$A$1:$I$89,5,0)</f>
        <v>64.240800000000007</v>
      </c>
      <c r="P28" s="14">
        <f t="shared" si="33"/>
        <v>18.236177554745847</v>
      </c>
      <c r="Q28" s="22">
        <f t="shared" si="2"/>
        <v>143.6474025745157</v>
      </c>
      <c r="R28" s="62">
        <f t="shared" si="0"/>
        <v>430.86962479673792</v>
      </c>
      <c r="S28" s="62">
        <f ca="1">AVERAGE(OFFSET($R$3,0,0,'Données projet'!$E$9+1,1))-AVERAGE(OFFSET($H$3,0,0,'Données projet'!$E$9+1,1))</f>
        <v>371.75294069149942</v>
      </c>
      <c r="T28" s="62">
        <f t="shared" si="34"/>
        <v>233.32640143610547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8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27.550000000000011</v>
      </c>
      <c r="AI28" s="14">
        <f>IF('Données projet'!$A$62&gt;35,AI27+AH28-AQ27,IF(A28&lt;'Données projet'!$A$62,$AF$205^A28,IF(A28='Données projet'!$A$62,'Données projet'!$B$62,AI27+AH28-AQ27)))</f>
        <v>265.25</v>
      </c>
      <c r="AJ28" s="14">
        <f>AI28*VLOOKUP('Données projet'!$B$10,Paramètres!$A$1:$I$89,3,0)*VLOOKUP('Données projet'!$B$10,Paramètres!$A$1:$I$89,5,0)</f>
        <v>148.27475000000001</v>
      </c>
      <c r="AK28" s="14">
        <f t="shared" si="35"/>
        <v>38.186252787335206</v>
      </c>
      <c r="AL28" s="22">
        <f t="shared" si="4"/>
        <v>324.75291318794217</v>
      </c>
      <c r="AM28" s="62">
        <f t="shared" si="5"/>
        <v>611.9751354101644</v>
      </c>
      <c r="AN28" s="62">
        <f ca="1">AVERAGE(OFFSET($AM$3,0,0,'Données projet'!$E$10+1,1))-AVERAGE(OFFSET($H$3,0,0,'Données projet'!$E$10+1,1))</f>
        <v>405.09126081846171</v>
      </c>
      <c r="AO28" s="62">
        <f t="shared" si="36"/>
        <v>534.22295841722166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2.6565289834872945</v>
      </c>
      <c r="AV28" s="23">
        <f>EXP(-LN(2)/25)*AV27+(1-EXP(-LN(2)/25))/(LN(2)/25)*Calculateur!AQ28*Calculateur!AS28*VLOOKUP('Données projet'!$B$10,Paramètres!$A$1:$I$89,3,0)*0.475*44/12</f>
        <v>10.013336064754711</v>
      </c>
      <c r="AW28" s="23">
        <f>EXP(-LN(2)/2)*AW27+(1-EXP(-LN(2)/2))/(LN(2)/2)*AQ28*AT28*VLOOKUP('Données projet'!$B$10,Paramètres!$A$1:$I$89,3,0)*0.475*44/12</f>
        <v>2.0928112945578095</v>
      </c>
      <c r="AX28" s="23">
        <f t="shared" si="6"/>
        <v>14.762676342799814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98</v>
      </c>
      <c r="BB28" s="13">
        <f>VLOOKUP(A28,'Données projet'!$A$87:$I$107,9,0)</f>
        <v>3.92</v>
      </c>
      <c r="BC28" s="13">
        <f t="array" ref="BC28">INDEX(BB:BB,MIN(IF(ISNUMBER(BB28:BB224),ROW(BB28:BB224),"")))</f>
        <v>3.92</v>
      </c>
      <c r="BD28" s="13">
        <f>IF('Données projet'!$A$88&gt;35,BD27+BC28-BL27,IF(A28&lt;'Données projet'!$A$88,$BA$205^A28,IF(A28='Données projet'!$A$88,'Données projet'!$B$88,BD27+BC28-BL27)))</f>
        <v>98</v>
      </c>
      <c r="BE28" s="14">
        <f>BD28*VLOOKUP('Données projet'!$B$11,Paramètres!$A$1:$I$89,3,0)*VLOOKUP('Données projet'!$B$11,Paramètres!$A$1:$I$89,5,0)</f>
        <v>56.055999999999997</v>
      </c>
      <c r="BF28" s="14">
        <f t="shared" si="37"/>
        <v>16.167190526120397</v>
      </c>
      <c r="BG28" s="22">
        <f t="shared" si="7"/>
        <v>125.78872349965967</v>
      </c>
      <c r="BH28" s="62">
        <f t="shared" si="8"/>
        <v>413.01094572188191</v>
      </c>
      <c r="BI28" s="62">
        <f ca="1">AVERAGE(OFFSET($BH$3,0,0,'Données projet'!$E$11+1,1))-AVERAGE(OFFSET($H$3,0,0,'Données projet'!$E$11+1,1))</f>
        <v>258.09881752732008</v>
      </c>
      <c r="BJ28" s="62">
        <f t="shared" si="38"/>
        <v>214.72899476643335</v>
      </c>
      <c r="BK28" s="16">
        <f>IF(ISNA(VLOOKUP(A28,'Données projet'!$A$87:$I$107,3,0)),0,VLOOKUP(A28,'Données projet'!$A$87:$I$107,3,0))</f>
        <v>1</v>
      </c>
      <c r="BL28" s="16">
        <f>IF(ISNA(VLOOKUP(A28,'Données projet'!$A$87:$I$107,4,0)),0,VLOOKUP(A28,'Données projet'!$A$87:$I$107,4,0))</f>
        <v>12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1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7.7716424902216614</v>
      </c>
      <c r="BS28" s="24">
        <f t="shared" si="9"/>
        <v>7.7716424902216614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7</v>
      </c>
      <c r="N29" s="14">
        <f>IF('Données projet'!$A$36&gt;35,N28+M29-V28,IF(A29&lt;'Données projet'!$A$36,$K$205^A29,IF(A29='Données projet'!$A$36,'Données projet'!$B$36,N28+M29-V28)))</f>
        <v>70</v>
      </c>
      <c r="O29" s="14">
        <f>N29*VLOOKUP('Données projet'!$B$9,Paramètres!$A$1:$I$89,3,0)*VLOOKUP('Données projet'!$B$9,Paramètres!$A$1:$I$89,5,0)</f>
        <v>63.335999999999991</v>
      </c>
      <c r="P29" s="14">
        <f t="shared" si="33"/>
        <v>18.009040022946227</v>
      </c>
      <c r="Q29" s="22">
        <f t="shared" si="2"/>
        <v>141.67594470663133</v>
      </c>
      <c r="R29" s="62">
        <f t="shared" si="0"/>
        <v>430.12038915107576</v>
      </c>
      <c r="S29" s="62">
        <f ca="1">AVERAGE(OFFSET($R$3,0,0,'Données projet'!$E$9+1,1))-AVERAGE(OFFSET($H$3,0,0,'Données projet'!$E$9+1,1))</f>
        <v>371.75294069149942</v>
      </c>
      <c r="T29" s="62">
        <f t="shared" si="34"/>
        <v>233.32640143610547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>
        <f>VLOOKUP(A29,'Données projet'!$A$61:$I$81,2,0)</f>
        <v>292.8</v>
      </c>
      <c r="AG29" s="13">
        <f>VLOOKUP(A29,'Données projet'!$A$61:$I$81,9,0)</f>
        <v>27.550000000000011</v>
      </c>
      <c r="AH29" s="13">
        <f t="array" ref="AH29">INDEX(AG:AG,MIN(IF(ISNUMBER(AG29:AG225),ROW(AG29:AG225),"")))</f>
        <v>27.550000000000011</v>
      </c>
      <c r="AI29" s="14">
        <f>IF('Données projet'!$A$62&gt;35,AI28+AH29-AQ28,IF(A29&lt;'Données projet'!$A$62,$AF$205^A29,IF(A29='Données projet'!$A$62,'Données projet'!$B$62,AI28+AH29-AQ28)))</f>
        <v>292.8</v>
      </c>
      <c r="AJ29" s="14">
        <f>AI29*VLOOKUP('Données projet'!$B$10,Paramètres!$A$1:$I$89,3,0)*VLOOKUP('Données projet'!$B$10,Paramètres!$A$1:$I$89,5,0)</f>
        <v>163.67519999999999</v>
      </c>
      <c r="AK29" s="14">
        <f t="shared" si="35"/>
        <v>41.670368197291587</v>
      </c>
      <c r="AL29" s="22">
        <f t="shared" si="4"/>
        <v>357.64353127694949</v>
      </c>
      <c r="AM29" s="62">
        <f t="shared" si="5"/>
        <v>646.08797572139395</v>
      </c>
      <c r="AN29" s="62">
        <f ca="1">AVERAGE(OFFSET($AM$3,0,0,'Données projet'!$E$10+1,1))-AVERAGE(OFFSET($H$3,0,0,'Données projet'!$E$10+1,1))</f>
        <v>405.09126081846171</v>
      </c>
      <c r="AO29" s="62">
        <f t="shared" si="36"/>
        <v>534.22295841722166</v>
      </c>
      <c r="AP29" s="16">
        <f>IF(ISNA(VLOOKUP(A29,'Données projet'!$A$61:$I$81,3,0)),0,VLOOKUP(A29,'Données projet'!$A$61:$I$81,3,0))</f>
        <v>6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2.604436070443795</v>
      </c>
      <c r="AV29" s="23">
        <f>EXP(-LN(2)/25)*AV28+(1-EXP(-LN(2)/25))/(LN(2)/25)*Calculateur!AQ29*Calculateur!AS29*VLOOKUP('Données projet'!$B$10,Paramètres!$A$1:$I$89,3,0)*0.475*44/12</f>
        <v>9.7395208634855361</v>
      </c>
      <c r="AW29" s="23">
        <f>EXP(-LN(2)/2)*AW28+(1-EXP(-LN(2)/2))/(LN(2)/2)*AQ29*AT29*VLOOKUP('Données projet'!$B$10,Paramètres!$A$1:$I$89,3,0)*0.475*44/12</f>
        <v>1.4798410581256243</v>
      </c>
      <c r="AX29" s="23">
        <f t="shared" si="6"/>
        <v>13.823797992054955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10.8</v>
      </c>
      <c r="BD29" s="13">
        <f>IF('Données projet'!$A$88&gt;35,BD28+BC29-BL28,IF(A29&lt;'Données projet'!$A$88,$BA$205^A29,IF(A29='Données projet'!$A$88,'Données projet'!$B$88,BD28+BC29-BL28)))</f>
        <v>96.8</v>
      </c>
      <c r="BE29" s="14">
        <f>BD29*VLOOKUP('Données projet'!$B$11,Paramètres!$A$1:$I$89,3,0)*VLOOKUP('Données projet'!$B$11,Paramètres!$A$1:$I$89,5,0)</f>
        <v>55.369599999999998</v>
      </c>
      <c r="BF29" s="14">
        <f t="shared" si="37"/>
        <v>15.992142892748898</v>
      </c>
      <c r="BG29" s="22">
        <f t="shared" si="7"/>
        <v>124.28836887153766</v>
      </c>
      <c r="BH29" s="62">
        <f t="shared" si="8"/>
        <v>412.73281331598213</v>
      </c>
      <c r="BI29" s="62">
        <f ca="1">AVERAGE(OFFSET($BH$3,0,0,'Données projet'!$E$11+1,1))-AVERAGE(OFFSET($H$3,0,0,'Données projet'!$E$11+1,1))</f>
        <v>258.09881752732008</v>
      </c>
      <c r="BJ29" s="62">
        <f t="shared" si="38"/>
        <v>214.72899476643335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5.4953811057932445</v>
      </c>
      <c r="BS29" s="24">
        <f t="shared" si="9"/>
        <v>5.4953811057932445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7</v>
      </c>
      <c r="N30" s="14">
        <f>IF('Données projet'!$A$36&gt;35,N29+M30-V29,IF(A30&lt;'Données projet'!$A$36,$K$205^A30,IF(A30='Données projet'!$A$36,'Données projet'!$B$36,N29+M30-V29)))</f>
        <v>77</v>
      </c>
      <c r="O30" s="14">
        <f>N30*VLOOKUP('Données projet'!$B$9,Paramètres!$A$1:$I$89,3,0)*VLOOKUP('Données projet'!$B$9,Paramètres!$A$1:$I$89,5,0)</f>
        <v>69.669600000000003</v>
      </c>
      <c r="P30" s="14">
        <f t="shared" si="33"/>
        <v>19.591385027476957</v>
      </c>
      <c r="Q30" s="22">
        <f t="shared" si="2"/>
        <v>155.46288225618903</v>
      </c>
      <c r="R30" s="62">
        <f t="shared" si="0"/>
        <v>445.12954892285575</v>
      </c>
      <c r="S30" s="62">
        <f ca="1">AVERAGE(OFFSET($R$3,0,0,'Données projet'!$E$9+1,1))-AVERAGE(OFFSET($H$3,0,0,'Données projet'!$E$9+1,1))</f>
        <v>371.75294069149942</v>
      </c>
      <c r="T30" s="62">
        <f t="shared" si="34"/>
        <v>233.32640143610547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28.629999999999995</v>
      </c>
      <c r="AI30" s="14">
        <f>IF('Données projet'!$A$62&gt;35,AI29+AH30-AQ29,IF(A30&lt;'Données projet'!$A$62,$AF$205^A30,IF(A30='Données projet'!$A$62,'Données projet'!$B$62,AI29+AH30-AQ29)))</f>
        <v>321.43</v>
      </c>
      <c r="AJ30" s="14">
        <f>AI30*VLOOKUP('Données projet'!$B$10,Paramètres!$A$1:$I$89,3,0)*VLOOKUP('Données projet'!$B$10,Paramètres!$A$1:$I$89,5,0)</f>
        <v>179.67937000000001</v>
      </c>
      <c r="AK30" s="14">
        <f t="shared" si="35"/>
        <v>45.250844498664819</v>
      </c>
      <c r="AL30" s="22">
        <f t="shared" si="4"/>
        <v>391.75345691850794</v>
      </c>
      <c r="AM30" s="62">
        <f t="shared" si="5"/>
        <v>681.42012358517468</v>
      </c>
      <c r="AN30" s="62">
        <f ca="1">AVERAGE(OFFSET($AM$3,0,0,'Données projet'!$E$10+1,1))-AVERAGE(OFFSET($H$3,0,0,'Données projet'!$E$10+1,1))</f>
        <v>405.09126081846171</v>
      </c>
      <c r="AO30" s="62">
        <f t="shared" si="36"/>
        <v>534.22295841722166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2.5533646676515391</v>
      </c>
      <c r="AV30" s="23">
        <f>EXP(-LN(2)/25)*AV29+(1-EXP(-LN(2)/25))/(LN(2)/25)*Calculateur!AQ30*Calculateur!AS30*VLOOKUP('Données projet'!$B$10,Paramètres!$A$1:$I$89,3,0)*0.475*44/12</f>
        <v>9.4731931532943818</v>
      </c>
      <c r="AW30" s="23">
        <f>EXP(-LN(2)/2)*AW29+(1-EXP(-LN(2)/2))/(LN(2)/2)*AQ30*AT30*VLOOKUP('Données projet'!$B$10,Paramètres!$A$1:$I$89,3,0)*0.475*44/12</f>
        <v>1.0464056472789047</v>
      </c>
      <c r="AX30" s="23">
        <f t="shared" si="6"/>
        <v>13.072963468224826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10.8</v>
      </c>
      <c r="BD30" s="13">
        <f>IF('Données projet'!$A$88&gt;35,BD29+BC30-BL29,IF(A30&lt;'Données projet'!$A$88,$BA$205^A30,IF(A30='Données projet'!$A$88,'Données projet'!$B$88,BD29+BC30-BL29)))</f>
        <v>107.6</v>
      </c>
      <c r="BE30" s="14">
        <f>BD30*VLOOKUP('Données projet'!$B$11,Paramètres!$A$1:$I$89,3,0)*VLOOKUP('Données projet'!$B$11,Paramètres!$A$1:$I$89,5,0)</f>
        <v>61.547200000000004</v>
      </c>
      <c r="BF30" s="14">
        <f t="shared" si="37"/>
        <v>17.558868196136149</v>
      </c>
      <c r="BG30" s="22">
        <f t="shared" si="7"/>
        <v>137.77640210827045</v>
      </c>
      <c r="BH30" s="62">
        <f t="shared" si="8"/>
        <v>427.44306877493716</v>
      </c>
      <c r="BI30" s="62">
        <f ca="1">AVERAGE(OFFSET($BH$3,0,0,'Données projet'!$E$11+1,1))-AVERAGE(OFFSET($H$3,0,0,'Données projet'!$E$11+1,1))</f>
        <v>258.09881752732008</v>
      </c>
      <c r="BJ30" s="62">
        <f t="shared" si="38"/>
        <v>214.72899476643335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3.8858212451108316</v>
      </c>
      <c r="BS30" s="24">
        <f t="shared" si="9"/>
        <v>3.8858212451108316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7</v>
      </c>
      <c r="N31" s="14">
        <f>IF('Données projet'!$A$36&gt;35,N30+M31-V30,IF(A31&lt;'Données projet'!$A$36,$K$205^A31,IF(A31='Données projet'!$A$36,'Données projet'!$B$36,N30+M31-V30)))</f>
        <v>84</v>
      </c>
      <c r="O31" s="14">
        <f>N31*VLOOKUP('Données projet'!$B$9,Paramètres!$A$1:$I$89,3,0)*VLOOKUP('Données projet'!$B$9,Paramètres!$A$1:$I$89,5,0)</f>
        <v>76.003200000000007</v>
      </c>
      <c r="P31" s="14">
        <f t="shared" si="33"/>
        <v>21.157049992000456</v>
      </c>
      <c r="Q31" s="22">
        <f t="shared" si="2"/>
        <v>169.22076873606747</v>
      </c>
      <c r="R31" s="62">
        <f t="shared" si="0"/>
        <v>460.1096576249563</v>
      </c>
      <c r="S31" s="62">
        <f ca="1">AVERAGE(OFFSET($R$3,0,0,'Données projet'!$E$9+1,1))-AVERAGE(OFFSET($H$3,0,0,'Données projet'!$E$9+1,1))</f>
        <v>371.75294069149942</v>
      </c>
      <c r="T31" s="62">
        <f t="shared" si="34"/>
        <v>233.32640143610547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>
        <f>VLOOKUP(A31,'Données projet'!$A$61:$I$81,2,0)</f>
        <v>350.06</v>
      </c>
      <c r="AG31" s="13">
        <f>VLOOKUP(A31,'Données projet'!$A$61:$I$81,9,0)</f>
        <v>28.629999999999995</v>
      </c>
      <c r="AH31" s="13">
        <f t="array" ref="AH31">INDEX(AG:AG,MIN(IF(ISNUMBER(AG31:AG227),ROW(AG31:AG227),"")))</f>
        <v>28.629999999999995</v>
      </c>
      <c r="AI31" s="14">
        <f>IF('Données projet'!$A$62&gt;35,AI30+AH31-AQ30,IF(A31&lt;'Données projet'!$A$62,$AF$205^A31,IF(A31='Données projet'!$A$62,'Données projet'!$B$62,AI30+AH31-AQ30)))</f>
        <v>350.06</v>
      </c>
      <c r="AJ31" s="14">
        <f>AI31*VLOOKUP('Données projet'!$B$10,Paramètres!$A$1:$I$89,3,0)*VLOOKUP('Données projet'!$B$10,Paramètres!$A$1:$I$89,5,0)</f>
        <v>195.68354000000002</v>
      </c>
      <c r="AK31" s="14">
        <f t="shared" si="35"/>
        <v>48.79433922175842</v>
      </c>
      <c r="AL31" s="22">
        <f t="shared" si="4"/>
        <v>425.79897297789597</v>
      </c>
      <c r="AM31" s="62">
        <f t="shared" si="5"/>
        <v>716.68786186678483</v>
      </c>
      <c r="AN31" s="62">
        <f ca="1">AVERAGE(OFFSET($AM$3,0,0,'Données projet'!$E$10+1,1))-AVERAGE(OFFSET($H$3,0,0,'Données projet'!$E$10+1,1))</f>
        <v>405.09126081846171</v>
      </c>
      <c r="AO31" s="62">
        <f t="shared" si="36"/>
        <v>534.22295841722166</v>
      </c>
      <c r="AP31" s="16">
        <f>IF(ISNA(VLOOKUP(A31,'Données projet'!$A$61:$I$81,3,0)),0,VLOOKUP(A31,'Données projet'!$A$61:$I$81,3,0))</f>
        <v>7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2.5032947439175595</v>
      </c>
      <c r="AV31" s="23">
        <f>EXP(-LN(2)/25)*AV30+(1-EXP(-LN(2)/25))/(LN(2)/25)*Calculateur!AQ31*Calculateur!AS31*VLOOKUP('Données projet'!$B$10,Paramètres!$A$1:$I$89,3,0)*0.475*44/12</f>
        <v>9.2141481883439695</v>
      </c>
      <c r="AW31" s="23">
        <f>EXP(-LN(2)/2)*AW30+(1-EXP(-LN(2)/2))/(LN(2)/2)*AQ31*AT31*VLOOKUP('Données projet'!$B$10,Paramètres!$A$1:$I$89,3,0)*0.475*44/12</f>
        <v>0.73992052906281214</v>
      </c>
      <c r="AX31" s="23">
        <f t="shared" si="6"/>
        <v>12.457363461324341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10.8</v>
      </c>
      <c r="BD31" s="13">
        <f>IF('Données projet'!$A$88&gt;35,BD30+BC31-BL30,IF(A31&lt;'Données projet'!$A$88,$BA$205^A31,IF(A31='Données projet'!$A$88,'Données projet'!$B$88,BD30+BC31-BL30)))</f>
        <v>118.39999999999999</v>
      </c>
      <c r="BE31" s="14">
        <f>BD31*VLOOKUP('Données projet'!$B$11,Paramètres!$A$1:$I$89,3,0)*VLOOKUP('Données projet'!$B$11,Paramètres!$A$1:$I$89,5,0)</f>
        <v>67.724800000000002</v>
      </c>
      <c r="BF31" s="14">
        <f t="shared" si="37"/>
        <v>19.107363253775425</v>
      </c>
      <c r="BG31" s="22">
        <f t="shared" si="7"/>
        <v>151.23268433365888</v>
      </c>
      <c r="BH31" s="62">
        <f t="shared" si="8"/>
        <v>442.12157322254774</v>
      </c>
      <c r="BI31" s="62">
        <f ca="1">AVERAGE(OFFSET($BH$3,0,0,'Données projet'!$E$11+1,1))-AVERAGE(OFFSET($H$3,0,0,'Données projet'!$E$11+1,1))</f>
        <v>258.09881752732008</v>
      </c>
      <c r="BJ31" s="62">
        <f t="shared" si="38"/>
        <v>214.72899476643335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2.7476905528966227</v>
      </c>
      <c r="BS31" s="24">
        <f t="shared" si="9"/>
        <v>2.7476905528966227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7</v>
      </c>
      <c r="N32" s="14">
        <f>IF('Données projet'!$A$36&gt;35,N31+M32-V31,IF(A32&lt;'Données projet'!$A$36,$K$205^A32,IF(A32='Données projet'!$A$36,'Données projet'!$B$36,N31+M32-V31)))</f>
        <v>91</v>
      </c>
      <c r="O32" s="14">
        <f>N32*VLOOKUP('Données projet'!$B$9,Paramètres!$A$1:$I$89,3,0)*VLOOKUP('Données projet'!$B$9,Paramètres!$A$1:$I$89,5,0)</f>
        <v>82.336799999999997</v>
      </c>
      <c r="P32" s="14">
        <f t="shared" si="33"/>
        <v>22.707582950885364</v>
      </c>
      <c r="Q32" s="22">
        <f t="shared" si="2"/>
        <v>182.95230030612535</v>
      </c>
      <c r="R32" s="62">
        <f t="shared" si="0"/>
        <v>475.06341141723647</v>
      </c>
      <c r="S32" s="62">
        <f ca="1">AVERAGE(OFFSET($R$3,0,0,'Données projet'!$E$9+1,1))-AVERAGE(OFFSET($H$3,0,0,'Données projet'!$E$9+1,1))</f>
        <v>371.75294069149942</v>
      </c>
      <c r="T32" s="62">
        <f t="shared" si="34"/>
        <v>233.32640143610547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30.25</v>
      </c>
      <c r="AI32" s="14">
        <f>IF('Données projet'!$A$62&gt;35,AI31+AH32-AQ31,IF(A32&lt;'Données projet'!$A$62,$AF$205^A32,IF(A32='Données projet'!$A$62,'Données projet'!$B$62,AI31+AH32-AQ31)))</f>
        <v>380.31</v>
      </c>
      <c r="AJ32" s="14">
        <f>AI32*VLOOKUP('Données projet'!$B$10,Paramètres!$A$1:$I$89,3,0)*VLOOKUP('Données projet'!$B$10,Paramètres!$A$1:$I$89,5,0)</f>
        <v>212.59329</v>
      </c>
      <c r="AK32" s="14">
        <f t="shared" si="35"/>
        <v>52.501879375758435</v>
      </c>
      <c r="AL32" s="22">
        <f t="shared" si="4"/>
        <v>461.70741999611255</v>
      </c>
      <c r="AM32" s="62">
        <f t="shared" si="5"/>
        <v>753.81853110722363</v>
      </c>
      <c r="AN32" s="62">
        <f ca="1">AVERAGE(OFFSET($AM$3,0,0,'Données projet'!$E$10+1,1))-AVERAGE(OFFSET($H$3,0,0,'Données projet'!$E$10+1,1))</f>
        <v>405.09126081846171</v>
      </c>
      <c r="AO32" s="62">
        <f t="shared" si="36"/>
        <v>534.22295841722166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2.454206660848365</v>
      </c>
      <c r="AV32" s="23">
        <f>EXP(-LN(2)/25)*AV31+(1-EXP(-LN(2)/25))/(LN(2)/25)*Calculateur!AQ32*Calculateur!AS32*VLOOKUP('Données projet'!$B$10,Paramètres!$A$1:$I$89,3,0)*0.475*44/12</f>
        <v>8.9621868215827103</v>
      </c>
      <c r="AW32" s="23">
        <f>EXP(-LN(2)/2)*AW31+(1-EXP(-LN(2)/2))/(LN(2)/2)*AQ32*AT32*VLOOKUP('Données projet'!$B$10,Paramètres!$A$1:$I$89,3,0)*0.475*44/12</f>
        <v>0.52320282363945236</v>
      </c>
      <c r="AX32" s="23">
        <f t="shared" si="6"/>
        <v>11.939596306070529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10.8</v>
      </c>
      <c r="BD32" s="13">
        <f>IF('Données projet'!$A$88&gt;35,BD31+BC32-BL31,IF(A32&lt;'Données projet'!$A$88,$BA$205^A32,IF(A32='Données projet'!$A$88,'Données projet'!$B$88,BD31+BC32-BL31)))</f>
        <v>129.19999999999999</v>
      </c>
      <c r="BE32" s="14">
        <f>BD32*VLOOKUP('Données projet'!$B$11,Paramètres!$A$1:$I$89,3,0)*VLOOKUP('Données projet'!$B$11,Paramètres!$A$1:$I$89,5,0)</f>
        <v>73.902399999999986</v>
      </c>
      <c r="BF32" s="14">
        <f t="shared" si="37"/>
        <v>20.639480080340533</v>
      </c>
      <c r="BG32" s="22">
        <f t="shared" si="7"/>
        <v>164.66044113992641</v>
      </c>
      <c r="BH32" s="62">
        <f t="shared" si="8"/>
        <v>456.77155225103752</v>
      </c>
      <c r="BI32" s="62">
        <f ca="1">AVERAGE(OFFSET($BH$3,0,0,'Données projet'!$E$11+1,1))-AVERAGE(OFFSET($H$3,0,0,'Données projet'!$E$11+1,1))</f>
        <v>258.09881752732008</v>
      </c>
      <c r="BJ32" s="62">
        <f t="shared" si="38"/>
        <v>214.72899476643335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1.942910622555416</v>
      </c>
      <c r="BS32" s="24">
        <f t="shared" si="9"/>
        <v>1.942910622555416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98</v>
      </c>
      <c r="L33" s="13">
        <f>VLOOKUP(A33,'Données projet'!$A$35:$I$55,9,0)</f>
        <v>7</v>
      </c>
      <c r="M33" s="13">
        <f t="array" ref="M33">INDEX(L:L,MIN(IF(ISNUMBER(L33:L229),ROW(L33:L229),"")))</f>
        <v>7</v>
      </c>
      <c r="N33" s="14">
        <f>IF('Données projet'!$A$36&gt;35,N32+M33-V32,IF(A33&lt;'Données projet'!$A$36,$K$205^A33,IF(A33='Données projet'!$A$36,'Données projet'!$B$36,N32+M33-V32)))</f>
        <v>98</v>
      </c>
      <c r="O33" s="14">
        <f>N33*VLOOKUP('Données projet'!$B$9,Paramètres!$A$1:$I$89,3,0)*VLOOKUP('Données projet'!$B$9,Paramètres!$A$1:$I$89,5,0)</f>
        <v>88.670400000000001</v>
      </c>
      <c r="P33" s="14">
        <f t="shared" si="33"/>
        <v>24.244280250395512</v>
      </c>
      <c r="Q33" s="22">
        <f t="shared" si="2"/>
        <v>196.65973476943884</v>
      </c>
      <c r="R33" s="62">
        <f t="shared" si="0"/>
        <v>489.99306810277216</v>
      </c>
      <c r="S33" s="62">
        <f ca="1">AVERAGE(OFFSET($R$3,0,0,'Données projet'!$E$9+1,1))-AVERAGE(OFFSET($H$3,0,0,'Données projet'!$E$9+1,1))</f>
        <v>371.75294069149942</v>
      </c>
      <c r="T33" s="62">
        <f t="shared" si="34"/>
        <v>233.32640143610547</v>
      </c>
      <c r="U33" s="16">
        <f>IF(ISNA(VLOOKUP(A33,'Données projet'!$A$35:$I$55,3,0)),0,VLOOKUP(A33,'Données projet'!$A$35:$I$55,3,0))</f>
        <v>2</v>
      </c>
      <c r="V33" s="16">
        <f>IF(ISNA(VLOOKUP(A33,'Données projet'!$A$35:$I$55,4,0)),0,VLOOKUP(A33,'Données projet'!$A$35:$I$55,4,0))</f>
        <v>21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410.56</v>
      </c>
      <c r="AG33" s="13">
        <f>VLOOKUP(A33,'Données projet'!$A$61:$I$81,9,0)</f>
        <v>30.25</v>
      </c>
      <c r="AH33" s="13">
        <f t="array" ref="AH33">INDEX(AG:AG,MIN(IF(ISNUMBER(AG33:AG229),ROW(AG33:AG229),"")))</f>
        <v>30.25</v>
      </c>
      <c r="AI33" s="14">
        <f>IF('Données projet'!$A$62&gt;35,AI32+AH33-AQ32,IF(A33&lt;'Données projet'!$A$62,$AF$205^A33,IF(A33='Données projet'!$A$62,'Données projet'!$B$62,AI32+AH33-AQ32)))</f>
        <v>410.56</v>
      </c>
      <c r="AJ33" s="14">
        <f>AI33*VLOOKUP('Données projet'!$B$10,Paramètres!$A$1:$I$89,3,0)*VLOOKUP('Données projet'!$B$10,Paramètres!$A$1:$I$89,5,0)</f>
        <v>229.50304</v>
      </c>
      <c r="AK33" s="14">
        <f t="shared" si="35"/>
        <v>56.175213636682351</v>
      </c>
      <c r="AL33" s="22">
        <f t="shared" si="4"/>
        <v>497.55629175055515</v>
      </c>
      <c r="AM33" s="62">
        <f t="shared" si="5"/>
        <v>790.8896250838884</v>
      </c>
      <c r="AN33" s="62">
        <f ca="1">AVERAGE(OFFSET($AM$3,0,0,'Données projet'!$E$10+1,1))-AVERAGE(OFFSET($H$3,0,0,'Données projet'!$E$10+1,1))</f>
        <v>405.09126081846171</v>
      </c>
      <c r="AO33" s="62">
        <f t="shared" si="36"/>
        <v>534.22295841722166</v>
      </c>
      <c r="AP33" s="16">
        <f>IF(ISNA(VLOOKUP(A33,'Données projet'!$A$61:$I$81,3,0)),0,VLOOKUP(A33,'Données projet'!$A$61:$I$81,3,0))</f>
        <v>8</v>
      </c>
      <c r="AQ33" s="16">
        <f>IF(ISNA(VLOOKUP(A33,'Données projet'!$A$61:$I$81,4,0)),0,VLOOKUP(A33,'Données projet'!$A$61:$I$81,4,0))</f>
        <v>80.97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2.4060811651473832</v>
      </c>
      <c r="AV33" s="23">
        <f>EXP(-LN(2)/25)*AV32+(1-EXP(-LN(2)/25))/(LN(2)/25)*Calculateur!AQ33*Calculateur!AS33*VLOOKUP('Données projet'!$B$10,Paramètres!$A$1:$I$89,3,0)*0.475*44/12</f>
        <v>8.7171153516456101</v>
      </c>
      <c r="AW33" s="23">
        <f>EXP(-LN(2)/2)*AW32+(1-EXP(-LN(2)/2))/(LN(2)/2)*AQ33*AT33*VLOOKUP('Données projet'!$B$10,Paramètres!$A$1:$I$89,3,0)*0.475*44/12</f>
        <v>0.36996026453140607</v>
      </c>
      <c r="AX33" s="23">
        <f t="shared" si="6"/>
        <v>11.4931567813244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140</v>
      </c>
      <c r="BB33" s="13">
        <f>VLOOKUP(A33,'Données projet'!$A$87:$I$107,9,0)</f>
        <v>10.8</v>
      </c>
      <c r="BC33" s="13">
        <f t="array" ref="BC33">INDEX(BB:BB,MIN(IF(ISNUMBER(BB33:BB229),ROW(BB33:BB229),"")))</f>
        <v>10.8</v>
      </c>
      <c r="BD33" s="13">
        <f>IF('Données projet'!$A$88&gt;35,BD32+BC33-BL32,IF(A33&lt;'Données projet'!$A$88,$BA$205^A33,IF(A33='Données projet'!$A$88,'Données projet'!$B$88,BD32+BC33-BL32)))</f>
        <v>140</v>
      </c>
      <c r="BE33" s="14">
        <f>BD33*VLOOKUP('Données projet'!$B$11,Paramètres!$A$1:$I$89,3,0)*VLOOKUP('Données projet'!$B$11,Paramètres!$A$1:$I$89,5,0)</f>
        <v>80.08</v>
      </c>
      <c r="BF33" s="14">
        <f t="shared" si="37"/>
        <v>22.156743406564633</v>
      </c>
      <c r="BG33" s="22">
        <f t="shared" si="7"/>
        <v>178.06232809976675</v>
      </c>
      <c r="BH33" s="62">
        <f t="shared" si="8"/>
        <v>471.39566143310003</v>
      </c>
      <c r="BI33" s="62">
        <f ca="1">AVERAGE(OFFSET($BH$3,0,0,'Données projet'!$E$11+1,1))-AVERAGE(OFFSET($H$3,0,0,'Données projet'!$E$11+1,1))</f>
        <v>258.09881752732008</v>
      </c>
      <c r="BJ33" s="62">
        <f t="shared" si="38"/>
        <v>214.72899476643335</v>
      </c>
      <c r="BK33" s="16">
        <f>IF(ISNA(VLOOKUP(A33,'Données projet'!$A$87:$I$107,3,0)),0,VLOOKUP(A33,'Données projet'!$A$87:$I$107,3,0))</f>
        <v>2</v>
      </c>
      <c r="BL33" s="16">
        <f>IF(ISNA(VLOOKUP(A33,'Données projet'!$A$87:$I$107,4,0)),0,VLOOKUP(A33,'Données projet'!$A$87:$I$107,4,0))</f>
        <v>23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0.36000000000000004</v>
      </c>
      <c r="BO33" s="17">
        <f>IF(ISNA(VLOOKUP(A33,'Données projet'!$A$87:$I$107,7,0)),0%,VLOOKUP(A33,'Données projet'!$A$87:$I$107,7,0))</f>
        <v>0.2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6.2580836490419678</v>
      </c>
      <c r="BR33" s="23">
        <f>EXP(-LN(2)/2)*BR32+(1-EXP(-LN(2)/2))/(LN(2)/2)*BL33*BO33*VLOOKUP('Données projet'!$B$11,Paramètres!$A$1:$I$89,3,0)*0.475*44/12</f>
        <v>4.3529748976999487</v>
      </c>
      <c r="BS33" s="24">
        <f t="shared" si="9"/>
        <v>10.611058546741916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7.8</v>
      </c>
      <c r="N34" s="14">
        <f>IF('Données projet'!$A$36&gt;35,N33+M34-V33,IF(A34&lt;'Données projet'!$A$36,$K$205^A34,IF(A34='Données projet'!$A$36,'Données projet'!$B$36,N33+M34-V33)))</f>
        <v>84.8</v>
      </c>
      <c r="O34" s="14">
        <f>N34*VLOOKUP('Données projet'!$B$9,Paramètres!$A$1:$I$89,3,0)*VLOOKUP('Données projet'!$B$9,Paramètres!$A$1:$I$89,5,0)</f>
        <v>76.727040000000002</v>
      </c>
      <c r="P34" s="14">
        <f t="shared" si="33"/>
        <v>21.334993267156708</v>
      </c>
      <c r="Q34" s="22">
        <f t="shared" si="2"/>
        <v>170.79137460696458</v>
      </c>
      <c r="R34" s="62">
        <f t="shared" si="0"/>
        <v>464.12470794029787</v>
      </c>
      <c r="S34" s="62">
        <f ca="1">AVERAGE(OFFSET($R$3,0,0,'Données projet'!$E$9+1,1))-AVERAGE(OFFSET($H$3,0,0,'Données projet'!$E$9+1,1))</f>
        <v>371.75294069149942</v>
      </c>
      <c r="T34" s="62">
        <f t="shared" si="34"/>
        <v>233.32640143610547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27.439999999999998</v>
      </c>
      <c r="AI34" s="14">
        <f>IF('Données projet'!$A$62&gt;35,AI33+AH34-AQ33,IF(A34&lt;'Données projet'!$A$62,$AF$205^A34,IF(A34='Données projet'!$A$62,'Données projet'!$B$62,AI33+AH34-AQ33)))</f>
        <v>357.03</v>
      </c>
      <c r="AJ34" s="14">
        <f>AI34*VLOOKUP('Données projet'!$B$10,Paramètres!$A$1:$I$89,3,0)*VLOOKUP('Données projet'!$B$10,Paramètres!$A$1:$I$89,5,0)</f>
        <v>199.57977</v>
      </c>
      <c r="AK34" s="14">
        <f t="shared" si="35"/>
        <v>49.651802587972696</v>
      </c>
      <c r="AL34" s="22">
        <f t="shared" si="4"/>
        <v>434.07832225738576</v>
      </c>
      <c r="AM34" s="62">
        <f t="shared" si="5"/>
        <v>727.41165559071908</v>
      </c>
      <c r="AN34" s="62">
        <f ca="1">AVERAGE(OFFSET($AM$3,0,0,'Données projet'!$E$10+1,1))-AVERAGE(OFFSET($H$3,0,0,'Données projet'!$E$10+1,1))</f>
        <v>405.09126081846171</v>
      </c>
      <c r="AO34" s="62">
        <f t="shared" si="36"/>
        <v>534.22295841722166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2.358899381063444</v>
      </c>
      <c r="AV34" s="23">
        <f>EXP(-LN(2)/25)*AV33+(1-EXP(-LN(2)/25))/(LN(2)/25)*Calculateur!AQ34*Calculateur!AS34*VLOOKUP('Données projet'!$B$10,Paramètres!$A$1:$I$89,3,0)*0.475*44/12</f>
        <v>8.4787453739416883</v>
      </c>
      <c r="AW34" s="23">
        <f>EXP(-LN(2)/2)*AW33+(1-EXP(-LN(2)/2))/(LN(2)/2)*AQ34*AT34*VLOOKUP('Données projet'!$B$10,Paramètres!$A$1:$I$89,3,0)*0.475*44/12</f>
        <v>0.26160141181972618</v>
      </c>
      <c r="AX34" s="23">
        <f t="shared" si="6"/>
        <v>11.099246166824859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10.8</v>
      </c>
      <c r="BD34" s="13">
        <f>IF('Données projet'!$A$88&gt;35,BD33+BC34-BL33,IF(A34&lt;'Données projet'!$A$88,$BA$205^A34,IF(A34='Données projet'!$A$88,'Données projet'!$B$88,BD33+BC34-BL33)))</f>
        <v>127.80000000000001</v>
      </c>
      <c r="BE34" s="14">
        <f>BD34*VLOOKUP('Données projet'!$B$11,Paramètres!$A$1:$I$89,3,0)*VLOOKUP('Données projet'!$B$11,Paramètres!$A$1:$I$89,5,0)</f>
        <v>73.101600000000005</v>
      </c>
      <c r="BF34" s="14">
        <f t="shared" si="37"/>
        <v>20.441739914591079</v>
      </c>
      <c r="BG34" s="22">
        <f t="shared" si="7"/>
        <v>162.9213170179128</v>
      </c>
      <c r="BH34" s="62">
        <f t="shared" si="8"/>
        <v>456.25465035124614</v>
      </c>
      <c r="BI34" s="62">
        <f ca="1">AVERAGE(OFFSET($BH$3,0,0,'Données projet'!$E$11+1,1))-AVERAGE(OFFSET($H$3,0,0,'Données projet'!$E$11+1,1))</f>
        <v>258.09881752732008</v>
      </c>
      <c r="BJ34" s="62">
        <f t="shared" si="38"/>
        <v>214.72899476643335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6.0869560225605994</v>
      </c>
      <c r="BR34" s="23">
        <f>EXP(-LN(2)/2)*BR33+(1-EXP(-LN(2)/2))/(LN(2)/2)*BL34*BO34*VLOOKUP('Données projet'!$B$11,Paramètres!$A$1:$I$89,3,0)*0.475*44/12</f>
        <v>3.0780180684984519</v>
      </c>
      <c r="BS34" s="24">
        <f t="shared" si="9"/>
        <v>9.1649740910590509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7.8</v>
      </c>
      <c r="N35" s="14">
        <f>IF('Données projet'!$A$36&gt;35,N34+M35-V34,IF(A35&lt;'Données projet'!$A$36,$K$205^A35,IF(A35='Données projet'!$A$36,'Données projet'!$B$36,N34+M35-V34)))</f>
        <v>92.6</v>
      </c>
      <c r="O35" s="14">
        <f>N35*VLOOKUP('Données projet'!$B$9,Paramètres!$A$1:$I$89,3,0)*VLOOKUP('Données projet'!$B$9,Paramètres!$A$1:$I$89,5,0)</f>
        <v>83.784479999999988</v>
      </c>
      <c r="P35" s="14">
        <f t="shared" si="33"/>
        <v>23.06000530770384</v>
      </c>
      <c r="Q35" s="22">
        <f t="shared" ref="Q35:Q66" si="53">(O35+P35)*0.475*44/12</f>
        <v>186.08747857758416</v>
      </c>
      <c r="R35" s="62">
        <f t="shared" si="0"/>
        <v>479.42081191091745</v>
      </c>
      <c r="S35" s="62">
        <f ca="1">AVERAGE(OFFSET($R$3,0,0,'Données projet'!$E$9+1,1))-AVERAGE(OFFSET($H$3,0,0,'Données projet'!$E$9+1,1))</f>
        <v>371.75294069149942</v>
      </c>
      <c r="T35" s="62">
        <f t="shared" si="34"/>
        <v>233.32640143610547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>
        <f>VLOOKUP(A35,'Données projet'!$A$61:$I$81,2,0)</f>
        <v>384.47</v>
      </c>
      <c r="AG35" s="13">
        <f>VLOOKUP(A35,'Données projet'!$A$61:$I$81,9,0)</f>
        <v>27.439999999999998</v>
      </c>
      <c r="AH35" s="13">
        <f t="array" ref="AH35">INDEX(AG:AG,MIN(IF(ISNUMBER(AG35:AG231),ROW(AG35:AG231),"")))</f>
        <v>27.439999999999998</v>
      </c>
      <c r="AI35" s="14">
        <f>IF('Données projet'!$A$62&gt;35,AI34+AH35-AQ34,IF(A35&lt;'Données projet'!$A$62,$AF$205^A35,IF(A35='Données projet'!$A$62,'Données projet'!$B$62,AI34+AH35-AQ34)))</f>
        <v>384.46999999999997</v>
      </c>
      <c r="AJ35" s="14">
        <f>AI35*VLOOKUP('Données projet'!$B$10,Paramètres!$A$1:$I$89,3,0)*VLOOKUP('Données projet'!$B$10,Paramètres!$A$1:$I$89,5,0)</f>
        <v>214.91872999999998</v>
      </c>
      <c r="AK35" s="14">
        <f t="shared" si="35"/>
        <v>53.008999324398879</v>
      </c>
      <c r="AL35" s="22">
        <f t="shared" si="4"/>
        <v>466.6407952399947</v>
      </c>
      <c r="AM35" s="62">
        <f t="shared" si="5"/>
        <v>759.97412857332802</v>
      </c>
      <c r="AN35" s="62">
        <f ca="1">AVERAGE(OFFSET($AM$3,0,0,'Données projet'!$E$10+1,1))-AVERAGE(OFFSET($H$3,0,0,'Données projet'!$E$10+1,1))</f>
        <v>405.09126081846171</v>
      </c>
      <c r="AO35" s="62">
        <f t="shared" si="36"/>
        <v>534.22295841722166</v>
      </c>
      <c r="AP35" s="16">
        <f>IF(ISNA(VLOOKUP(A35,'Données projet'!$A$61:$I$81,3,0)),0,VLOOKUP(A35,'Données projet'!$A$61:$I$81,3,0))</f>
        <v>9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2.312642802987344</v>
      </c>
      <c r="AV35" s="23">
        <f>EXP(-LN(2)/25)*AV34+(1-EXP(-LN(2)/25))/(LN(2)/25)*Calculateur!AQ35*Calculateur!AS35*VLOOKUP('Données projet'!$B$10,Paramètres!$A$1:$I$89,3,0)*0.475*44/12</f>
        <v>8.2468936358134126</v>
      </c>
      <c r="AW35" s="23">
        <f>EXP(-LN(2)/2)*AW34+(1-EXP(-LN(2)/2))/(LN(2)/2)*AQ35*AT35*VLOOKUP('Données projet'!$B$10,Paramètres!$A$1:$I$89,3,0)*0.475*44/12</f>
        <v>0.18498013226570303</v>
      </c>
      <c r="AX35" s="23">
        <f t="shared" si="6"/>
        <v>10.744516571066461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10.8</v>
      </c>
      <c r="BD35" s="13">
        <f>IF('Données projet'!$A$88&gt;35,BD34+BC35-BL34,IF(A35&lt;'Données projet'!$A$88,$BA$205^A35,IF(A35='Données projet'!$A$88,'Données projet'!$B$88,BD34+BC35-BL34)))</f>
        <v>138.60000000000002</v>
      </c>
      <c r="BE35" s="14">
        <f>BD35*VLOOKUP('Données projet'!$B$11,Paramètres!$A$1:$I$89,3,0)*VLOOKUP('Données projet'!$B$11,Paramètres!$A$1:$I$89,5,0)</f>
        <v>79.279200000000017</v>
      </c>
      <c r="BF35" s="14">
        <f t="shared" si="37"/>
        <v>21.960852053344638</v>
      </c>
      <c r="BG35" s="22">
        <f t="shared" si="7"/>
        <v>176.32642399290862</v>
      </c>
      <c r="BH35" s="62">
        <f t="shared" si="8"/>
        <v>469.6597573262419</v>
      </c>
      <c r="BI35" s="62">
        <f ca="1">AVERAGE(OFFSET($BH$3,0,0,'Données projet'!$E$11+1,1))-AVERAGE(OFFSET($H$3,0,0,'Données projet'!$E$11+1,1))</f>
        <v>258.09881752732008</v>
      </c>
      <c r="BJ35" s="62">
        <f t="shared" si="38"/>
        <v>214.72899476643335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5.9205078900245747</v>
      </c>
      <c r="BR35" s="23">
        <f>EXP(-LN(2)/2)*BR34+(1-EXP(-LN(2)/2))/(LN(2)/2)*BL35*BO35*VLOOKUP('Données projet'!$B$11,Paramètres!$A$1:$I$89,3,0)*0.475*44/12</f>
        <v>2.1764874488499748</v>
      </c>
      <c r="BS35" s="24">
        <f t="shared" si="9"/>
        <v>8.0969953388745495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7.8</v>
      </c>
      <c r="N36" s="14">
        <f>IF('Données projet'!$A$36&gt;35,N35+M36-V35,IF(A36&lt;'Données projet'!$A$36,$K$205^A36,IF(A36='Données projet'!$A$36,'Données projet'!$B$36,N35+M36-V35)))</f>
        <v>100.39999999999999</v>
      </c>
      <c r="O36" s="14">
        <f>N36*VLOOKUP('Données projet'!$B$9,Paramètres!$A$1:$I$89,3,0)*VLOOKUP('Données projet'!$B$9,Paramètres!$A$1:$I$89,5,0)</f>
        <v>90.841919999999988</v>
      </c>
      <c r="P36" s="14">
        <f t="shared" si="33"/>
        <v>24.768165658148625</v>
      </c>
      <c r="Q36" s="22">
        <f t="shared" si="53"/>
        <v>201.35423252127552</v>
      </c>
      <c r="R36" s="62">
        <f t="shared" si="0"/>
        <v>494.68756585460881</v>
      </c>
      <c r="S36" s="62">
        <f ca="1">AVERAGE(OFFSET($R$3,0,0,'Données projet'!$E$9+1,1))-AVERAGE(OFFSET($H$3,0,0,'Données projet'!$E$9+1,1))</f>
        <v>371.75294069149942</v>
      </c>
      <c r="T36" s="62">
        <f t="shared" si="34"/>
        <v>233.32640143610547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28.699999999999989</v>
      </c>
      <c r="AI36" s="14">
        <f>IF('Données projet'!$A$62&gt;35,AI35+AH36-AQ35,IF(A36&lt;'Données projet'!$A$62,$AF$205^A36,IF(A36='Données projet'!$A$62,'Données projet'!$B$62,AI35+AH36-AQ35)))</f>
        <v>413.16999999999996</v>
      </c>
      <c r="AJ36" s="14">
        <f>AI36*VLOOKUP('Données projet'!$B$10,Paramètres!$A$1:$I$89,3,0)*VLOOKUP('Données projet'!$B$10,Paramètres!$A$1:$I$89,5,0)</f>
        <v>230.96203</v>
      </c>
      <c r="AK36" s="14">
        <f t="shared" si="35"/>
        <v>56.49064435022833</v>
      </c>
      <c r="AL36" s="22">
        <f t="shared" si="4"/>
        <v>500.64674115998105</v>
      </c>
      <c r="AM36" s="62">
        <f t="shared" si="5"/>
        <v>793.98007449331431</v>
      </c>
      <c r="AN36" s="62">
        <f ca="1">AVERAGE(OFFSET($AM$3,0,0,'Données projet'!$E$10+1,1))-AVERAGE(OFFSET($H$3,0,0,'Données projet'!$E$10+1,1))</f>
        <v>405.09126081846171</v>
      </c>
      <c r="AO36" s="62">
        <f t="shared" si="36"/>
        <v>534.22295841722166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2.2672932881935894</v>
      </c>
      <c r="AV36" s="23">
        <f>EXP(-LN(2)/25)*AV35+(1-EXP(-LN(2)/25))/(LN(2)/25)*Calculateur!AQ36*Calculateur!AS36*VLOOKUP('Données projet'!$B$10,Paramètres!$A$1:$I$89,3,0)*0.475*44/12</f>
        <v>8.0213818956568073</v>
      </c>
      <c r="AW36" s="23">
        <f>EXP(-LN(2)/2)*AW35+(1-EXP(-LN(2)/2))/(LN(2)/2)*AQ36*AT36*VLOOKUP('Données projet'!$B$10,Paramètres!$A$1:$I$89,3,0)*0.475*44/12</f>
        <v>0.13080070590986309</v>
      </c>
      <c r="AX36" s="23">
        <f t="shared" si="6"/>
        <v>10.41947588976026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10.8</v>
      </c>
      <c r="BD36" s="13">
        <f>IF('Données projet'!$A$88&gt;35,BD35+BC36-BL35,IF(A36&lt;'Données projet'!$A$88,$BA$205^A36,IF(A36='Données projet'!$A$88,'Données projet'!$B$88,BD35+BC36-BL35)))</f>
        <v>149.40000000000003</v>
      </c>
      <c r="BE36" s="14">
        <f>BD36*VLOOKUP('Données projet'!$B$11,Paramètres!$A$1:$I$89,3,0)*VLOOKUP('Données projet'!$B$11,Paramètres!$A$1:$I$89,5,0)</f>
        <v>85.45680000000003</v>
      </c>
      <c r="BF36" s="14">
        <f t="shared" si="37"/>
        <v>23.466233286749581</v>
      </c>
      <c r="BG36" s="22">
        <f t="shared" si="7"/>
        <v>189.70761630775556</v>
      </c>
      <c r="BH36" s="62">
        <f t="shared" si="8"/>
        <v>483.0409496410889</v>
      </c>
      <c r="BI36" s="62">
        <f ca="1">AVERAGE(OFFSET($BH$3,0,0,'Données projet'!$E$11+1,1))-AVERAGE(OFFSET($H$3,0,0,'Données projet'!$E$11+1,1))</f>
        <v>258.09881752732008</v>
      </c>
      <c r="BJ36" s="62">
        <f t="shared" si="38"/>
        <v>214.72899476643335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5.7586112904258746</v>
      </c>
      <c r="BR36" s="23">
        <f>EXP(-LN(2)/2)*BR35+(1-EXP(-LN(2)/2))/(LN(2)/2)*BL36*BO36*VLOOKUP('Données projet'!$B$11,Paramètres!$A$1:$I$89,3,0)*0.475*44/12</f>
        <v>1.5390090342492262</v>
      </c>
      <c r="BS36" s="24">
        <f t="shared" si="9"/>
        <v>7.2976203246751012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7.8</v>
      </c>
      <c r="N37" s="14">
        <f>IF('Données projet'!$A$36&gt;35,N36+M37-V36,IF(A37&lt;'Données projet'!$A$36,$K$205^A37,IF(A37='Données projet'!$A$36,'Données projet'!$B$36,N36+M37-V36)))</f>
        <v>108.19999999999999</v>
      </c>
      <c r="O37" s="14">
        <f>N37*VLOOKUP('Données projet'!$B$9,Paramètres!$A$1:$I$89,3,0)*VLOOKUP('Données projet'!$B$9,Paramètres!$A$1:$I$89,5,0)</f>
        <v>97.899359999999987</v>
      </c>
      <c r="P37" s="14">
        <f t="shared" si="33"/>
        <v>26.460932364201845</v>
      </c>
      <c r="Q37" s="22">
        <f t="shared" si="53"/>
        <v>216.59417586765153</v>
      </c>
      <c r="R37" s="62">
        <f t="shared" si="0"/>
        <v>509.92750920098484</v>
      </c>
      <c r="S37" s="62">
        <f ca="1">AVERAGE(OFFSET($R$3,0,0,'Données projet'!$E$9+1,1))-AVERAGE(OFFSET($H$3,0,0,'Données projet'!$E$9+1,1))</f>
        <v>371.75294069149942</v>
      </c>
      <c r="T37" s="62">
        <f t="shared" si="34"/>
        <v>233.32640143610547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>
        <f>VLOOKUP(A37,'Données projet'!$A$61:$I$81,2,0)</f>
        <v>441.87</v>
      </c>
      <c r="AG37" s="13">
        <f>VLOOKUP(A37,'Données projet'!$A$61:$I$81,9,0)</f>
        <v>28.699999999999989</v>
      </c>
      <c r="AH37" s="13">
        <f t="array" ref="AH37">INDEX(AG:AG,MIN(IF(ISNUMBER(AG37:AG233),ROW(AG37:AG233),"")))</f>
        <v>28.699999999999989</v>
      </c>
      <c r="AI37" s="14">
        <f>IF('Données projet'!$A$62&gt;35,AI36+AH37-AQ36,IF(A37&lt;'Données projet'!$A$62,$AF$205^A37,IF(A37='Données projet'!$A$62,'Données projet'!$B$62,AI36+AH37-AQ36)))</f>
        <v>441.86999999999995</v>
      </c>
      <c r="AJ37" s="14">
        <f>AI37*VLOOKUP('Données projet'!$B$10,Paramètres!$A$1:$I$89,3,0)*VLOOKUP('Données projet'!$B$10,Paramètres!$A$1:$I$89,5,0)</f>
        <v>247.00532999999996</v>
      </c>
      <c r="AK37" s="14">
        <f t="shared" si="35"/>
        <v>59.944228275257743</v>
      </c>
      <c r="AL37" s="22">
        <f t="shared" si="4"/>
        <v>534.60381399607388</v>
      </c>
      <c r="AM37" s="62">
        <f t="shared" si="5"/>
        <v>827.93714732940725</v>
      </c>
      <c r="AN37" s="62">
        <f ca="1">AVERAGE(OFFSET($AM$3,0,0,'Données projet'!$E$10+1,1))-AVERAGE(OFFSET($H$3,0,0,'Données projet'!$E$10+1,1))</f>
        <v>405.09126081846171</v>
      </c>
      <c r="AO37" s="62">
        <f t="shared" si="36"/>
        <v>534.22295841722166</v>
      </c>
      <c r="AP37" s="16">
        <f>IF(ISNA(VLOOKUP(A37,'Données projet'!$A$61:$I$81,3,0)),0,VLOOKUP(A37,'Données projet'!$A$61:$I$81,3,0))</f>
        <v>10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2.2228330497244677</v>
      </c>
      <c r="AV37" s="23">
        <f>EXP(-LN(2)/25)*AV36+(1-EXP(-LN(2)/25))/(LN(2)/25)*Calculateur!AQ37*Calculateur!AS37*VLOOKUP('Données projet'!$B$10,Paramètres!$A$1:$I$89,3,0)*0.475*44/12</f>
        <v>7.8020367858939315</v>
      </c>
      <c r="AW37" s="23">
        <f>EXP(-LN(2)/2)*AW36+(1-EXP(-LN(2)/2))/(LN(2)/2)*AQ37*AT37*VLOOKUP('Données projet'!$B$10,Paramètres!$A$1:$I$89,3,0)*0.475*44/12</f>
        <v>9.2490066132851517E-2</v>
      </c>
      <c r="AX37" s="23">
        <f t="shared" si="6"/>
        <v>10.117359901751252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10.8</v>
      </c>
      <c r="BD37" s="13">
        <f>IF('Données projet'!$A$88&gt;35,BD36+BC37-BL36,IF(A37&lt;'Données projet'!$A$88,$BA$205^A37,IF(A37='Données projet'!$A$88,'Données projet'!$B$88,BD36+BC37-BL36)))</f>
        <v>160.20000000000005</v>
      </c>
      <c r="BE37" s="14">
        <f>BD37*VLOOKUP('Données projet'!$B$11,Paramètres!$A$1:$I$89,3,0)*VLOOKUP('Données projet'!$B$11,Paramètres!$A$1:$I$89,5,0)</f>
        <v>91.634400000000028</v>
      </c>
      <c r="BF37" s="14">
        <f t="shared" si="37"/>
        <v>24.958989094949281</v>
      </c>
      <c r="BG37" s="22">
        <f t="shared" si="7"/>
        <v>203.06681934037002</v>
      </c>
      <c r="BH37" s="62">
        <f t="shared" si="8"/>
        <v>496.40015267370336</v>
      </c>
      <c r="BI37" s="62">
        <f ca="1">AVERAGE(OFFSET($BH$3,0,0,'Données projet'!$E$11+1,1))-AVERAGE(OFFSET($H$3,0,0,'Données projet'!$E$11+1,1))</f>
        <v>258.09881752732008</v>
      </c>
      <c r="BJ37" s="62">
        <f t="shared" si="38"/>
        <v>214.72899476643335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5.6011417618569732</v>
      </c>
      <c r="BR37" s="23">
        <f>EXP(-LN(2)/2)*BR36+(1-EXP(-LN(2)/2))/(LN(2)/2)*BL37*BO37*VLOOKUP('Données projet'!$B$11,Paramètres!$A$1:$I$89,3,0)*0.475*44/12</f>
        <v>1.0882437244249874</v>
      </c>
      <c r="BS37" s="24">
        <f t="shared" si="9"/>
        <v>6.6893854862819602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116</v>
      </c>
      <c r="L38" s="13">
        <f>VLOOKUP(A38,'Données projet'!$A$35:$I$55,9,0)</f>
        <v>7.8</v>
      </c>
      <c r="M38" s="13">
        <f t="array" ref="M38">INDEX(L:L,MIN(IF(ISNUMBER(L38:L234),ROW(L38:L234),"")))</f>
        <v>7.8</v>
      </c>
      <c r="N38" s="14">
        <f>IF('Données projet'!$A$36&gt;35,N37+M38-V37,IF(A38&lt;'Données projet'!$A$36,$K$205^A38,IF(A38='Données projet'!$A$36,'Données projet'!$B$36,N37+M38-V37)))</f>
        <v>115.99999999999999</v>
      </c>
      <c r="O38" s="14">
        <f>N38*VLOOKUP('Données projet'!$B$9,Paramètres!$A$1:$I$89,3,0)*VLOOKUP('Données projet'!$B$9,Paramètres!$A$1:$I$89,5,0)</f>
        <v>104.95679999999999</v>
      </c>
      <c r="P38" s="14">
        <f t="shared" si="33"/>
        <v>28.139541339232373</v>
      </c>
      <c r="Q38" s="22">
        <f t="shared" si="53"/>
        <v>231.8094611658297</v>
      </c>
      <c r="R38" s="62">
        <f t="shared" si="0"/>
        <v>525.14279449916307</v>
      </c>
      <c r="S38" s="62">
        <f ca="1">AVERAGE(OFFSET($R$3,0,0,'Données projet'!$E$9+1,1))-AVERAGE(OFFSET($H$3,0,0,'Données projet'!$E$9+1,1))</f>
        <v>371.75294069149942</v>
      </c>
      <c r="T38" s="62">
        <f t="shared" si="34"/>
        <v>233.32640143610547</v>
      </c>
      <c r="U38" s="16">
        <f>IF(ISNA(VLOOKUP(A38,'Données projet'!$A$35:$I$55,3,0)),0,VLOOKUP(A38,'Données projet'!$A$35:$I$55,3,0))</f>
        <v>3</v>
      </c>
      <c r="V38" s="16">
        <f>IF(ISNA(VLOOKUP(A38,'Données projet'!$A$35:$I$55,4,0)),0,VLOOKUP(A38,'Données projet'!$A$35:$I$55,4,0))</f>
        <v>21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29.77000000000001</v>
      </c>
      <c r="AI38" s="14">
        <f>IF('Données projet'!$A$62&gt;35,AI37+AH38-AQ37,IF(A38&lt;'Données projet'!$A$62,$AF$205^A38,IF(A38='Données projet'!$A$62,'Données projet'!$B$62,AI37+AH38-AQ37)))</f>
        <v>471.64</v>
      </c>
      <c r="AJ38" s="14">
        <f>AI38*VLOOKUP('Données projet'!$B$10,Paramètres!$A$1:$I$89,3,0)*VLOOKUP('Données projet'!$B$10,Paramètres!$A$1:$I$89,5,0)</f>
        <v>263.64675999999997</v>
      </c>
      <c r="AK38" s="14">
        <f t="shared" si="35"/>
        <v>63.49908855254693</v>
      </c>
      <c r="AL38" s="22">
        <f t="shared" si="4"/>
        <v>569.77901956235246</v>
      </c>
      <c r="AM38" s="62">
        <f t="shared" si="5"/>
        <v>863.11235289568572</v>
      </c>
      <c r="AN38" s="62">
        <f ca="1">AVERAGE(OFFSET($AM$3,0,0,'Données projet'!$E$10+1,1))-AVERAGE(OFFSET($H$3,0,0,'Données projet'!$E$10+1,1))</f>
        <v>405.09126081846171</v>
      </c>
      <c r="AO38" s="62">
        <f t="shared" si="36"/>
        <v>534.22295841722166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2.1792446494136577</v>
      </c>
      <c r="AV38" s="23">
        <f>EXP(-LN(2)/25)*AV37+(1-EXP(-LN(2)/25))/(LN(2)/25)*Calculateur!AQ38*Calculateur!AS38*VLOOKUP('Données projet'!$B$10,Paramètres!$A$1:$I$89,3,0)*0.475*44/12</f>
        <v>7.5886896796923793</v>
      </c>
      <c r="AW38" s="23">
        <f>EXP(-LN(2)/2)*AW37+(1-EXP(-LN(2)/2))/(LN(2)/2)*AQ38*AT38*VLOOKUP('Données projet'!$B$10,Paramètres!$A$1:$I$89,3,0)*0.475*44/12</f>
        <v>6.5400352954931545E-2</v>
      </c>
      <c r="AX38" s="23">
        <f t="shared" si="6"/>
        <v>9.8333346820609684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171</v>
      </c>
      <c r="BB38" s="13">
        <f>VLOOKUP(A38,'Données projet'!$A$87:$I$107,9,0)</f>
        <v>10.8</v>
      </c>
      <c r="BC38" s="13">
        <f t="array" ref="BC38">INDEX(BB:BB,MIN(IF(ISNUMBER(BB38:BB234),ROW(BB38:BB234),"")))</f>
        <v>10.8</v>
      </c>
      <c r="BD38" s="13">
        <f>IF('Données projet'!$A$88&gt;35,BD37+BC38-BL37,IF(A38&lt;'Données projet'!$A$88,$BA$205^A38,IF(A38='Données projet'!$A$88,'Données projet'!$B$88,BD37+BC38-BL37)))</f>
        <v>171.00000000000006</v>
      </c>
      <c r="BE38" s="14">
        <f>BD38*VLOOKUP('Données projet'!$B$11,Paramètres!$A$1:$I$89,3,0)*VLOOKUP('Données projet'!$B$11,Paramètres!$A$1:$I$89,5,0)</f>
        <v>97.81200000000004</v>
      </c>
      <c r="BF38" s="14">
        <f t="shared" si="37"/>
        <v>26.440067470123285</v>
      </c>
      <c r="BG38" s="22">
        <f t="shared" si="7"/>
        <v>216.40568417713143</v>
      </c>
      <c r="BH38" s="62">
        <f t="shared" si="8"/>
        <v>509.73901751046475</v>
      </c>
      <c r="BI38" s="62">
        <f ca="1">AVERAGE(OFFSET($BH$3,0,0,'Données projet'!$E$11+1,1))-AVERAGE(OFFSET($H$3,0,0,'Données projet'!$E$11+1,1))</f>
        <v>258.09881752732008</v>
      </c>
      <c r="BJ38" s="62">
        <f t="shared" si="38"/>
        <v>214.72899476643335</v>
      </c>
      <c r="BK38" s="16">
        <f>IF(ISNA(VLOOKUP(A38,'Données projet'!$A$87:$I$107,3,0)),0,VLOOKUP(A38,'Données projet'!$A$87:$I$107,3,0))</f>
        <v>3</v>
      </c>
      <c r="BL38" s="16">
        <f>IF(ISNA(VLOOKUP(A38,'Données projet'!$A$87:$I$107,4,0)),0,VLOOKUP(A38,'Données projet'!$A$87:$I$107,4,0))</f>
        <v>28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5.447978245827751</v>
      </c>
      <c r="BR38" s="23">
        <f>EXP(-LN(2)/2)*BR37+(1-EXP(-LN(2)/2))/(LN(2)/2)*BL38*BO38*VLOOKUP('Données projet'!$B$11,Paramètres!$A$1:$I$89,3,0)*0.475*44/12</f>
        <v>0.7695045171246131</v>
      </c>
      <c r="BS38" s="24">
        <f t="shared" si="9"/>
        <v>6.2174827629523639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8.4</v>
      </c>
      <c r="N39" s="14">
        <f>IF('Données projet'!$A$36&gt;35,N38+M39-V38,IF(A39&lt;'Données projet'!$A$36,$K$205^A39,IF(A39='Données projet'!$A$36,'Données projet'!$B$36,N38+M39-V38)))</f>
        <v>103.39999999999999</v>
      </c>
      <c r="O39" s="14">
        <f>N39*VLOOKUP('Données projet'!$B$9,Paramètres!$A$1:$I$89,3,0)*VLOOKUP('Données projet'!$B$9,Paramètres!$A$1:$I$89,5,0)</f>
        <v>93.556319999999999</v>
      </c>
      <c r="P39" s="14">
        <f t="shared" si="33"/>
        <v>25.420979659258073</v>
      </c>
      <c r="Q39" s="22">
        <f t="shared" si="53"/>
        <v>207.21879690654114</v>
      </c>
      <c r="R39" s="62">
        <f t="shared" si="0"/>
        <v>500.55213023987449</v>
      </c>
      <c r="S39" s="62">
        <f ca="1">AVERAGE(OFFSET($R$3,0,0,'Données projet'!$E$9+1,1))-AVERAGE(OFFSET($H$3,0,0,'Données projet'!$E$9+1,1))</f>
        <v>371.75294069149942</v>
      </c>
      <c r="T39" s="62">
        <f t="shared" si="34"/>
        <v>233.32640143610547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>
        <f>VLOOKUP(A39,'Données projet'!$A$61:$I$81,2,0)</f>
        <v>501.41</v>
      </c>
      <c r="AG39" s="13">
        <f>VLOOKUP(A39,'Données projet'!$A$61:$I$81,9,0)</f>
        <v>29.77000000000001</v>
      </c>
      <c r="AH39" s="13">
        <f t="array" ref="AH39">INDEX(AG:AG,MIN(IF(ISNUMBER(AG39:AG235),ROW(AG39:AG235),"")))</f>
        <v>29.77000000000001</v>
      </c>
      <c r="AI39" s="14">
        <f>IF('Données projet'!$A$62&gt;35,AI38+AH39-AQ38,IF(A39&lt;'Données projet'!$A$62,$AF$205^A39,IF(A39='Données projet'!$A$62,'Données projet'!$B$62,AI38+AH39-AQ38)))</f>
        <v>501.40999999999997</v>
      </c>
      <c r="AJ39" s="14">
        <f>AI39*VLOOKUP('Données projet'!$B$10,Paramètres!$A$1:$I$89,3,0)*VLOOKUP('Données projet'!$B$10,Paramètres!$A$1:$I$89,5,0)</f>
        <v>280.28818999999999</v>
      </c>
      <c r="AK39" s="14">
        <f t="shared" si="35"/>
        <v>67.027908065763796</v>
      </c>
      <c r="AL39" s="22">
        <f t="shared" si="4"/>
        <v>604.90887079787183</v>
      </c>
      <c r="AM39" s="62">
        <f t="shared" si="5"/>
        <v>898.2422041312052</v>
      </c>
      <c r="AN39" s="62">
        <f ca="1">AVERAGE(OFFSET($AM$3,0,0,'Données projet'!$E$10+1,1))-AVERAGE(OFFSET($H$3,0,0,'Données projet'!$E$10+1,1))</f>
        <v>405.09126081846171</v>
      </c>
      <c r="AO39" s="62">
        <f t="shared" si="36"/>
        <v>534.22295841722166</v>
      </c>
      <c r="AP39" s="16">
        <f>IF(ISNA(VLOOKUP(A39,'Données projet'!$A$61:$I$81,3,0)),0,VLOOKUP(A39,'Données projet'!$A$61:$I$81,3,0))</f>
        <v>11</v>
      </c>
      <c r="AQ39" s="16">
        <f>IF(ISNA(VLOOKUP(A39,'Données projet'!$A$61:$I$81,4,0)),0,VLOOKUP(A39,'Données projet'!$A$61:$I$81,4,0))</f>
        <v>85.88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2.1365109910466438</v>
      </c>
      <c r="AV39" s="23">
        <f>EXP(-LN(2)/25)*AV38+(1-EXP(-LN(2)/25))/(LN(2)/25)*Calculateur!AQ39*Calculateur!AS39*VLOOKUP('Données projet'!$B$10,Paramètres!$A$1:$I$89,3,0)*0.475*44/12</f>
        <v>7.3811765613293447</v>
      </c>
      <c r="AW39" s="23">
        <f>EXP(-LN(2)/2)*AW38+(1-EXP(-LN(2)/2))/(LN(2)/2)*AQ39*AT39*VLOOKUP('Données projet'!$B$10,Paramètres!$A$1:$I$89,3,0)*0.475*44/12</f>
        <v>4.6245033066425759E-2</v>
      </c>
      <c r="AX39" s="23">
        <f t="shared" si="6"/>
        <v>9.563932585442414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12.8</v>
      </c>
      <c r="BD39" s="13">
        <f>IF('Données projet'!$A$88&gt;35,BD38+BC39-BL38,IF(A39&lt;'Données projet'!$A$88,$BA$205^A39,IF(A39='Données projet'!$A$88,'Données projet'!$B$88,BD38+BC39-BL38)))</f>
        <v>155.80000000000007</v>
      </c>
      <c r="BE39" s="14">
        <f>BD39*VLOOKUP('Données projet'!$B$11,Paramètres!$A$1:$I$89,3,0)*VLOOKUP('Données projet'!$B$11,Paramètres!$A$1:$I$89,5,0)</f>
        <v>89.117600000000053</v>
      </c>
      <c r="BF39" s="14">
        <f t="shared" si="37"/>
        <v>24.352289481248235</v>
      </c>
      <c r="BG39" s="22">
        <f t="shared" si="7"/>
        <v>197.62672417984075</v>
      </c>
      <c r="BH39" s="62">
        <f t="shared" si="8"/>
        <v>490.96005751317409</v>
      </c>
      <c r="BI39" s="62">
        <f ca="1">AVERAGE(OFFSET($BH$3,0,0,'Données projet'!$E$11+1,1))-AVERAGE(OFFSET($H$3,0,0,'Données projet'!$E$11+1,1))</f>
        <v>258.09881752732008</v>
      </c>
      <c r="BJ39" s="62">
        <f t="shared" si="38"/>
        <v>214.72899476643335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5.299002994198867</v>
      </c>
      <c r="BR39" s="23">
        <f>EXP(-LN(2)/2)*BR38+(1-EXP(-LN(2)/2))/(LN(2)/2)*BL39*BO39*VLOOKUP('Données projet'!$B$11,Paramètres!$A$1:$I$89,3,0)*0.475*44/12</f>
        <v>0.5441218622124937</v>
      </c>
      <c r="BS39" s="24">
        <f t="shared" si="9"/>
        <v>5.8431248564113609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8.4</v>
      </c>
      <c r="N40" s="14">
        <f>IF('Données projet'!$A$36&gt;35,N39+M40-V39,IF(A40&lt;'Données projet'!$A$36,$K$205^A40,IF(A40='Données projet'!$A$36,'Données projet'!$B$36,N39+M40-V39)))</f>
        <v>111.8</v>
      </c>
      <c r="O40" s="14">
        <f>N40*VLOOKUP('Données projet'!$B$9,Paramètres!$A$1:$I$89,3,0)*VLOOKUP('Données projet'!$B$9,Paramètres!$A$1:$I$89,5,0)</f>
        <v>101.15664</v>
      </c>
      <c r="P40" s="14">
        <f t="shared" si="33"/>
        <v>27.237366379381644</v>
      </c>
      <c r="Q40" s="22">
        <f t="shared" si="53"/>
        <v>223.61956111075634</v>
      </c>
      <c r="R40" s="62">
        <f t="shared" si="0"/>
        <v>516.95289444408968</v>
      </c>
      <c r="S40" s="62">
        <f ca="1">AVERAGE(OFFSET($R$3,0,0,'Données projet'!$E$9+1,1))-AVERAGE(OFFSET($H$3,0,0,'Données projet'!$E$9+1,1))</f>
        <v>371.75294069149942</v>
      </c>
      <c r="T40" s="62">
        <f t="shared" si="34"/>
        <v>233.32640143610547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27.234999999999985</v>
      </c>
      <c r="AI40" s="14">
        <f>IF('Données projet'!$A$62&gt;35,AI39+AH40-AQ39,IF(A40&lt;'Données projet'!$A$62,$AF$205^A40,IF(A40='Données projet'!$A$62,'Données projet'!$B$62,AI39+AH40-AQ39)))</f>
        <v>442.76499999999999</v>
      </c>
      <c r="AJ40" s="14">
        <f>AI40*VLOOKUP('Données projet'!$B$10,Paramètres!$A$1:$I$89,3,0)*VLOOKUP('Données projet'!$B$10,Paramètres!$A$1:$I$89,5,0)</f>
        <v>247.50563500000001</v>
      </c>
      <c r="AK40" s="14">
        <f t="shared" si="35"/>
        <v>60.051498808282631</v>
      </c>
      <c r="AL40" s="22">
        <f t="shared" si="4"/>
        <v>535.66200804942548</v>
      </c>
      <c r="AM40" s="62">
        <f t="shared" si="5"/>
        <v>828.99534138275885</v>
      </c>
      <c r="AN40" s="62">
        <f ca="1">AVERAGE(OFFSET($AM$3,0,0,'Données projet'!$E$10+1,1))-AVERAGE(OFFSET($H$3,0,0,'Données projet'!$E$10+1,1))</f>
        <v>405.09126081846171</v>
      </c>
      <c r="AO40" s="62">
        <f t="shared" si="36"/>
        <v>534.22295841722166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2.094615313655249</v>
      </c>
      <c r="AV40" s="23">
        <f>EXP(-LN(2)/25)*AV39+(1-EXP(-LN(2)/25))/(LN(2)/25)*Calculateur!AQ40*Calculateur!AS40*VLOOKUP('Données projet'!$B$10,Paramètres!$A$1:$I$89,3,0)*0.475*44/12</f>
        <v>7.1793379001005881</v>
      </c>
      <c r="AW40" s="23">
        <f>EXP(-LN(2)/2)*AW39+(1-EXP(-LN(2)/2))/(LN(2)/2)*AQ40*AT40*VLOOKUP('Données projet'!$B$10,Paramètres!$A$1:$I$89,3,0)*0.475*44/12</f>
        <v>3.2700176477465773E-2</v>
      </c>
      <c r="AX40" s="23">
        <f t="shared" si="6"/>
        <v>9.3066533902333024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12.8</v>
      </c>
      <c r="BD40" s="13">
        <f>IF('Données projet'!$A$88&gt;35,BD39+BC40-BL39,IF(A40&lt;'Données projet'!$A$88,$BA$205^A40,IF(A40='Données projet'!$A$88,'Données projet'!$B$88,BD39+BC40-BL39)))</f>
        <v>168.60000000000008</v>
      </c>
      <c r="BE40" s="14">
        <f>BD40*VLOOKUP('Données projet'!$B$11,Paramètres!$A$1:$I$89,3,0)*VLOOKUP('Données projet'!$B$11,Paramètres!$A$1:$I$89,5,0)</f>
        <v>96.439200000000056</v>
      </c>
      <c r="BF40" s="14">
        <f t="shared" si="37"/>
        <v>26.111904277671179</v>
      </c>
      <c r="BG40" s="22">
        <f t="shared" si="7"/>
        <v>213.44317328361072</v>
      </c>
      <c r="BH40" s="62">
        <f t="shared" si="8"/>
        <v>506.77650661694406</v>
      </c>
      <c r="BI40" s="62">
        <f ca="1">AVERAGE(OFFSET($BH$3,0,0,'Données projet'!$E$11+1,1))-AVERAGE(OFFSET($H$3,0,0,'Données projet'!$E$11+1,1))</f>
        <v>258.09881752732008</v>
      </c>
      <c r="BJ40" s="62">
        <f t="shared" si="38"/>
        <v>214.72899476643335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5.154101478660043</v>
      </c>
      <c r="BR40" s="23">
        <f>EXP(-LN(2)/2)*BR39+(1-EXP(-LN(2)/2))/(LN(2)/2)*BL40*BO40*VLOOKUP('Données projet'!$B$11,Paramètres!$A$1:$I$89,3,0)*0.475*44/12</f>
        <v>0.38475225856230655</v>
      </c>
      <c r="BS40" s="24">
        <f t="shared" si="9"/>
        <v>5.5388537372223494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8.4</v>
      </c>
      <c r="N41" s="14">
        <f>IF('Données projet'!$A$36&gt;35,N40+M41-V40,IF(A41&lt;'Données projet'!$A$36,$K$205^A41,IF(A41='Données projet'!$A$36,'Données projet'!$B$36,N40+M41-V40)))</f>
        <v>120.2</v>
      </c>
      <c r="O41" s="14">
        <f>N41*VLOOKUP('Données projet'!$B$9,Paramètres!$A$1:$I$89,3,0)*VLOOKUP('Données projet'!$B$9,Paramètres!$A$1:$I$89,5,0)</f>
        <v>108.75695999999999</v>
      </c>
      <c r="P41" s="14">
        <f t="shared" si="33"/>
        <v>29.037921223305585</v>
      </c>
      <c r="Q41" s="22">
        <f t="shared" si="53"/>
        <v>239.99275146392384</v>
      </c>
      <c r="R41" s="62">
        <f t="shared" si="0"/>
        <v>533.32608479725718</v>
      </c>
      <c r="S41" s="62">
        <f ca="1">AVERAGE(OFFSET($R$3,0,0,'Données projet'!$E$9+1,1))-AVERAGE(OFFSET($H$3,0,0,'Données projet'!$E$9+1,1))</f>
        <v>371.75294069149942</v>
      </c>
      <c r="T41" s="62">
        <f t="shared" si="34"/>
        <v>233.32640143610547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>
        <f>VLOOKUP(A41,'Données projet'!$A$61:$I$81,2,0)</f>
        <v>470</v>
      </c>
      <c r="AG41" s="13">
        <f>VLOOKUP(A41,'Données projet'!$A$61:$I$81,9,0)</f>
        <v>27.234999999999985</v>
      </c>
      <c r="AH41" s="13">
        <f t="array" ref="AH41">INDEX(AG:AG,MIN(IF(ISNUMBER(AG41:AG237),ROW(AG41:AG237),"")))</f>
        <v>27.234999999999985</v>
      </c>
      <c r="AI41" s="14">
        <f>IF('Données projet'!$A$62&gt;35,AI40+AH41-AQ40,IF(A41&lt;'Données projet'!$A$62,$AF$205^A41,IF(A41='Données projet'!$A$62,'Données projet'!$B$62,AI40+AH41-AQ40)))</f>
        <v>470</v>
      </c>
      <c r="AJ41" s="14">
        <f>AI41*VLOOKUP('Données projet'!$B$10,Paramètres!$A$1:$I$89,3,0)*VLOOKUP('Données projet'!$B$10,Paramètres!$A$1:$I$89,5,0)</f>
        <v>262.73</v>
      </c>
      <c r="AK41" s="14">
        <f t="shared" si="35"/>
        <v>63.303949401442225</v>
      </c>
      <c r="AL41" s="22">
        <f t="shared" si="4"/>
        <v>567.84246187417853</v>
      </c>
      <c r="AM41" s="62">
        <f t="shared" si="5"/>
        <v>861.17579520751178</v>
      </c>
      <c r="AN41" s="62">
        <f ca="1">AVERAGE(OFFSET($AM$3,0,0,'Données projet'!$E$10+1,1))-AVERAGE(OFFSET($H$3,0,0,'Données projet'!$E$10+1,1))</f>
        <v>405.09126081846171</v>
      </c>
      <c r="AO41" s="62">
        <f t="shared" si="36"/>
        <v>534.22295841722166</v>
      </c>
      <c r="AP41" s="16">
        <f>IF(ISNA(VLOOKUP(A41,'Données projet'!$A$61:$I$81,3,0)),0,VLOOKUP(A41,'Données projet'!$A$61:$I$81,3,0))</f>
        <v>12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2.0535411849436596</v>
      </c>
      <c r="AV41" s="23">
        <f>EXP(-LN(2)/25)*AV40+(1-EXP(-LN(2)/25))/(LN(2)/25)*Calculateur!AQ41*Calculateur!AS41*VLOOKUP('Données projet'!$B$10,Paramètres!$A$1:$I$89,3,0)*0.475*44/12</f>
        <v>6.9830185276773662</v>
      </c>
      <c r="AW41" s="23">
        <f>EXP(-LN(2)/2)*AW40+(1-EXP(-LN(2)/2))/(LN(2)/2)*AQ41*AT41*VLOOKUP('Données projet'!$B$10,Paramètres!$A$1:$I$89,3,0)*0.475*44/12</f>
        <v>2.3122516533212879E-2</v>
      </c>
      <c r="AX41" s="23">
        <f t="shared" si="6"/>
        <v>9.0596822291542392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12.8</v>
      </c>
      <c r="BD41" s="13">
        <f>IF('Données projet'!$A$88&gt;35,BD40+BC41-BL40,IF(A41&lt;'Données projet'!$A$88,$BA$205^A41,IF(A41='Données projet'!$A$88,'Données projet'!$B$88,BD40+BC41-BL40)))</f>
        <v>181.40000000000009</v>
      </c>
      <c r="BE41" s="14">
        <f>BD41*VLOOKUP('Données projet'!$B$11,Paramètres!$A$1:$I$89,3,0)*VLOOKUP('Données projet'!$B$11,Paramètres!$A$1:$I$89,5,0)</f>
        <v>103.76080000000006</v>
      </c>
      <c r="BF41" s="14">
        <f t="shared" si="37"/>
        <v>27.856022138389424</v>
      </c>
      <c r="BG41" s="22">
        <f t="shared" si="7"/>
        <v>229.23263189102838</v>
      </c>
      <c r="BH41" s="62">
        <f t="shared" si="8"/>
        <v>522.56596522436166</v>
      </c>
      <c r="BI41" s="62">
        <f ca="1">AVERAGE(OFFSET($BH$3,0,0,'Données projet'!$E$11+1,1))-AVERAGE(OFFSET($H$3,0,0,'Données projet'!$E$11+1,1))</f>
        <v>258.09881752732008</v>
      </c>
      <c r="BJ41" s="62">
        <f t="shared" si="38"/>
        <v>214.72899476643335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5.0131623026836669</v>
      </c>
      <c r="BR41" s="23">
        <f>EXP(-LN(2)/2)*BR40+(1-EXP(-LN(2)/2))/(LN(2)/2)*BL41*BO41*VLOOKUP('Données projet'!$B$11,Paramètres!$A$1:$I$89,3,0)*0.475*44/12</f>
        <v>0.27206093110624685</v>
      </c>
      <c r="BS41" s="24">
        <f t="shared" si="9"/>
        <v>5.2852232337899139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8.4</v>
      </c>
      <c r="N42" s="14">
        <f>IF('Données projet'!$A$36&gt;35,N41+M42-V41,IF(A42&lt;'Données projet'!$A$36,$K$205^A42,IF(A42='Données projet'!$A$36,'Données projet'!$B$36,N41+M42-V41)))</f>
        <v>128.6</v>
      </c>
      <c r="O42" s="14">
        <f>N42*VLOOKUP('Données projet'!$B$9,Paramètres!$A$1:$I$89,3,0)*VLOOKUP('Données projet'!$B$9,Paramètres!$A$1:$I$89,5,0)</f>
        <v>116.35727999999999</v>
      </c>
      <c r="P42" s="14">
        <f t="shared" si="33"/>
        <v>30.823876427820704</v>
      </c>
      <c r="Q42" s="22">
        <f t="shared" si="53"/>
        <v>256.34051411178768</v>
      </c>
      <c r="R42" s="62">
        <f t="shared" si="0"/>
        <v>549.67384744512105</v>
      </c>
      <c r="S42" s="62">
        <f ca="1">AVERAGE(OFFSET($R$3,0,0,'Données projet'!$E$9+1,1))-AVERAGE(OFFSET($H$3,0,0,'Données projet'!$E$9+1,1))</f>
        <v>371.75294069149942</v>
      </c>
      <c r="T42" s="62">
        <f t="shared" si="34"/>
        <v>233.32640143610547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28.095000000000027</v>
      </c>
      <c r="AI42" s="14">
        <f>IF('Données projet'!$A$62&gt;35,AI41+AH42-AQ41,IF(A42&lt;'Données projet'!$A$62,$AF$205^A42,IF(A42='Données projet'!$A$62,'Données projet'!$B$62,AI41+AH42-AQ41)))</f>
        <v>498.09500000000003</v>
      </c>
      <c r="AJ42" s="14">
        <f>AI42*VLOOKUP('Données projet'!$B$10,Paramètres!$A$1:$I$89,3,0)*VLOOKUP('Données projet'!$B$10,Paramètres!$A$1:$I$89,5,0)</f>
        <v>278.43510500000002</v>
      </c>
      <c r="AK42" s="14">
        <f t="shared" si="35"/>
        <v>66.636193787123958</v>
      </c>
      <c r="AL42" s="22">
        <f t="shared" si="4"/>
        <v>600.99917872090748</v>
      </c>
      <c r="AM42" s="62">
        <f t="shared" si="5"/>
        <v>894.33251205424085</v>
      </c>
      <c r="AN42" s="62">
        <f ca="1">AVERAGE(OFFSET($AM$3,0,0,'Données projet'!$E$10+1,1))-AVERAGE(OFFSET($H$3,0,0,'Données projet'!$E$10+1,1))</f>
        <v>405.09126081846171</v>
      </c>
      <c r="AO42" s="62">
        <f t="shared" si="36"/>
        <v>534.22295841722166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2.0132724948433594</v>
      </c>
      <c r="AV42" s="23">
        <f>EXP(-LN(2)/25)*AV41+(1-EXP(-LN(2)/25))/(LN(2)/25)*Calculateur!AQ42*Calculateur!AS42*VLOOKUP('Données projet'!$B$10,Paramètres!$A$1:$I$89,3,0)*0.475*44/12</f>
        <v>6.7920675188170438</v>
      </c>
      <c r="AW42" s="23">
        <f>EXP(-LN(2)/2)*AW41+(1-EXP(-LN(2)/2))/(LN(2)/2)*AQ42*AT42*VLOOKUP('Données projet'!$B$10,Paramètres!$A$1:$I$89,3,0)*0.475*44/12</f>
        <v>1.6350088238732886E-2</v>
      </c>
      <c r="AX42" s="23">
        <f t="shared" si="6"/>
        <v>8.8216901018991365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12.8</v>
      </c>
      <c r="BD42" s="13">
        <f>IF('Données projet'!$A$88&gt;35,BD41+BC42-BL41,IF(A42&lt;'Données projet'!$A$88,$BA$205^A42,IF(A42='Données projet'!$A$88,'Données projet'!$B$88,BD41+BC42-BL41)))</f>
        <v>194.2000000000001</v>
      </c>
      <c r="BE42" s="14">
        <f>BD42*VLOOKUP('Données projet'!$B$11,Paramètres!$A$1:$I$89,3,0)*VLOOKUP('Données projet'!$B$11,Paramètres!$A$1:$I$89,5,0)</f>
        <v>111.08240000000006</v>
      </c>
      <c r="BF42" s="14">
        <f t="shared" si="37"/>
        <v>29.585860939025359</v>
      </c>
      <c r="BG42" s="22">
        <f t="shared" si="7"/>
        <v>244.99722113546932</v>
      </c>
      <c r="BH42" s="62">
        <f t="shared" si="8"/>
        <v>538.33055446880257</v>
      </c>
      <c r="BI42" s="62">
        <f ca="1">AVERAGE(OFFSET($BH$3,0,0,'Données projet'!$E$11+1,1))-AVERAGE(OFFSET($H$3,0,0,'Données projet'!$E$11+1,1))</f>
        <v>258.09881752732008</v>
      </c>
      <c r="BJ42" s="62">
        <f t="shared" si="38"/>
        <v>214.72899476643335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4.8760771158860345</v>
      </c>
      <c r="BR42" s="23">
        <f>EXP(-LN(2)/2)*BR41+(1-EXP(-LN(2)/2))/(LN(2)/2)*BL42*BO42*VLOOKUP('Données projet'!$B$11,Paramètres!$A$1:$I$89,3,0)*0.475*44/12</f>
        <v>0.19237612928115327</v>
      </c>
      <c r="BS42" s="24">
        <f t="shared" si="9"/>
        <v>5.0684532451671878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137</v>
      </c>
      <c r="L43" s="13">
        <f>VLOOKUP(A43,'Données projet'!$A$35:$I$55,9,0)</f>
        <v>8.4</v>
      </c>
      <c r="M43" s="13">
        <f t="array" ref="M43">INDEX(L:L,MIN(IF(ISNUMBER(L43:L239),ROW(L43:L239),"")))</f>
        <v>8.4</v>
      </c>
      <c r="N43" s="14">
        <f>IF('Données projet'!$A$36&gt;35,N42+M43-V42,IF(A43&lt;'Données projet'!$A$36,$K$205^A43,IF(A43='Données projet'!$A$36,'Données projet'!$B$36,N42+M43-V42)))</f>
        <v>137</v>
      </c>
      <c r="O43" s="14">
        <f>N43*VLOOKUP('Données projet'!$B$9,Paramètres!$A$1:$I$89,3,0)*VLOOKUP('Données projet'!$B$9,Paramètres!$A$1:$I$89,5,0)</f>
        <v>123.9576</v>
      </c>
      <c r="P43" s="14">
        <f t="shared" si="33"/>
        <v>32.59629414926458</v>
      </c>
      <c r="Q43" s="22">
        <f t="shared" si="53"/>
        <v>272.6646989766358</v>
      </c>
      <c r="R43" s="62">
        <f t="shared" si="0"/>
        <v>565.99803230996918</v>
      </c>
      <c r="S43" s="62">
        <f ca="1">AVERAGE(OFFSET($R$3,0,0,'Données projet'!$E$9+1,1))-AVERAGE(OFFSET($H$3,0,0,'Données projet'!$E$9+1,1))</f>
        <v>371.75294069149942</v>
      </c>
      <c r="T43" s="62">
        <f t="shared" si="34"/>
        <v>233.32640143610547</v>
      </c>
      <c r="U43" s="16">
        <f>IF(ISNA(VLOOKUP(A43,'Données projet'!$A$35:$I$55,3,0)),0,VLOOKUP(A43,'Données projet'!$A$35:$I$55,3,0))</f>
        <v>4</v>
      </c>
      <c r="V43" s="16">
        <f>IF(ISNA(VLOOKUP(A43,'Données projet'!$A$35:$I$55,4,0)),0,VLOOKUP(A43,'Données projet'!$A$35:$I$55,4,0))</f>
        <v>21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526.19000000000005</v>
      </c>
      <c r="AG43" s="13">
        <f>VLOOKUP(A43,'Données projet'!$A$61:$I$81,9,0)</f>
        <v>28.095000000000027</v>
      </c>
      <c r="AH43" s="13">
        <f t="array" ref="AH43">INDEX(AG:AG,MIN(IF(ISNUMBER(AG43:AG239),ROW(AG43:AG239),"")))</f>
        <v>28.095000000000027</v>
      </c>
      <c r="AI43" s="14">
        <f>IF('Données projet'!$A$62&gt;35,AI42+AH43-AQ42,IF(A43&lt;'Données projet'!$A$62,$AF$205^A43,IF(A43='Données projet'!$A$62,'Données projet'!$B$62,AI42+AH43-AQ42)))</f>
        <v>526.19000000000005</v>
      </c>
      <c r="AJ43" s="14">
        <f>AI43*VLOOKUP('Données projet'!$B$10,Paramètres!$A$1:$I$89,3,0)*VLOOKUP('Données projet'!$B$10,Paramètres!$A$1:$I$89,5,0)</f>
        <v>294.14021000000002</v>
      </c>
      <c r="AK43" s="14">
        <f t="shared" si="35"/>
        <v>69.946619671428806</v>
      </c>
      <c r="AL43" s="22">
        <f t="shared" si="4"/>
        <v>634.11789501107194</v>
      </c>
      <c r="AM43" s="62">
        <f t="shared" si="5"/>
        <v>927.45122834440531</v>
      </c>
      <c r="AN43" s="62">
        <f ca="1">AVERAGE(OFFSET($AM$3,0,0,'Données projet'!$E$10+1,1))-AVERAGE(OFFSET($H$3,0,0,'Données projet'!$E$10+1,1))</f>
        <v>405.09126081846171</v>
      </c>
      <c r="AO43" s="62">
        <f t="shared" si="36"/>
        <v>534.22295841722166</v>
      </c>
      <c r="AP43" s="16">
        <f>IF(ISNA(VLOOKUP(A43,'Données projet'!$A$61:$I$81,3,0)),0,VLOOKUP(A43,'Données projet'!$A$61:$I$81,3,0))</f>
        <v>13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1.9737934491944504</v>
      </c>
      <c r="AV43" s="23">
        <f>EXP(-LN(2)/25)*AV42+(1-EXP(-LN(2)/25))/(LN(2)/25)*Calculateur!AQ43*Calculateur!AS43*VLOOKUP('Données projet'!$B$10,Paramètres!$A$1:$I$89,3,0)*0.475*44/12</f>
        <v>6.6063380753356844</v>
      </c>
      <c r="AW43" s="23">
        <f>EXP(-LN(2)/2)*AW42+(1-EXP(-LN(2)/2))/(LN(2)/2)*AQ43*AT43*VLOOKUP('Données projet'!$B$10,Paramètres!$A$1:$I$89,3,0)*0.475*44/12</f>
        <v>1.156125826660644E-2</v>
      </c>
      <c r="AX43" s="23">
        <f t="shared" si="6"/>
        <v>8.5916927827967413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207</v>
      </c>
      <c r="BB43" s="13">
        <f>VLOOKUP(A43,'Données projet'!$A$87:$I$107,9,0)</f>
        <v>12.8</v>
      </c>
      <c r="BC43" s="13">
        <f t="array" ref="BC43">INDEX(BB:BB,MIN(IF(ISNUMBER(BB43:BB239),ROW(BB43:BB239),"")))</f>
        <v>12.8</v>
      </c>
      <c r="BD43" s="13">
        <f>IF('Données projet'!$A$88&gt;35,BD42+BC43-BL42,IF(A43&lt;'Données projet'!$A$88,$BA$205^A43,IF(A43='Données projet'!$A$88,'Données projet'!$B$88,BD42+BC43-BL42)))</f>
        <v>207.00000000000011</v>
      </c>
      <c r="BE43" s="14">
        <f>BD43*VLOOKUP('Données projet'!$B$11,Paramètres!$A$1:$I$89,3,0)*VLOOKUP('Données projet'!$B$11,Paramètres!$A$1:$I$89,5,0)</f>
        <v>118.40400000000008</v>
      </c>
      <c r="BF43" s="14">
        <f t="shared" si="37"/>
        <v>31.302468930496421</v>
      </c>
      <c r="BG43" s="22">
        <f t="shared" si="7"/>
        <v>260.73876672061471</v>
      </c>
      <c r="BH43" s="62">
        <f t="shared" si="8"/>
        <v>554.07210005394802</v>
      </c>
      <c r="BI43" s="62">
        <f ca="1">AVERAGE(OFFSET($BH$3,0,0,'Données projet'!$E$11+1,1))-AVERAGE(OFFSET($H$3,0,0,'Données projet'!$E$11+1,1))</f>
        <v>258.09881752732008</v>
      </c>
      <c r="BJ43" s="62">
        <f t="shared" si="38"/>
        <v>214.72899476643335</v>
      </c>
      <c r="BK43" s="16">
        <f>IF(ISNA(VLOOKUP(A43,'Données projet'!$A$87:$I$107,3,0)),0,VLOOKUP(A43,'Données projet'!$A$87:$I$107,3,0))</f>
        <v>4</v>
      </c>
      <c r="BL43" s="16">
        <f>IF(ISNA(VLOOKUP(A43,'Données projet'!$A$87:$I$107,4,0)),0,VLOOKUP(A43,'Données projet'!$A$87:$I$107,4,0))</f>
        <v>37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4.74274053073038</v>
      </c>
      <c r="BR43" s="23">
        <f>EXP(-LN(2)/2)*BR42+(1-EXP(-LN(2)/2))/(LN(2)/2)*BL43*BO43*VLOOKUP('Données projet'!$B$11,Paramètres!$A$1:$I$89,3,0)*0.475*44/12</f>
        <v>0.13603046555312343</v>
      </c>
      <c r="BS43" s="24">
        <f t="shared" si="9"/>
        <v>4.8787709962835031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8.4</v>
      </c>
      <c r="N44" s="14">
        <f>IF('Données projet'!$A$36&gt;35,N43+M44-V43,IF(A44&lt;'Données projet'!$A$36,$K$205^A44,IF(A44='Données projet'!$A$36,'Données projet'!$B$36,N43+M44-V43)))</f>
        <v>124.4</v>
      </c>
      <c r="O44" s="14">
        <f>N44*VLOOKUP('Données projet'!$B$9,Paramètres!$A$1:$I$89,3,0)*VLOOKUP('Données projet'!$B$9,Paramètres!$A$1:$I$89,5,0)</f>
        <v>112.55712000000001</v>
      </c>
      <c r="P44" s="14">
        <f t="shared" si="33"/>
        <v>29.932653834140599</v>
      </c>
      <c r="Q44" s="22">
        <f t="shared" si="53"/>
        <v>248.16968942779488</v>
      </c>
      <c r="R44" s="62">
        <f t="shared" si="0"/>
        <v>541.50302276112825</v>
      </c>
      <c r="S44" s="62">
        <f ca="1">AVERAGE(OFFSET($R$3,0,0,'Données projet'!$E$9+1,1))-AVERAGE(OFFSET($H$3,0,0,'Données projet'!$E$9+1,1))</f>
        <v>371.75294069149942</v>
      </c>
      <c r="T44" s="62">
        <f t="shared" si="34"/>
        <v>233.32640143610547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28.849999999999966</v>
      </c>
      <c r="AI44" s="14">
        <f>IF('Données projet'!$A$62&gt;35,AI43+AH44-AQ43,IF(A44&lt;'Données projet'!$A$62,$AF$205^A44,IF(A44='Données projet'!$A$62,'Données projet'!$B$62,AI43+AH44-AQ43)))</f>
        <v>555.04</v>
      </c>
      <c r="AJ44" s="14">
        <f>AI44*VLOOKUP('Données projet'!$B$10,Paramètres!$A$1:$I$89,3,0)*VLOOKUP('Données projet'!$B$10,Paramètres!$A$1:$I$89,5,0)</f>
        <v>310.26736</v>
      </c>
      <c r="AK44" s="14">
        <f t="shared" si="35"/>
        <v>73.324662779260194</v>
      </c>
      <c r="AL44" s="22">
        <f t="shared" si="4"/>
        <v>668.08943967387813</v>
      </c>
      <c r="AM44" s="62">
        <f t="shared" si="5"/>
        <v>961.42277300721139</v>
      </c>
      <c r="AN44" s="62">
        <f ca="1">AVERAGE(OFFSET($AM$3,0,0,'Données projet'!$E$10+1,1))-AVERAGE(OFFSET($H$3,0,0,'Données projet'!$E$10+1,1))</f>
        <v>405.09126081846171</v>
      </c>
      <c r="AO44" s="62">
        <f t="shared" si="36"/>
        <v>534.22295841722166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1.9350885635508766</v>
      </c>
      <c r="AV44" s="23">
        <f>EXP(-LN(2)/25)*AV43+(1-EXP(-LN(2)/25))/(LN(2)/25)*Calculateur!AQ44*Calculateur!AS44*VLOOKUP('Données projet'!$B$10,Paramètres!$A$1:$I$89,3,0)*0.475*44/12</f>
        <v>6.4256874132534101</v>
      </c>
      <c r="AW44" s="23">
        <f>EXP(-LN(2)/2)*AW43+(1-EXP(-LN(2)/2))/(LN(2)/2)*AQ44*AT44*VLOOKUP('Données projet'!$B$10,Paramètres!$A$1:$I$89,3,0)*0.475*44/12</f>
        <v>8.1750441193664432E-3</v>
      </c>
      <c r="AX44" s="23">
        <f t="shared" si="6"/>
        <v>8.3689510209236548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11.6</v>
      </c>
      <c r="BD44" s="13">
        <f>IF('Données projet'!$A$88&gt;35,BD43+BC44-BL43,IF(A44&lt;'Données projet'!$A$88,$BA$205^A44,IF(A44='Données projet'!$A$88,'Données projet'!$B$88,BD43+BC44-BL43)))</f>
        <v>181.60000000000011</v>
      </c>
      <c r="BE44" s="14">
        <f>BD44*VLOOKUP('Données projet'!$B$11,Paramètres!$A$1:$I$89,3,0)*VLOOKUP('Données projet'!$B$11,Paramètres!$A$1:$I$89,5,0)</f>
        <v>103.87520000000008</v>
      </c>
      <c r="BF44" s="14">
        <f t="shared" si="37"/>
        <v>27.88315775295947</v>
      </c>
      <c r="BG44" s="22">
        <f t="shared" si="7"/>
        <v>229.47913975307119</v>
      </c>
      <c r="BH44" s="62">
        <f t="shared" si="8"/>
        <v>522.81247308640445</v>
      </c>
      <c r="BI44" s="62">
        <f ca="1">AVERAGE(OFFSET($BH$3,0,0,'Données projet'!$E$11+1,1))-AVERAGE(OFFSET($H$3,0,0,'Données projet'!$E$11+1,1))</f>
        <v>258.09881752732008</v>
      </c>
      <c r="BJ44" s="62">
        <f t="shared" si="38"/>
        <v>214.72899476643335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4.6130500415076732</v>
      </c>
      <c r="BR44" s="23">
        <f>EXP(-LN(2)/2)*BR43+(1-EXP(-LN(2)/2))/(LN(2)/2)*BL44*BO44*VLOOKUP('Données projet'!$B$11,Paramètres!$A$1:$I$89,3,0)*0.475*44/12</f>
        <v>9.6188064640576637E-2</v>
      </c>
      <c r="BS44" s="24">
        <f t="shared" si="9"/>
        <v>4.7092381061482502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8.4</v>
      </c>
      <c r="N45" s="14">
        <f>IF('Données projet'!$A$36&gt;35,N44+M45-V44,IF(A45&lt;'Données projet'!$A$36,$K$205^A45,IF(A45='Données projet'!$A$36,'Données projet'!$B$36,N44+M45-V44)))</f>
        <v>132.80000000000001</v>
      </c>
      <c r="O45" s="14">
        <f>N45*VLOOKUP('Données projet'!$B$9,Paramètres!$A$1:$I$89,3,0)*VLOOKUP('Données projet'!$B$9,Paramètres!$A$1:$I$89,5,0)</f>
        <v>120.15744000000001</v>
      </c>
      <c r="P45" s="14">
        <f t="shared" si="33"/>
        <v>31.711716786129845</v>
      </c>
      <c r="Q45" s="22">
        <f t="shared" si="53"/>
        <v>264.50544806917611</v>
      </c>
      <c r="R45" s="62">
        <f t="shared" si="0"/>
        <v>557.83878140250943</v>
      </c>
      <c r="S45" s="62">
        <f ca="1">AVERAGE(OFFSET($R$3,0,0,'Données projet'!$E$9+1,1))-AVERAGE(OFFSET($H$3,0,0,'Données projet'!$E$9+1,1))</f>
        <v>371.75294069149942</v>
      </c>
      <c r="T45" s="62">
        <f t="shared" si="34"/>
        <v>233.32640143610547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>
        <f>VLOOKUP(A45,'Données projet'!$A$61:$I$81,2,0)</f>
        <v>583.89</v>
      </c>
      <c r="AG45" s="13">
        <f>VLOOKUP(A45,'Données projet'!$A$61:$I$81,9,0)</f>
        <v>28.849999999999966</v>
      </c>
      <c r="AH45" s="13">
        <f t="array" ref="AH45">INDEX(AG:AG,MIN(IF(ISNUMBER(AG45:AG241),ROW(AG45:AG241),"")))</f>
        <v>28.849999999999966</v>
      </c>
      <c r="AI45" s="14">
        <f>IF('Données projet'!$A$62&gt;35,AI44+AH45-AQ44,IF(A45&lt;'Données projet'!$A$62,$AF$205^A45,IF(A45='Données projet'!$A$62,'Données projet'!$B$62,AI44+AH45-AQ44)))</f>
        <v>583.88999999999987</v>
      </c>
      <c r="AJ45" s="14">
        <f>AI45*VLOOKUP('Données projet'!$B$10,Paramètres!$A$1:$I$89,3,0)*VLOOKUP('Données projet'!$B$10,Paramètres!$A$1:$I$89,5,0)</f>
        <v>326.39450999999991</v>
      </c>
      <c r="AK45" s="14">
        <f t="shared" si="35"/>
        <v>76.68231983802859</v>
      </c>
      <c r="AL45" s="22">
        <f t="shared" si="4"/>
        <v>702.0254786345663</v>
      </c>
      <c r="AM45" s="62">
        <f t="shared" si="5"/>
        <v>995.35881196789956</v>
      </c>
      <c r="AN45" s="62">
        <f ca="1">AVERAGE(OFFSET($AM$3,0,0,'Données projet'!$E$10+1,1))-AVERAGE(OFFSET($H$3,0,0,'Données projet'!$E$10+1,1))</f>
        <v>405.09126081846171</v>
      </c>
      <c r="AO45" s="62">
        <f t="shared" si="36"/>
        <v>534.22295841722166</v>
      </c>
      <c r="AP45" s="16">
        <f>IF(ISNA(VLOOKUP(A45,'Données projet'!$A$61:$I$81,3,0)),0,VLOOKUP(A45,'Données projet'!$A$61:$I$81,3,0))</f>
        <v>14</v>
      </c>
      <c r="AQ45" s="16">
        <f>IF(ISNA(VLOOKUP(A45,'Données projet'!$A$61:$I$81,4,0)),0,VLOOKUP(A45,'Données projet'!$A$61:$I$81,4,0))</f>
        <v>91.25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1.8971426571071239</v>
      </c>
      <c r="AV45" s="23">
        <f>EXP(-LN(2)/25)*AV44+(1-EXP(-LN(2)/25))/(LN(2)/25)*Calculateur!AQ45*Calculateur!AS45*VLOOKUP('Données projet'!$B$10,Paramètres!$A$1:$I$89,3,0)*0.475*44/12</f>
        <v>6.2499766530257803</v>
      </c>
      <c r="AW45" s="23">
        <f>EXP(-LN(2)/2)*AW44+(1-EXP(-LN(2)/2))/(LN(2)/2)*AQ45*AT45*VLOOKUP('Données projet'!$B$10,Paramètres!$A$1:$I$89,3,0)*0.475*44/12</f>
        <v>5.7806291333032198E-3</v>
      </c>
      <c r="AX45" s="23">
        <f t="shared" si="6"/>
        <v>8.1528999392662076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11.6</v>
      </c>
      <c r="BD45" s="13">
        <f>IF('Données projet'!$A$88&gt;35,BD44+BC45-BL44,IF(A45&lt;'Données projet'!$A$88,$BA$205^A45,IF(A45='Données projet'!$A$88,'Données projet'!$B$88,BD44+BC45-BL44)))</f>
        <v>193.2000000000001</v>
      </c>
      <c r="BE45" s="14">
        <f>BD45*VLOOKUP('Données projet'!$B$11,Paramètres!$A$1:$I$89,3,0)*VLOOKUP('Données projet'!$B$11,Paramètres!$A$1:$I$89,5,0)</f>
        <v>110.51040000000008</v>
      </c>
      <c r="BF45" s="14">
        <f t="shared" si="37"/>
        <v>29.451206375056412</v>
      </c>
      <c r="BG45" s="22">
        <f t="shared" si="7"/>
        <v>243.76646443655667</v>
      </c>
      <c r="BH45" s="62">
        <f t="shared" si="8"/>
        <v>537.09979776988996</v>
      </c>
      <c r="BI45" s="62">
        <f ca="1">AVERAGE(OFFSET($BH$3,0,0,'Données projet'!$E$11+1,1))-AVERAGE(OFFSET($H$3,0,0,'Données projet'!$E$11+1,1))</f>
        <v>258.09881752732008</v>
      </c>
      <c r="BJ45" s="62">
        <f t="shared" si="38"/>
        <v>214.72899476643335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4.4869059455328877</v>
      </c>
      <c r="BR45" s="23">
        <f>EXP(-LN(2)/2)*BR44+(1-EXP(-LN(2)/2))/(LN(2)/2)*BL45*BO45*VLOOKUP('Données projet'!$B$11,Paramètres!$A$1:$I$89,3,0)*0.475*44/12</f>
        <v>6.8015232776561713E-2</v>
      </c>
      <c r="BS45" s="24">
        <f t="shared" si="9"/>
        <v>4.5549211783094492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8.4</v>
      </c>
      <c r="N46" s="14">
        <f>IF('Données projet'!$A$36&gt;35,N45+M46-V45,IF(A46&lt;'Données projet'!$A$36,$K$205^A46,IF(A46='Données projet'!$A$36,'Données projet'!$B$36,N45+M46-V45)))</f>
        <v>141.20000000000002</v>
      </c>
      <c r="O46" s="14">
        <f>N46*VLOOKUP('Données projet'!$B$9,Paramètres!$A$1:$I$89,3,0)*VLOOKUP('Données projet'!$B$9,Paramètres!$A$1:$I$89,5,0)</f>
        <v>127.75776</v>
      </c>
      <c r="P46" s="14">
        <f t="shared" si="33"/>
        <v>33.477720030956604</v>
      </c>
      <c r="Q46" s="22">
        <f t="shared" si="53"/>
        <v>280.81846105391611</v>
      </c>
      <c r="R46" s="62">
        <f t="shared" si="0"/>
        <v>574.15179438724942</v>
      </c>
      <c r="S46" s="62">
        <f ca="1">AVERAGE(OFFSET($R$3,0,0,'Données projet'!$E$9+1,1))-AVERAGE(OFFSET($H$3,0,0,'Données projet'!$E$9+1,1))</f>
        <v>371.75294069149942</v>
      </c>
      <c r="T46" s="62">
        <f t="shared" si="34"/>
        <v>233.32640143610547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26.495000000000005</v>
      </c>
      <c r="AI46" s="14">
        <f>IF('Données projet'!$A$62&gt;35,AI45+AH46-AQ45,IF(A46&lt;'Données projet'!$A$62,$AF$205^A46,IF(A46='Données projet'!$A$62,'Données projet'!$B$62,AI45+AH46-AQ45)))</f>
        <v>519.13499999999988</v>
      </c>
      <c r="AJ46" s="14">
        <f>AI46*VLOOKUP('Données projet'!$B$10,Paramètres!$A$1:$I$89,3,0)*VLOOKUP('Données projet'!$B$10,Paramètres!$A$1:$I$89,5,0)</f>
        <v>290.19646499999993</v>
      </c>
      <c r="AK46" s="14">
        <f t="shared" si="35"/>
        <v>69.11730885855718</v>
      </c>
      <c r="AL46" s="22">
        <f t="shared" si="4"/>
        <v>625.80482280365356</v>
      </c>
      <c r="AM46" s="62">
        <f t="shared" si="5"/>
        <v>919.13815613698694</v>
      </c>
      <c r="AN46" s="62">
        <f ca="1">AVERAGE(OFFSET($AM$3,0,0,'Données projet'!$E$10+1,1))-AVERAGE(OFFSET($H$3,0,0,'Données projet'!$E$10+1,1))</f>
        <v>405.09126081846171</v>
      </c>
      <c r="AO46" s="62">
        <f t="shared" si="36"/>
        <v>534.22295841722166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1.8599408467440157</v>
      </c>
      <c r="AV46" s="23">
        <f>EXP(-LN(2)/25)*AV45+(1-EXP(-LN(2)/25))/(LN(2)/25)*Calculateur!AQ46*Calculateur!AS46*VLOOKUP('Données projet'!$B$10,Paramètres!$A$1:$I$89,3,0)*0.475*44/12</f>
        <v>6.0790707127768027</v>
      </c>
      <c r="AW46" s="23">
        <f>EXP(-LN(2)/2)*AW45+(1-EXP(-LN(2)/2))/(LN(2)/2)*AQ46*AT46*VLOOKUP('Données projet'!$B$10,Paramètres!$A$1:$I$89,3,0)*0.475*44/12</f>
        <v>4.0875220596832216E-3</v>
      </c>
      <c r="AX46" s="23">
        <f t="shared" si="6"/>
        <v>7.9430990815805016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11.6</v>
      </c>
      <c r="BD46" s="13">
        <f>IF('Données projet'!$A$88&gt;35,BD45+BC46-BL45,IF(A46&lt;'Données projet'!$A$88,$BA$205^A46,IF(A46='Données projet'!$A$88,'Données projet'!$B$88,BD45+BC46-BL45)))</f>
        <v>204.8000000000001</v>
      </c>
      <c r="BE46" s="14">
        <f>BD46*VLOOKUP('Données projet'!$B$11,Paramètres!$A$1:$I$89,3,0)*VLOOKUP('Données projet'!$B$11,Paramètres!$A$1:$I$89,5,0)</f>
        <v>117.14560000000006</v>
      </c>
      <c r="BF46" s="14">
        <f t="shared" si="37"/>
        <v>31.008327463794476</v>
      </c>
      <c r="BG46" s="22">
        <f t="shared" si="7"/>
        <v>258.0347569994421</v>
      </c>
      <c r="BH46" s="62">
        <f t="shared" si="8"/>
        <v>551.36809033277541</v>
      </c>
      <c r="BI46" s="62">
        <f ca="1">AVERAGE(OFFSET($BH$3,0,0,'Données projet'!$E$11+1,1))-AVERAGE(OFFSET($H$3,0,0,'Données projet'!$E$11+1,1))</f>
        <v>258.09881752732008</v>
      </c>
      <c r="BJ46" s="62">
        <f t="shared" si="38"/>
        <v>214.72899476643335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4.3642112664961621</v>
      </c>
      <c r="BR46" s="23">
        <f>EXP(-LN(2)/2)*BR45+(1-EXP(-LN(2)/2))/(LN(2)/2)*BL46*BO46*VLOOKUP('Données projet'!$B$11,Paramètres!$A$1:$I$89,3,0)*0.475*44/12</f>
        <v>4.8094032320288319E-2</v>
      </c>
      <c r="BS46" s="24">
        <f t="shared" si="9"/>
        <v>4.4123052988164506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8.4</v>
      </c>
      <c r="N47" s="14">
        <f>IF('Données projet'!$A$36&gt;35,N46+M47-V46,IF(A47&lt;'Données projet'!$A$36,$K$205^A47,IF(A47='Données projet'!$A$36,'Données projet'!$B$36,N46+M47-V46)))</f>
        <v>149.60000000000002</v>
      </c>
      <c r="O47" s="14">
        <f>N47*VLOOKUP('Données projet'!$B$9,Paramètres!$A$1:$I$89,3,0)*VLOOKUP('Données projet'!$B$9,Paramètres!$A$1:$I$89,5,0)</f>
        <v>135.35808</v>
      </c>
      <c r="P47" s="14">
        <f t="shared" si="33"/>
        <v>35.231528980112834</v>
      </c>
      <c r="Q47" s="22">
        <f t="shared" si="53"/>
        <v>297.11023564036316</v>
      </c>
      <c r="R47" s="62">
        <f t="shared" si="0"/>
        <v>590.44356897369653</v>
      </c>
      <c r="S47" s="62">
        <f ca="1">AVERAGE(OFFSET($R$3,0,0,'Données projet'!$E$9+1,1))-AVERAGE(OFFSET($H$3,0,0,'Données projet'!$E$9+1,1))</f>
        <v>371.75294069149942</v>
      </c>
      <c r="T47" s="62">
        <f t="shared" si="34"/>
        <v>233.32640143610547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>
        <f>VLOOKUP(A47,'Données projet'!$A$61:$I$81,2,0)</f>
        <v>545.63</v>
      </c>
      <c r="AG47" s="13">
        <f>VLOOKUP(A47,'Données projet'!$A$61:$I$81,9,0)</f>
        <v>26.495000000000005</v>
      </c>
      <c r="AH47" s="13">
        <f t="array" ref="AH47">INDEX(AG:AG,MIN(IF(ISNUMBER(AG47:AG243),ROW(AG47:AG243),"")))</f>
        <v>26.495000000000005</v>
      </c>
      <c r="AI47" s="14">
        <f>IF('Données projet'!$A$62&gt;35,AI46+AH47-AQ46,IF(A47&lt;'Données projet'!$A$62,$AF$205^A47,IF(A47='Données projet'!$A$62,'Données projet'!$B$62,AI46+AH47-AQ46)))</f>
        <v>545.62999999999988</v>
      </c>
      <c r="AJ47" s="14">
        <f>AI47*VLOOKUP('Données projet'!$B$10,Paramètres!$A$1:$I$89,3,0)*VLOOKUP('Données projet'!$B$10,Paramètres!$A$1:$I$89,5,0)</f>
        <v>305.00716999999992</v>
      </c>
      <c r="AK47" s="14">
        <f t="shared" si="35"/>
        <v>72.225145248700485</v>
      </c>
      <c r="AL47" s="22">
        <f t="shared" si="4"/>
        <v>657.01294905815314</v>
      </c>
      <c r="AM47" s="62">
        <f t="shared" si="5"/>
        <v>950.34628239148651</v>
      </c>
      <c r="AN47" s="62">
        <f ca="1">AVERAGE(OFFSET($AM$3,0,0,'Données projet'!$E$10+1,1))-AVERAGE(OFFSET($H$3,0,0,'Données projet'!$E$10+1,1))</f>
        <v>405.09126081846171</v>
      </c>
      <c r="AO47" s="62">
        <f t="shared" si="36"/>
        <v>534.22295841722166</v>
      </c>
      <c r="AP47" s="16">
        <f>IF(ISNA(VLOOKUP(A47,'Données projet'!$A$61:$I$81,3,0)),0,VLOOKUP(A47,'Données projet'!$A$61:$I$81,3,0))</f>
        <v>15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1.8234685411912643</v>
      </c>
      <c r="AV47" s="23">
        <f>EXP(-LN(2)/25)*AV46+(1-EXP(-LN(2)/25))/(LN(2)/25)*Calculateur!AQ47*Calculateur!AS47*VLOOKUP('Données projet'!$B$10,Paramètres!$A$1:$I$89,3,0)*0.475*44/12</f>
        <v>5.9128382044514858</v>
      </c>
      <c r="AW47" s="23">
        <f>EXP(-LN(2)/2)*AW46+(1-EXP(-LN(2)/2))/(LN(2)/2)*AQ47*AT47*VLOOKUP('Données projet'!$B$10,Paramètres!$A$1:$I$89,3,0)*0.475*44/12</f>
        <v>2.8903145666516099E-3</v>
      </c>
      <c r="AX47" s="23">
        <f t="shared" si="6"/>
        <v>7.7391970602094018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11.6</v>
      </c>
      <c r="BD47" s="13">
        <f>IF('Données projet'!$A$88&gt;35,BD46+BC47-BL46,IF(A47&lt;'Données projet'!$A$88,$BA$205^A47,IF(A47='Données projet'!$A$88,'Données projet'!$B$88,BD46+BC47-BL46)))</f>
        <v>216.40000000000009</v>
      </c>
      <c r="BE47" s="14">
        <f>BD47*VLOOKUP('Données projet'!$B$11,Paramètres!$A$1:$I$89,3,0)*VLOOKUP('Données projet'!$B$11,Paramètres!$A$1:$I$89,5,0)</f>
        <v>123.78080000000006</v>
      </c>
      <c r="BF47" s="14">
        <f t="shared" si="37"/>
        <v>32.555210491234583</v>
      </c>
      <c r="BG47" s="22">
        <f t="shared" si="7"/>
        <v>272.28521827223369</v>
      </c>
      <c r="BH47" s="62">
        <f t="shared" si="8"/>
        <v>565.61855160556706</v>
      </c>
      <c r="BI47" s="62">
        <f ca="1">AVERAGE(OFFSET($BH$3,0,0,'Données projet'!$E$11+1,1))-AVERAGE(OFFSET($H$3,0,0,'Données projet'!$E$11+1,1))</f>
        <v>258.09881752732008</v>
      </c>
      <c r="BJ47" s="62">
        <f t="shared" si="38"/>
        <v>214.72899476643335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4.2448716799099282</v>
      </c>
      <c r="BR47" s="23">
        <f>EXP(-LN(2)/2)*BR46+(1-EXP(-LN(2)/2))/(LN(2)/2)*BL47*BO47*VLOOKUP('Données projet'!$B$11,Paramètres!$A$1:$I$89,3,0)*0.475*44/12</f>
        <v>3.4007616388280856E-2</v>
      </c>
      <c r="BS47" s="24">
        <f t="shared" si="9"/>
        <v>4.278879296298209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158</v>
      </c>
      <c r="L48" s="13">
        <f>VLOOKUP(A48,'Données projet'!$A$35:$I$55,9,0)</f>
        <v>8.4</v>
      </c>
      <c r="M48" s="13">
        <f t="array" ref="M48">INDEX(L:L,MIN(IF(ISNUMBER(L48:L244),ROW(L48:L244),"")))</f>
        <v>8.4</v>
      </c>
      <c r="N48" s="14">
        <f>IF('Données projet'!$A$36&gt;35,N47+M48-V47,IF(A48&lt;'Données projet'!$A$36,$K$205^A48,IF(A48='Données projet'!$A$36,'Données projet'!$B$36,N47+M48-V47)))</f>
        <v>158.00000000000003</v>
      </c>
      <c r="O48" s="14">
        <f>N48*VLOOKUP('Données projet'!$B$9,Paramètres!$A$1:$I$89,3,0)*VLOOKUP('Données projet'!$B$9,Paramètres!$A$1:$I$89,5,0)</f>
        <v>142.95840000000004</v>
      </c>
      <c r="P48" s="14">
        <f t="shared" si="33"/>
        <v>36.973906370811264</v>
      </c>
      <c r="Q48" s="22">
        <f t="shared" si="53"/>
        <v>313.38210026249641</v>
      </c>
      <c r="R48" s="62">
        <f t="shared" si="0"/>
        <v>606.71543359582972</v>
      </c>
      <c r="S48" s="62">
        <f ca="1">AVERAGE(OFFSET($R$3,0,0,'Données projet'!$E$9+1,1))-AVERAGE(OFFSET($H$3,0,0,'Données projet'!$E$9+1,1))</f>
        <v>371.75294069149942</v>
      </c>
      <c r="T48" s="62">
        <f t="shared" si="34"/>
        <v>233.32640143610547</v>
      </c>
      <c r="U48" s="16">
        <f>IF(ISNA(VLOOKUP(A48,'Données projet'!$A$35:$I$55,3,0)),0,VLOOKUP(A48,'Données projet'!$A$35:$I$55,3,0))</f>
        <v>5</v>
      </c>
      <c r="V48" s="16">
        <f>IF(ISNA(VLOOKUP(A48,'Données projet'!$A$35:$I$55,4,0)),0,VLOOKUP(A48,'Données projet'!$A$35:$I$55,4,0))</f>
        <v>21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27.08499999999998</v>
      </c>
      <c r="AI48" s="14">
        <f>IF('Données projet'!$A$62&gt;35,AI47+AH48-AQ47,IF(A48&lt;'Données projet'!$A$62,$AF$205^A48,IF(A48='Données projet'!$A$62,'Données projet'!$B$62,AI47+AH48-AQ47)))</f>
        <v>572.71499999999992</v>
      </c>
      <c r="AJ48" s="14">
        <f>AI48*VLOOKUP('Données projet'!$B$10,Paramètres!$A$1:$I$89,3,0)*VLOOKUP('Données projet'!$B$10,Paramètres!$A$1:$I$89,5,0)</f>
        <v>320.14768499999997</v>
      </c>
      <c r="AK48" s="14">
        <f t="shared" si="35"/>
        <v>75.384081573989107</v>
      </c>
      <c r="AL48" s="22">
        <f t="shared" si="4"/>
        <v>688.88449344969774</v>
      </c>
      <c r="AM48" s="62">
        <f t="shared" si="5"/>
        <v>982.21782678303111</v>
      </c>
      <c r="AN48" s="62">
        <f ca="1">AVERAGE(OFFSET($AM$3,0,0,'Données projet'!$E$10+1,1))-AVERAGE(OFFSET($H$3,0,0,'Données projet'!$E$10+1,1))</f>
        <v>405.09126081846171</v>
      </c>
      <c r="AO48" s="62">
        <f t="shared" si="36"/>
        <v>534.22295841722166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1.7877114353044925</v>
      </c>
      <c r="AV48" s="23">
        <f>EXP(-LN(2)/25)*AV47+(1-EXP(-LN(2)/25))/(LN(2)/25)*Calculateur!AQ48*Calculateur!AS48*VLOOKUP('Données projet'!$B$10,Paramètres!$A$1:$I$89,3,0)*0.475*44/12</f>
        <v>5.7511513328081127</v>
      </c>
      <c r="AW48" s="23">
        <f>EXP(-LN(2)/2)*AW47+(1-EXP(-LN(2)/2))/(LN(2)/2)*AQ48*AT48*VLOOKUP('Données projet'!$B$10,Paramètres!$A$1:$I$89,3,0)*0.475*44/12</f>
        <v>2.0437610298416108E-3</v>
      </c>
      <c r="AX48" s="23">
        <f t="shared" si="6"/>
        <v>7.5409065291424469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11.6</v>
      </c>
      <c r="BD48" s="13">
        <f>IF('Données projet'!$A$88&gt;35,BD47+BC48-BL47,IF(A48&lt;'Données projet'!$A$88,$BA$205^A48,IF(A48='Données projet'!$A$88,'Données projet'!$B$88,BD47+BC48-BL47)))</f>
        <v>228.00000000000009</v>
      </c>
      <c r="BE48" s="14">
        <f>BD48*VLOOKUP('Données projet'!$B$11,Paramètres!$A$1:$I$89,3,0)*VLOOKUP('Données projet'!$B$11,Paramètres!$A$1:$I$89,5,0)</f>
        <v>130.41600000000005</v>
      </c>
      <c r="BF48" s="14">
        <f t="shared" si="37"/>
        <v>34.092466837179941</v>
      </c>
      <c r="BG48" s="22">
        <f t="shared" si="7"/>
        <v>286.51891307475512</v>
      </c>
      <c r="BH48" s="62">
        <f t="shared" si="8"/>
        <v>579.85224640808838</v>
      </c>
      <c r="BI48" s="62">
        <f ca="1">AVERAGE(OFFSET($BH$3,0,0,'Données projet'!$E$11+1,1))-AVERAGE(OFFSET($H$3,0,0,'Données projet'!$E$11+1,1))</f>
        <v>258.09881752732008</v>
      </c>
      <c r="BJ48" s="62">
        <f t="shared" si="38"/>
        <v>214.72899476643335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4.1287954405946916</v>
      </c>
      <c r="BR48" s="23">
        <f>EXP(-LN(2)/2)*BR47+(1-EXP(-LN(2)/2))/(LN(2)/2)*BL48*BO48*VLOOKUP('Données projet'!$B$11,Paramètres!$A$1:$I$89,3,0)*0.475*44/12</f>
        <v>2.4047016160144159E-2</v>
      </c>
      <c r="BS48" s="24">
        <f t="shared" si="9"/>
        <v>4.1528424567548354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8.4</v>
      </c>
      <c r="N49" s="14">
        <f>IF('Données projet'!$A$36&gt;35,N48+M49-V48,IF(A49&lt;'Données projet'!$A$36,$K$205^A49,IF(A49='Données projet'!$A$36,'Données projet'!$B$36,N48+M49-V48)))</f>
        <v>145.40000000000003</v>
      </c>
      <c r="O49" s="14">
        <f>N49*VLOOKUP('Données projet'!$B$9,Paramètres!$A$1:$I$89,3,0)*VLOOKUP('Données projet'!$B$9,Paramètres!$A$1:$I$89,5,0)</f>
        <v>131.55792000000002</v>
      </c>
      <c r="P49" s="14">
        <f t="shared" si="33"/>
        <v>34.3560989338864</v>
      </c>
      <c r="Q49" s="22">
        <f t="shared" si="53"/>
        <v>288.96691630985219</v>
      </c>
      <c r="R49" s="62">
        <f t="shared" si="0"/>
        <v>582.30024964318545</v>
      </c>
      <c r="S49" s="62">
        <f ca="1">AVERAGE(OFFSET($R$3,0,0,'Données projet'!$E$9+1,1))-AVERAGE(OFFSET($H$3,0,0,'Données projet'!$E$9+1,1))</f>
        <v>371.75294069149942</v>
      </c>
      <c r="T49" s="62">
        <f t="shared" si="34"/>
        <v>233.32640143610547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>
        <f>VLOOKUP(A49,'Données projet'!$A$61:$I$81,2,0)</f>
        <v>599.79999999999995</v>
      </c>
      <c r="AG49" s="13">
        <f>VLOOKUP(A49,'Données projet'!$A$61:$I$81,9,0)</f>
        <v>27.08499999999998</v>
      </c>
      <c r="AH49" s="13">
        <f t="array" ref="AH49">INDEX(AG:AG,MIN(IF(ISNUMBER(AG49:AG245),ROW(AG49:AG245),"")))</f>
        <v>27.08499999999998</v>
      </c>
      <c r="AI49" s="14">
        <f>IF('Données projet'!$A$62&gt;35,AI48+AH49-AQ48,IF(A49&lt;'Données projet'!$A$62,$AF$205^A49,IF(A49='Données projet'!$A$62,'Données projet'!$B$62,AI48+AH49-AQ48)))</f>
        <v>599.79999999999995</v>
      </c>
      <c r="AJ49" s="14">
        <f>AI49*VLOOKUP('Données projet'!$B$10,Paramètres!$A$1:$I$89,3,0)*VLOOKUP('Données projet'!$B$10,Paramètres!$A$1:$I$89,5,0)</f>
        <v>335.28820000000002</v>
      </c>
      <c r="AK49" s="14">
        <f t="shared" si="35"/>
        <v>78.525669464786546</v>
      </c>
      <c r="AL49" s="22">
        <f t="shared" si="4"/>
        <v>720.72582265116989</v>
      </c>
      <c r="AM49" s="62">
        <f t="shared" si="5"/>
        <v>1014.0591559845031</v>
      </c>
      <c r="AN49" s="62">
        <f ca="1">AVERAGE(OFFSET($AM$3,0,0,'Données projet'!$E$10+1,1))-AVERAGE(OFFSET($H$3,0,0,'Données projet'!$E$10+1,1))</f>
        <v>405.09126081846171</v>
      </c>
      <c r="AO49" s="62">
        <f t="shared" si="36"/>
        <v>534.22295841722166</v>
      </c>
      <c r="AP49" s="16">
        <f>IF(ISNA(VLOOKUP(A49,'Données projet'!$A$61:$I$81,3,0)),0,VLOOKUP(A49,'Données projet'!$A$61:$I$81,3,0))</f>
        <v>16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1.7526555044544792</v>
      </c>
      <c r="AV49" s="23">
        <f>EXP(-LN(2)/25)*AV48+(1-EXP(-LN(2)/25))/(LN(2)/25)*Calculateur!AQ49*Calculateur!AS49*VLOOKUP('Données projet'!$B$10,Paramètres!$A$1:$I$89,3,0)*0.475*44/12</f>
        <v>5.5938857971725708</v>
      </c>
      <c r="AW49" s="23">
        <f>EXP(-LN(2)/2)*AW48+(1-EXP(-LN(2)/2))/(LN(2)/2)*AQ49*AT49*VLOOKUP('Données projet'!$B$10,Paramètres!$A$1:$I$89,3,0)*0.475*44/12</f>
        <v>1.445157283325805E-3</v>
      </c>
      <c r="AX49" s="23">
        <f t="shared" si="6"/>
        <v>7.3479864589103752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11.6</v>
      </c>
      <c r="BD49" s="13">
        <f>IF('Données projet'!$A$88&gt;35,BD48+BC49-BL48,IF(A49&lt;'Données projet'!$A$88,$BA$205^A49,IF(A49='Données projet'!$A$88,'Données projet'!$B$88,BD48+BC49-BL48)))</f>
        <v>239.60000000000008</v>
      </c>
      <c r="BE49" s="14">
        <f>BD49*VLOOKUP('Données projet'!$B$11,Paramètres!$A$1:$I$89,3,0)*VLOOKUP('Données projet'!$B$11,Paramètres!$A$1:$I$89,5,0)</f>
        <v>137.05120000000005</v>
      </c>
      <c r="BF49" s="14">
        <f t="shared" si="37"/>
        <v>35.620642156874403</v>
      </c>
      <c r="BG49" s="22">
        <f t="shared" si="7"/>
        <v>300.73679175655633</v>
      </c>
      <c r="BH49" s="62">
        <f t="shared" si="8"/>
        <v>594.07012508988964</v>
      </c>
      <c r="BI49" s="62">
        <f ca="1">AVERAGE(OFFSET($BH$3,0,0,'Données projet'!$E$11+1,1))-AVERAGE(OFFSET($H$3,0,0,'Données projet'!$E$11+1,1))</f>
        <v>258.09881752732008</v>
      </c>
      <c r="BJ49" s="62">
        <f t="shared" si="38"/>
        <v>214.72899476643335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4.0158933121477141</v>
      </c>
      <c r="BR49" s="23">
        <f>EXP(-LN(2)/2)*BR48+(1-EXP(-LN(2)/2))/(LN(2)/2)*BL49*BO49*VLOOKUP('Données projet'!$B$11,Paramètres!$A$1:$I$89,3,0)*0.475*44/12</f>
        <v>1.7003808194140428E-2</v>
      </c>
      <c r="BS49" s="24">
        <f t="shared" si="9"/>
        <v>4.0328971203418549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8.4</v>
      </c>
      <c r="N50" s="14">
        <f>IF('Données projet'!$A$36&gt;35,N49+M50-V49,IF(A50&lt;'Données projet'!$A$36,$K$205^A50,IF(A50='Données projet'!$A$36,'Données projet'!$B$36,N49+M50-V49)))</f>
        <v>153.80000000000004</v>
      </c>
      <c r="O50" s="14">
        <f>N50*VLOOKUP('Données projet'!$B$9,Paramètres!$A$1:$I$89,3,0)*VLOOKUP('Données projet'!$B$9,Paramètres!$A$1:$I$89,5,0)</f>
        <v>139.15824000000003</v>
      </c>
      <c r="P50" s="14">
        <f t="shared" si="33"/>
        <v>36.104102468715482</v>
      </c>
      <c r="Q50" s="22">
        <f t="shared" si="53"/>
        <v>305.24857979967953</v>
      </c>
      <c r="R50" s="62">
        <f t="shared" si="0"/>
        <v>598.5819131330129</v>
      </c>
      <c r="S50" s="62">
        <f ca="1">AVERAGE(OFFSET($R$3,0,0,'Données projet'!$E$9+1,1))-AVERAGE(OFFSET($H$3,0,0,'Données projet'!$E$9+1,1))</f>
        <v>371.75294069149942</v>
      </c>
      <c r="T50" s="62">
        <f t="shared" si="34"/>
        <v>233.32640143610547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27.625</v>
      </c>
      <c r="AI50" s="14">
        <f>IF('Données projet'!$A$62&gt;35,AI49+AH50-AQ49,IF(A50&lt;'Données projet'!$A$62,$AF$205^A50,IF(A50='Données projet'!$A$62,'Données projet'!$B$62,AI49+AH50-AQ49)))</f>
        <v>627.42499999999995</v>
      </c>
      <c r="AJ50" s="14">
        <f>AI50*VLOOKUP('Données projet'!$B$10,Paramètres!$A$1:$I$89,3,0)*VLOOKUP('Données projet'!$B$10,Paramètres!$A$1:$I$89,5,0)</f>
        <v>350.73057499999993</v>
      </c>
      <c r="AK50" s="14">
        <f t="shared" si="35"/>
        <v>81.712925956903931</v>
      </c>
      <c r="AL50" s="22">
        <f t="shared" si="4"/>
        <v>753.17243083327423</v>
      </c>
      <c r="AM50" s="62">
        <f t="shared" si="5"/>
        <v>1046.5057641666076</v>
      </c>
      <c r="AN50" s="62">
        <f ca="1">AVERAGE(OFFSET($AM$3,0,0,'Données projet'!$E$10+1,1))-AVERAGE(OFFSET($H$3,0,0,'Données projet'!$E$10+1,1))</f>
        <v>405.09126081846171</v>
      </c>
      <c r="AO50" s="62">
        <f t="shared" si="36"/>
        <v>534.22295841722166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1.7182869990264282</v>
      </c>
      <c r="AV50" s="23">
        <f>EXP(-LN(2)/25)*AV49+(1-EXP(-LN(2)/25))/(LN(2)/25)*Calculateur!AQ50*Calculateur!AS50*VLOOKUP('Données projet'!$B$10,Paramètres!$A$1:$I$89,3,0)*0.475*44/12</f>
        <v>5.4409206958792176</v>
      </c>
      <c r="AW50" s="23">
        <f>EXP(-LN(2)/2)*AW49+(1-EXP(-LN(2)/2))/(LN(2)/2)*AQ50*AT50*VLOOKUP('Données projet'!$B$10,Paramètres!$A$1:$I$89,3,0)*0.475*44/12</f>
        <v>1.0218805149208054E-3</v>
      </c>
      <c r="AX50" s="23">
        <f t="shared" si="6"/>
        <v>7.1602295754205674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11.6</v>
      </c>
      <c r="BD50" s="13">
        <f>IF('Données projet'!$A$88&gt;35,BD49+BC50-BL49,IF(A50&lt;'Données projet'!$A$88,$BA$205^A50,IF(A50='Données projet'!$A$88,'Données projet'!$B$88,BD49+BC50-BL49)))</f>
        <v>251.20000000000007</v>
      </c>
      <c r="BE50" s="14">
        <f>BD50*VLOOKUP('Données projet'!$B$11,Paramètres!$A$1:$I$89,3,0)*VLOOKUP('Données projet'!$B$11,Paramètres!$A$1:$I$89,5,0)</f>
        <v>143.68640000000005</v>
      </c>
      <c r="BF50" s="14">
        <f t="shared" si="37"/>
        <v>37.140226285695888</v>
      </c>
      <c r="BG50" s="22">
        <f t="shared" si="7"/>
        <v>314.93970744758707</v>
      </c>
      <c r="BH50" s="62">
        <f t="shared" si="8"/>
        <v>608.27304078092038</v>
      </c>
      <c r="BI50" s="62">
        <f ca="1">AVERAGE(OFFSET($BH$3,0,0,'Données projet'!$E$11+1,1))-AVERAGE(OFFSET($H$3,0,0,'Données projet'!$E$11+1,1))</f>
        <v>258.09881752732008</v>
      </c>
      <c r="BJ50" s="62">
        <f t="shared" si="38"/>
        <v>214.72899476643335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3.906078498340384</v>
      </c>
      <c r="BR50" s="23">
        <f>EXP(-LN(2)/2)*BR49+(1-EXP(-LN(2)/2))/(LN(2)/2)*BL50*BO50*VLOOKUP('Données projet'!$B$11,Paramètres!$A$1:$I$89,3,0)*0.475*44/12</f>
        <v>1.202350808007208E-2</v>
      </c>
      <c r="BS50" s="24">
        <f t="shared" si="9"/>
        <v>3.9181020064204559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8.4</v>
      </c>
      <c r="N51" s="14">
        <f>IF('Données projet'!$A$36&gt;35,N50+M51-V50,IF(A51&lt;'Données projet'!$A$36,$K$205^A51,IF(A51='Données projet'!$A$36,'Données projet'!$B$36,N50+M51-V50)))</f>
        <v>162.20000000000005</v>
      </c>
      <c r="O51" s="14">
        <f>N51*VLOOKUP('Données projet'!$B$9,Paramètres!$A$1:$I$89,3,0)*VLOOKUP('Données projet'!$B$9,Paramètres!$A$1:$I$89,5,0)</f>
        <v>146.75856000000005</v>
      </c>
      <c r="P51" s="14">
        <f t="shared" si="33"/>
        <v>37.841022770456242</v>
      </c>
      <c r="Q51" s="22">
        <f t="shared" si="53"/>
        <v>321.51093999187805</v>
      </c>
      <c r="R51" s="62">
        <f t="shared" si="0"/>
        <v>614.84427332521136</v>
      </c>
      <c r="S51" s="62">
        <f ca="1">AVERAGE(OFFSET($R$3,0,0,'Données projet'!$E$9+1,1))-AVERAGE(OFFSET($H$3,0,0,'Données projet'!$E$9+1,1))</f>
        <v>371.75294069149942</v>
      </c>
      <c r="T51" s="62">
        <f t="shared" si="34"/>
        <v>233.32640143610547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>
        <f>VLOOKUP(A51,'Données projet'!$A$61:$I$81,2,0)</f>
        <v>655.04999999999995</v>
      </c>
      <c r="AG51" s="13">
        <f>VLOOKUP(A51,'Données projet'!$A$61:$I$81,9,0)</f>
        <v>27.625</v>
      </c>
      <c r="AH51" s="13">
        <f t="array" ref="AH51">INDEX(AG:AG,MIN(IF(ISNUMBER(AG51:AG247),ROW(AG51:AG247),"")))</f>
        <v>27.625</v>
      </c>
      <c r="AI51" s="14">
        <f>IF('Données projet'!$A$62&gt;35,AI50+AH51-AQ50,IF(A51&lt;'Données projet'!$A$62,$AF$205^A51,IF(A51='Données projet'!$A$62,'Données projet'!$B$62,AI50+AH51-AQ50)))</f>
        <v>655.04999999999995</v>
      </c>
      <c r="AJ51" s="14">
        <f>AI51*VLOOKUP('Données projet'!$B$10,Paramètres!$A$1:$I$89,3,0)*VLOOKUP('Données projet'!$B$10,Paramètres!$A$1:$I$89,5,0)</f>
        <v>366.17295000000001</v>
      </c>
      <c r="AK51" s="14">
        <f t="shared" si="35"/>
        <v>84.883884000754321</v>
      </c>
      <c r="AL51" s="22">
        <f t="shared" si="4"/>
        <v>785.59065255131372</v>
      </c>
      <c r="AM51" s="62">
        <f t="shared" si="5"/>
        <v>1078.923985884647</v>
      </c>
      <c r="AN51" s="62">
        <f ca="1">AVERAGE(OFFSET($AM$3,0,0,'Données projet'!$E$10+1,1))-AVERAGE(OFFSET($H$3,0,0,'Données projet'!$E$10+1,1))</f>
        <v>405.09126081846171</v>
      </c>
      <c r="AO51" s="62">
        <f t="shared" si="36"/>
        <v>534.22295841722166</v>
      </c>
      <c r="AP51" s="16">
        <f>IF(ISNA(VLOOKUP(A51,'Données projet'!$A$61:$I$81,3,0)),0,VLOOKUP(A51,'Données projet'!$A$61:$I$81,3,0))</f>
        <v>17</v>
      </c>
      <c r="AQ51" s="16">
        <f>IF(ISNA(VLOOKUP(A51,'Données projet'!$A$61:$I$81,4,0)),0,VLOOKUP(A51,'Données projet'!$A$61:$I$81,4,0))</f>
        <v>101.34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1.684592439027103</v>
      </c>
      <c r="AV51" s="23">
        <f>EXP(-LN(2)/25)*AV50+(1-EXP(-LN(2)/25))/(LN(2)/25)*Calculateur!AQ51*Calculateur!AS51*VLOOKUP('Données projet'!$B$10,Paramètres!$A$1:$I$89,3,0)*0.475*44/12</f>
        <v>5.2921384333248165</v>
      </c>
      <c r="AW51" s="23">
        <f>EXP(-LN(2)/2)*AW50+(1-EXP(-LN(2)/2))/(LN(2)/2)*AQ51*AT51*VLOOKUP('Données projet'!$B$10,Paramètres!$A$1:$I$89,3,0)*0.475*44/12</f>
        <v>7.2257864166290248E-4</v>
      </c>
      <c r="AX51" s="23">
        <f t="shared" si="6"/>
        <v>6.9774534509935826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11.6</v>
      </c>
      <c r="BD51" s="13">
        <f>IF('Données projet'!$A$88&gt;35,BD50+BC51-BL50,IF(A51&lt;'Données projet'!$A$88,$BA$205^A51,IF(A51='Données projet'!$A$88,'Données projet'!$B$88,BD50+BC51-BL50)))</f>
        <v>262.80000000000007</v>
      </c>
      <c r="BE51" s="14">
        <f>BD51*VLOOKUP('Données projet'!$B$11,Paramètres!$A$1:$I$89,3,0)*VLOOKUP('Données projet'!$B$11,Paramètres!$A$1:$I$89,5,0)</f>
        <v>150.32160000000005</v>
      </c>
      <c r="BF51" s="14">
        <f t="shared" si="37"/>
        <v>38.651661262565312</v>
      </c>
      <c r="BG51" s="22">
        <f t="shared" si="7"/>
        <v>329.12843003230131</v>
      </c>
      <c r="BH51" s="62">
        <f t="shared" si="8"/>
        <v>622.46176336563462</v>
      </c>
      <c r="BI51" s="62">
        <f ca="1">AVERAGE(OFFSET($BH$3,0,0,'Données projet'!$E$11+1,1))-AVERAGE(OFFSET($H$3,0,0,'Données projet'!$E$11+1,1))</f>
        <v>258.09881752732008</v>
      </c>
      <c r="BJ51" s="62">
        <f t="shared" si="38"/>
        <v>214.72899476643335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3.7992665763915254</v>
      </c>
      <c r="BR51" s="23">
        <f>EXP(-LN(2)/2)*BR50+(1-EXP(-LN(2)/2))/(LN(2)/2)*BL51*BO51*VLOOKUP('Données projet'!$B$11,Paramètres!$A$1:$I$89,3,0)*0.475*44/12</f>
        <v>8.5019040970702141E-3</v>
      </c>
      <c r="BS51" s="24">
        <f t="shared" si="9"/>
        <v>3.8077684804885958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8.4</v>
      </c>
      <c r="N52" s="14">
        <f>IF('Données projet'!$A$36&gt;35,N51+M52-V51,IF(A52&lt;'Données projet'!$A$36,$K$205^A52,IF(A52='Données projet'!$A$36,'Données projet'!$B$36,N51+M52-V51)))</f>
        <v>170.60000000000005</v>
      </c>
      <c r="O52" s="14">
        <f>N52*VLOOKUP('Données projet'!$B$9,Paramètres!$A$1:$I$89,3,0)*VLOOKUP('Données projet'!$B$9,Paramètres!$A$1:$I$89,5,0)</f>
        <v>154.35888000000003</v>
      </c>
      <c r="P52" s="14">
        <f t="shared" si="33"/>
        <v>39.567499286120309</v>
      </c>
      <c r="Q52" s="22">
        <f t="shared" si="53"/>
        <v>337.75511058999291</v>
      </c>
      <c r="R52" s="62">
        <f t="shared" si="0"/>
        <v>631.08844392332617</v>
      </c>
      <c r="S52" s="62">
        <f ca="1">AVERAGE(OFFSET($R$3,0,0,'Données projet'!$E$9+1,1))-AVERAGE(OFFSET($H$3,0,0,'Données projet'!$E$9+1,1))</f>
        <v>371.75294069149942</v>
      </c>
      <c r="T52" s="62">
        <f t="shared" si="34"/>
        <v>233.32640143610547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25.205000000000041</v>
      </c>
      <c r="AI52" s="14">
        <f>IF('Données projet'!$A$62&gt;35,AI51+AH52-AQ51,IF(A52&lt;'Données projet'!$A$62,$AF$205^A52,IF(A52='Données projet'!$A$62,'Données projet'!$B$62,AI51+AH52-AQ51)))</f>
        <v>578.91499999999996</v>
      </c>
      <c r="AJ52" s="14">
        <f>AI52*VLOOKUP('Données projet'!$B$10,Paramètres!$A$1:$I$89,3,0)*VLOOKUP('Données projet'!$B$10,Paramètres!$A$1:$I$89,5,0)</f>
        <v>323.61348500000003</v>
      </c>
      <c r="AK52" s="14">
        <f t="shared" si="35"/>
        <v>76.10471743389418</v>
      </c>
      <c r="AL52" s="22">
        <f t="shared" si="4"/>
        <v>696.17586923903229</v>
      </c>
      <c r="AM52" s="62">
        <f t="shared" si="5"/>
        <v>989.50920257236567</v>
      </c>
      <c r="AN52" s="62">
        <f ca="1">AVERAGE(OFFSET($AM$3,0,0,'Données projet'!$E$10+1,1))-AVERAGE(OFFSET($H$3,0,0,'Données projet'!$E$10+1,1))</f>
        <v>405.09126081846171</v>
      </c>
      <c r="AO52" s="62">
        <f t="shared" si="36"/>
        <v>534.22295841722166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1.6515586087977121</v>
      </c>
      <c r="AV52" s="23">
        <f>EXP(-LN(2)/25)*AV51+(1-EXP(-LN(2)/25))/(LN(2)/25)*Calculateur!AQ52*Calculateur!AS52*VLOOKUP('Données projet'!$B$10,Paramètres!$A$1:$I$89,3,0)*0.475*44/12</f>
        <v>5.1474246295640844</v>
      </c>
      <c r="AW52" s="23">
        <f>EXP(-LN(2)/2)*AW51+(1-EXP(-LN(2)/2))/(LN(2)/2)*AQ52*AT52*VLOOKUP('Données projet'!$B$10,Paramètres!$A$1:$I$89,3,0)*0.475*44/12</f>
        <v>5.109402574604027E-4</v>
      </c>
      <c r="AX52" s="23">
        <f t="shared" si="6"/>
        <v>6.7994941786192573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11.6</v>
      </c>
      <c r="BD52" s="13">
        <f>IF('Données projet'!$A$88&gt;35,BD51+BC52-BL51,IF(A52&lt;'Données projet'!$A$88,$BA$205^A52,IF(A52='Données projet'!$A$88,'Données projet'!$B$88,BD51+BC52-BL51)))</f>
        <v>274.40000000000009</v>
      </c>
      <c r="BE52" s="14">
        <f>BD52*VLOOKUP('Données projet'!$B$11,Paramètres!$A$1:$I$89,3,0)*VLOOKUP('Données projet'!$B$11,Paramètres!$A$1:$I$89,5,0)</f>
        <v>156.95680000000007</v>
      </c>
      <c r="BF52" s="14">
        <f t="shared" si="37"/>
        <v>40.155347896746875</v>
      </c>
      <c r="BG52" s="22">
        <f t="shared" si="7"/>
        <v>343.30365758683416</v>
      </c>
      <c r="BH52" s="62">
        <f t="shared" si="8"/>
        <v>636.63699092016748</v>
      </c>
      <c r="BI52" s="62">
        <f ca="1">AVERAGE(OFFSET($BH$3,0,0,'Données projet'!$E$11+1,1))-AVERAGE(OFFSET($H$3,0,0,'Données projet'!$E$11+1,1))</f>
        <v>258.09881752732008</v>
      </c>
      <c r="BJ52" s="62">
        <f t="shared" si="38"/>
        <v>214.72899476643335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3.6953754320653531</v>
      </c>
      <c r="BR52" s="23">
        <f>EXP(-LN(2)/2)*BR51+(1-EXP(-LN(2)/2))/(LN(2)/2)*BL52*BO52*VLOOKUP('Données projet'!$B$11,Paramètres!$A$1:$I$89,3,0)*0.475*44/12</f>
        <v>6.0117540400360398E-3</v>
      </c>
      <c r="BS52" s="24">
        <f t="shared" si="9"/>
        <v>3.7013871861053893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179</v>
      </c>
      <c r="L53" s="13">
        <f>VLOOKUP(A53,'Données projet'!$A$35:$I$55,9,0)</f>
        <v>8.4</v>
      </c>
      <c r="M53" s="13">
        <f t="array" ref="M53">INDEX(L:L,MIN(IF(ISNUMBER(L53:L249),ROW(L53:L249),"")))</f>
        <v>8.4</v>
      </c>
      <c r="N53" s="14">
        <f>IF('Données projet'!$A$36&gt;35,N52+M53-V52,IF(A53&lt;'Données projet'!$A$36,$K$205^A53,IF(A53='Données projet'!$A$36,'Données projet'!$B$36,N52+M53-V52)))</f>
        <v>179.00000000000006</v>
      </c>
      <c r="O53" s="14">
        <f>N53*VLOOKUP('Données projet'!$B$9,Paramètres!$A$1:$I$89,3,0)*VLOOKUP('Données projet'!$B$9,Paramètres!$A$1:$I$89,5,0)</f>
        <v>161.95920000000004</v>
      </c>
      <c r="P53" s="14">
        <f t="shared" si="33"/>
        <v>41.284104935125725</v>
      </c>
      <c r="Q53" s="22">
        <f t="shared" si="53"/>
        <v>353.9820894286774</v>
      </c>
      <c r="R53" s="62">
        <f t="shared" si="0"/>
        <v>647.31542276201071</v>
      </c>
      <c r="S53" s="62">
        <f ca="1">AVERAGE(OFFSET($R$3,0,0,'Données projet'!$E$9+1,1))-AVERAGE(OFFSET($H$3,0,0,'Données projet'!$E$9+1,1))</f>
        <v>371.75294069149942</v>
      </c>
      <c r="T53" s="62">
        <f t="shared" si="34"/>
        <v>233.32640143610547</v>
      </c>
      <c r="U53" s="16">
        <f>IF(ISNA(VLOOKUP(A53,'Données projet'!$A$35:$I$55,3,0)),0,VLOOKUP(A53,'Données projet'!$A$35:$I$55,3,0))</f>
        <v>6</v>
      </c>
      <c r="V53" s="16">
        <f>IF(ISNA(VLOOKUP(A53,'Données projet'!$A$35:$I$55,4,0)),0,VLOOKUP(A53,'Données projet'!$A$35:$I$55,4,0))</f>
        <v>21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604.12</v>
      </c>
      <c r="AG53" s="13">
        <f>VLOOKUP(A53,'Données projet'!$A$61:$I$81,9,0)</f>
        <v>25.205000000000041</v>
      </c>
      <c r="AH53" s="13">
        <f t="array" ref="AH53">INDEX(AG:AG,MIN(IF(ISNUMBER(AG53:AG249),ROW(AG53:AG249),"")))</f>
        <v>25.205000000000041</v>
      </c>
      <c r="AI53" s="14">
        <f>IF('Données projet'!$A$62&gt;35,AI52+AH53-AQ52,IF(A53&lt;'Données projet'!$A$62,$AF$205^A53,IF(A53='Données projet'!$A$62,'Données projet'!$B$62,AI52+AH53-AQ52)))</f>
        <v>604.12</v>
      </c>
      <c r="AJ53" s="14">
        <f>AI53*VLOOKUP('Données projet'!$B$10,Paramètres!$A$1:$I$89,3,0)*VLOOKUP('Données projet'!$B$10,Paramètres!$A$1:$I$89,5,0)</f>
        <v>337.70308</v>
      </c>
      <c r="AK53" s="14">
        <f t="shared" si="35"/>
        <v>79.025201150271741</v>
      </c>
      <c r="AL53" s="22">
        <f t="shared" si="4"/>
        <v>725.80175633672332</v>
      </c>
      <c r="AM53" s="62">
        <f t="shared" si="5"/>
        <v>1019.1350896700567</v>
      </c>
      <c r="AN53" s="62">
        <f ca="1">AVERAGE(OFFSET($AM$3,0,0,'Données projet'!$E$10+1,1))-AVERAGE(OFFSET($H$3,0,0,'Données projet'!$E$10+1,1))</f>
        <v>405.09126081846171</v>
      </c>
      <c r="AO53" s="62">
        <f t="shared" si="36"/>
        <v>534.22295841722166</v>
      </c>
      <c r="AP53" s="16">
        <f>IF(ISNA(VLOOKUP(A53,'Données projet'!$A$61:$I$81,3,0)),0,VLOOKUP(A53,'Données projet'!$A$61:$I$81,3,0))</f>
        <v>18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1.6191725518304727</v>
      </c>
      <c r="AV53" s="23">
        <f>EXP(-LN(2)/25)*AV52+(1-EXP(-LN(2)/25))/(LN(2)/25)*Calculateur!AQ53*Calculateur!AS53*VLOOKUP('Données projet'!$B$10,Paramètres!$A$1:$I$89,3,0)*0.475*44/12</f>
        <v>5.006668032377358</v>
      </c>
      <c r="AW53" s="23">
        <f>EXP(-LN(2)/2)*AW52+(1-EXP(-LN(2)/2))/(LN(2)/2)*AQ53*AT53*VLOOKUP('Données projet'!$B$10,Paramètres!$A$1:$I$89,3,0)*0.475*44/12</f>
        <v>3.6128932083145124E-4</v>
      </c>
      <c r="AX53" s="23">
        <f t="shared" si="6"/>
        <v>6.6262018735286619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286</v>
      </c>
      <c r="BB53" s="13">
        <f>VLOOKUP(A53,'Données projet'!$A$87:$I$107,9,0)</f>
        <v>11.6</v>
      </c>
      <c r="BC53" s="13">
        <f t="array" ref="BC53">INDEX(BB:BB,MIN(IF(ISNUMBER(BB53:BB249),ROW(BB53:BB249),"")))</f>
        <v>11.6</v>
      </c>
      <c r="BD53" s="13">
        <f>IF('Données projet'!$A$88&gt;35,BD52+BC53-BL52,IF(A53&lt;'Données projet'!$A$88,$BA$205^A53,IF(A53='Données projet'!$A$88,'Données projet'!$B$88,BD52+BC53-BL52)))</f>
        <v>286.00000000000011</v>
      </c>
      <c r="BE53" s="14">
        <f>BD53*VLOOKUP('Données projet'!$B$11,Paramètres!$A$1:$I$89,3,0)*VLOOKUP('Données projet'!$B$11,Paramètres!$A$1:$I$89,5,0)</f>
        <v>163.59200000000007</v>
      </c>
      <c r="BF53" s="14">
        <f t="shared" si="37"/>
        <v>41.651651192923794</v>
      </c>
      <c r="BG53" s="22">
        <f t="shared" si="7"/>
        <v>357.46602582767576</v>
      </c>
      <c r="BH53" s="62">
        <f t="shared" si="8"/>
        <v>650.79935916100908</v>
      </c>
      <c r="BI53" s="62">
        <f ca="1">AVERAGE(OFFSET($BH$3,0,0,'Données projet'!$E$11+1,1))-AVERAGE(OFFSET($H$3,0,0,'Données projet'!$E$11+1,1))</f>
        <v>258.09881752732008</v>
      </c>
      <c r="BJ53" s="62">
        <f t="shared" si="38"/>
        <v>214.72899476643335</v>
      </c>
      <c r="BK53" s="16">
        <f>IF(ISNA(VLOOKUP(A53,'Données projet'!$A$87:$I$107,3,0)),0,VLOOKUP(A53,'Données projet'!$A$87:$I$107,3,0))</f>
        <v>5</v>
      </c>
      <c r="BL53" s="16">
        <f>IF(ISNA(VLOOKUP(A53,'Données projet'!$A$87:$I$107,4,0)),0,VLOOKUP(A53,'Données projet'!$A$87:$I$107,4,0))</f>
        <v>65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3.5943251965441778</v>
      </c>
      <c r="BR53" s="23">
        <f>EXP(-LN(2)/2)*BR52+(1-EXP(-LN(2)/2))/(LN(2)/2)*BL53*BO53*VLOOKUP('Données projet'!$B$11,Paramètres!$A$1:$I$89,3,0)*0.475*44/12</f>
        <v>4.250952048535107E-3</v>
      </c>
      <c r="BS53" s="24">
        <f t="shared" si="9"/>
        <v>3.5985761485927128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8</v>
      </c>
      <c r="N54" s="14">
        <f>IF('Données projet'!$A$36&gt;35,N53+M54-V53,IF(A54&lt;'Données projet'!$A$36,$K$205^A54,IF(A54='Données projet'!$A$36,'Données projet'!$B$36,N53+M54-V53)))</f>
        <v>166.00000000000006</v>
      </c>
      <c r="O54" s="14">
        <f>N54*VLOOKUP('Données projet'!$B$9,Paramètres!$A$1:$I$89,3,0)*VLOOKUP('Données projet'!$B$9,Paramètres!$A$1:$I$89,5,0)</f>
        <v>150.19680000000005</v>
      </c>
      <c r="P54" s="14">
        <f t="shared" si="33"/>
        <v>38.623305713694506</v>
      </c>
      <c r="Q54" s="22">
        <f t="shared" si="53"/>
        <v>328.86168411801799</v>
      </c>
      <c r="R54" s="62">
        <f t="shared" si="0"/>
        <v>622.1950174513513</v>
      </c>
      <c r="S54" s="62">
        <f ca="1">AVERAGE(OFFSET($R$3,0,0,'Données projet'!$E$9+1,1))-AVERAGE(OFFSET($H$3,0,0,'Données projet'!$E$9+1,1))</f>
        <v>371.75294069149942</v>
      </c>
      <c r="T54" s="62">
        <f t="shared" si="34"/>
        <v>233.32640143610547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25.71999999999997</v>
      </c>
      <c r="AI54" s="14">
        <f>IF('Données projet'!$A$62&gt;35,AI53+AH54-AQ53,IF(A54&lt;'Données projet'!$A$62,$AF$205^A54,IF(A54='Données projet'!$A$62,'Données projet'!$B$62,AI53+AH54-AQ53)))</f>
        <v>629.83999999999992</v>
      </c>
      <c r="AJ54" s="14">
        <f>AI54*VLOOKUP('Données projet'!$B$10,Paramètres!$A$1:$I$89,3,0)*VLOOKUP('Données projet'!$B$10,Paramètres!$A$1:$I$89,5,0)</f>
        <v>352.08055999999999</v>
      </c>
      <c r="AK54" s="14">
        <f t="shared" si="35"/>
        <v>81.99077226106516</v>
      </c>
      <c r="AL54" s="22">
        <f t="shared" si="4"/>
        <v>756.00757035468848</v>
      </c>
      <c r="AM54" s="62">
        <f t="shared" si="5"/>
        <v>1049.3409036880219</v>
      </c>
      <c r="AN54" s="62">
        <f ca="1">AVERAGE(OFFSET($AM$3,0,0,'Données projet'!$E$10+1,1))-AVERAGE(OFFSET($H$3,0,0,'Données projet'!$E$10+1,1))</f>
        <v>405.09126081846171</v>
      </c>
      <c r="AO54" s="62">
        <f t="shared" si="36"/>
        <v>534.22295841722166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1.5874215656868165</v>
      </c>
      <c r="AV54" s="23">
        <f>EXP(-LN(2)/25)*AV53+(1-EXP(-LN(2)/25))/(LN(2)/25)*Calculateur!AQ54*Calculateur!AS54*VLOOKUP('Données projet'!$B$10,Paramètres!$A$1:$I$89,3,0)*0.475*44/12</f>
        <v>4.8697604317427698</v>
      </c>
      <c r="AW54" s="23">
        <f>EXP(-LN(2)/2)*AW53+(1-EXP(-LN(2)/2))/(LN(2)/2)*AQ54*AT54*VLOOKUP('Données projet'!$B$10,Paramètres!$A$1:$I$89,3,0)*0.475*44/12</f>
        <v>2.5547012873020135E-4</v>
      </c>
      <c r="AX54" s="23">
        <f t="shared" si="6"/>
        <v>6.4574374675583162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10.8</v>
      </c>
      <c r="BD54" s="13">
        <f>IF('Données projet'!$A$88&gt;35,BD53+BC54-BL53,IF(A54&lt;'Données projet'!$A$88,$BA$205^A54,IF(A54='Données projet'!$A$88,'Données projet'!$B$88,BD53+BC54-BL53)))</f>
        <v>231.80000000000013</v>
      </c>
      <c r="BE54" s="14">
        <f>BD54*VLOOKUP('Données projet'!$B$11,Paramètres!$A$1:$I$89,3,0)*VLOOKUP('Données projet'!$B$11,Paramètres!$A$1:$I$89,5,0)</f>
        <v>132.58960000000008</v>
      </c>
      <c r="BF54" s="14">
        <f t="shared" si="37"/>
        <v>34.594051219951538</v>
      </c>
      <c r="BG54" s="22">
        <f t="shared" si="7"/>
        <v>291.17819254141574</v>
      </c>
      <c r="BH54" s="62">
        <f t="shared" si="8"/>
        <v>584.51152587474905</v>
      </c>
      <c r="BI54" s="62">
        <f ca="1">AVERAGE(OFFSET($BH$3,0,0,'Données projet'!$E$11+1,1))-AVERAGE(OFFSET($H$3,0,0,'Données projet'!$E$11+1,1))</f>
        <v>258.09881752732008</v>
      </c>
      <c r="BJ54" s="62">
        <f t="shared" si="38"/>
        <v>214.72899476643335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3.4960381850273303</v>
      </c>
      <c r="BR54" s="23">
        <f>EXP(-LN(2)/2)*BR53+(1-EXP(-LN(2)/2))/(LN(2)/2)*BL54*BO54*VLOOKUP('Données projet'!$B$11,Paramètres!$A$1:$I$89,3,0)*0.475*44/12</f>
        <v>3.0058770200180199E-3</v>
      </c>
      <c r="BS54" s="24">
        <f t="shared" si="9"/>
        <v>3.4990440620473482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8</v>
      </c>
      <c r="N55" s="14">
        <f>IF('Données projet'!$A$36&gt;35,N54+M55-V54,IF(A55&lt;'Données projet'!$A$36,$K$205^A55,IF(A55='Données projet'!$A$36,'Données projet'!$B$36,N54+M55-V54)))</f>
        <v>174.00000000000006</v>
      </c>
      <c r="O55" s="14">
        <f>N55*VLOOKUP('Données projet'!$B$9,Paramètres!$A$1:$I$89,3,0)*VLOOKUP('Données projet'!$B$9,Paramètres!$A$1:$I$89,5,0)</f>
        <v>157.43520000000007</v>
      </c>
      <c r="P55" s="14">
        <f t="shared" si="33"/>
        <v>40.263474653179919</v>
      </c>
      <c r="Q55" s="22">
        <f t="shared" si="53"/>
        <v>344.32519168762178</v>
      </c>
      <c r="R55" s="62">
        <f t="shared" si="0"/>
        <v>637.65852502095504</v>
      </c>
      <c r="S55" s="62">
        <f ca="1">AVERAGE(OFFSET($R$3,0,0,'Données projet'!$E$9+1,1))-AVERAGE(OFFSET($H$3,0,0,'Données projet'!$E$9+1,1))</f>
        <v>371.75294069149942</v>
      </c>
      <c r="T55" s="62">
        <f t="shared" si="34"/>
        <v>233.32640143610547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>
        <f>VLOOKUP(A55,'Données projet'!$A$61:$I$81,2,0)</f>
        <v>655.56</v>
      </c>
      <c r="AG55" s="13">
        <f>VLOOKUP(A55,'Données projet'!$A$61:$I$81,9,0)</f>
        <v>25.71999999999997</v>
      </c>
      <c r="AH55" s="13">
        <f t="array" ref="AH55">INDEX(AG:AG,MIN(IF(ISNUMBER(AG55:AG251),ROW(AG55:AG251),"")))</f>
        <v>25.71999999999997</v>
      </c>
      <c r="AI55" s="14">
        <f>IF('Données projet'!$A$62&gt;35,AI54+AH55-AQ54,IF(A55&lt;'Données projet'!$A$62,$AF$205^A55,IF(A55='Données projet'!$A$62,'Données projet'!$B$62,AI54+AH55-AQ54)))</f>
        <v>655.56</v>
      </c>
      <c r="AJ55" s="14">
        <f>AI55*VLOOKUP('Données projet'!$B$10,Paramètres!$A$1:$I$89,3,0)*VLOOKUP('Données projet'!$B$10,Paramètres!$A$1:$I$89,5,0)</f>
        <v>366.45803999999998</v>
      </c>
      <c r="AK55" s="14">
        <f t="shared" si="35"/>
        <v>84.942276491660508</v>
      </c>
      <c r="AL55" s="22">
        <f t="shared" si="4"/>
        <v>786.18888455630861</v>
      </c>
      <c r="AM55" s="62">
        <f t="shared" si="5"/>
        <v>1079.522217889642</v>
      </c>
      <c r="AN55" s="62">
        <f ca="1">AVERAGE(OFFSET($AM$3,0,0,'Données projet'!$E$10+1,1))-AVERAGE(OFFSET($H$3,0,0,'Données projet'!$E$10+1,1))</f>
        <v>405.09126081846171</v>
      </c>
      <c r="AO55" s="62">
        <f t="shared" si="36"/>
        <v>534.22295841722166</v>
      </c>
      <c r="AP55" s="16">
        <f>IF(ISNA(VLOOKUP(A55,'Données projet'!$A$61:$I$81,3,0)),0,VLOOKUP(A55,'Données projet'!$A$61:$I$81,3,0))</f>
        <v>19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1.556293197015248</v>
      </c>
      <c r="AV55" s="23">
        <f>EXP(-LN(2)/25)*AV54+(1-EXP(-LN(2)/25))/(LN(2)/25)*Calculateur!AQ55*Calculateur!AS55*VLOOKUP('Données projet'!$B$10,Paramètres!$A$1:$I$89,3,0)*0.475*44/12</f>
        <v>4.7365965766471927</v>
      </c>
      <c r="AW55" s="23">
        <f>EXP(-LN(2)/2)*AW54+(1-EXP(-LN(2)/2))/(LN(2)/2)*AQ55*AT55*VLOOKUP('Données projet'!$B$10,Paramètres!$A$1:$I$89,3,0)*0.475*44/12</f>
        <v>1.8064466041572562E-4</v>
      </c>
      <c r="AX55" s="23">
        <f t="shared" si="6"/>
        <v>6.2930704183228565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10.8</v>
      </c>
      <c r="BD55" s="13">
        <f>IF('Données projet'!$A$88&gt;35,BD54+BC55-BL54,IF(A55&lt;'Données projet'!$A$88,$BA$205^A55,IF(A55='Données projet'!$A$88,'Données projet'!$B$88,BD54+BC55-BL54)))</f>
        <v>242.60000000000014</v>
      </c>
      <c r="BE55" s="14">
        <f>BD55*VLOOKUP('Données projet'!$B$11,Paramètres!$A$1:$I$89,3,0)*VLOOKUP('Données projet'!$B$11,Paramètres!$A$1:$I$89,5,0)</f>
        <v>138.76720000000009</v>
      </c>
      <c r="BF55" s="14">
        <f t="shared" si="37"/>
        <v>36.014443113344079</v>
      </c>
      <c r="BG55" s="22">
        <f t="shared" si="7"/>
        <v>304.4113617557411</v>
      </c>
      <c r="BH55" s="62">
        <f t="shared" si="8"/>
        <v>597.74469508907441</v>
      </c>
      <c r="BI55" s="62">
        <f ca="1">AVERAGE(OFFSET($BH$3,0,0,'Données projet'!$E$11+1,1))-AVERAGE(OFFSET($H$3,0,0,'Données projet'!$E$11+1,1))</f>
        <v>258.09881752732008</v>
      </c>
      <c r="BJ55" s="62">
        <f t="shared" si="38"/>
        <v>214.72899476643335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3.4004388370091001</v>
      </c>
      <c r="BR55" s="23">
        <f>EXP(-LN(2)/2)*BR54+(1-EXP(-LN(2)/2))/(LN(2)/2)*BL55*BO55*VLOOKUP('Données projet'!$B$11,Paramètres!$A$1:$I$89,3,0)*0.475*44/12</f>
        <v>2.1254760242675535E-3</v>
      </c>
      <c r="BS55" s="24">
        <f t="shared" si="9"/>
        <v>3.4025643130333676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8</v>
      </c>
      <c r="N56" s="14">
        <f>IF('Données projet'!$A$36&gt;35,N55+M56-V55,IF(A56&lt;'Données projet'!$A$36,$K$205^A56,IF(A56='Données projet'!$A$36,'Données projet'!$B$36,N55+M56-V55)))</f>
        <v>182.00000000000006</v>
      </c>
      <c r="O56" s="14">
        <f>N56*VLOOKUP('Données projet'!$B$9,Paramètres!$A$1:$I$89,3,0)*VLOOKUP('Données projet'!$B$9,Paramètres!$A$1:$I$89,5,0)</f>
        <v>164.67360000000005</v>
      </c>
      <c r="P56" s="14">
        <f t="shared" si="33"/>
        <v>41.894886049197019</v>
      </c>
      <c r="Q56" s="22">
        <f t="shared" si="53"/>
        <v>359.77344653568485</v>
      </c>
      <c r="R56" s="62">
        <f t="shared" si="0"/>
        <v>653.10677986901817</v>
      </c>
      <c r="S56" s="62">
        <f ca="1">AVERAGE(OFFSET($R$3,0,0,'Données projet'!$E$9+1,1))-AVERAGE(OFFSET($H$3,0,0,'Données projet'!$E$9+1,1))</f>
        <v>371.75294069149942</v>
      </c>
      <c r="T56" s="62">
        <f t="shared" si="34"/>
        <v>233.32640143610547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26.095000000000027</v>
      </c>
      <c r="AI56" s="14">
        <f>IF('Données projet'!$A$62&gt;35,AI55+AH56-AQ55,IF(A56&lt;'Données projet'!$A$62,$AF$205^A56,IF(A56='Données projet'!$A$62,'Données projet'!$B$62,AI55+AH56-AQ55)))</f>
        <v>681.65499999999997</v>
      </c>
      <c r="AJ56" s="14">
        <f>AI56*VLOOKUP('Données projet'!$B$10,Paramètres!$A$1:$I$89,3,0)*VLOOKUP('Données projet'!$B$10,Paramètres!$A$1:$I$89,5,0)</f>
        <v>381.04514499999999</v>
      </c>
      <c r="AK56" s="14">
        <f t="shared" si="35"/>
        <v>87.92306934491728</v>
      </c>
      <c r="AL56" s="22">
        <f t="shared" si="4"/>
        <v>816.78630665073081</v>
      </c>
      <c r="AM56" s="62">
        <f t="shared" si="5"/>
        <v>1110.1196399840642</v>
      </c>
      <c r="AN56" s="62">
        <f ca="1">AVERAGE(OFFSET($AM$3,0,0,'Données projet'!$E$10+1,1))-AVERAGE(OFFSET($H$3,0,0,'Données projet'!$E$10+1,1))</f>
        <v>405.09126081846171</v>
      </c>
      <c r="AO56" s="62">
        <f t="shared" si="36"/>
        <v>534.22295841722166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1.5257752366668991</v>
      </c>
      <c r="AV56" s="23">
        <f>EXP(-LN(2)/25)*AV55+(1-EXP(-LN(2)/25))/(LN(2)/25)*Calculateur!AQ56*Calculateur!AS56*VLOOKUP('Données projet'!$B$10,Paramètres!$A$1:$I$89,3,0)*0.475*44/12</f>
        <v>4.6070740941719865</v>
      </c>
      <c r="AW56" s="23">
        <f>EXP(-LN(2)/2)*AW55+(1-EXP(-LN(2)/2))/(LN(2)/2)*AQ56*AT56*VLOOKUP('Données projet'!$B$10,Paramètres!$A$1:$I$89,3,0)*0.475*44/12</f>
        <v>1.2773506436510067E-4</v>
      </c>
      <c r="AX56" s="23">
        <f t="shared" si="6"/>
        <v>6.1329770659032503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10.8</v>
      </c>
      <c r="BD56" s="13">
        <f>IF('Données projet'!$A$88&gt;35,BD55+BC56-BL55,IF(A56&lt;'Données projet'!$A$88,$BA$205^A56,IF(A56='Données projet'!$A$88,'Données projet'!$B$88,BD55+BC56-BL55)))</f>
        <v>253.40000000000015</v>
      </c>
      <c r="BE56" s="14">
        <f>BD56*VLOOKUP('Données projet'!$B$11,Paramètres!$A$1:$I$89,3,0)*VLOOKUP('Données projet'!$B$11,Paramètres!$A$1:$I$89,5,0)</f>
        <v>144.9448000000001</v>
      </c>
      <c r="BF56" s="14">
        <f t="shared" si="37"/>
        <v>37.427491205949785</v>
      </c>
      <c r="BG56" s="22">
        <f t="shared" si="7"/>
        <v>317.63174051702936</v>
      </c>
      <c r="BH56" s="62">
        <f t="shared" si="8"/>
        <v>610.96507385036261</v>
      </c>
      <c r="BI56" s="62">
        <f ca="1">AVERAGE(OFFSET($BH$3,0,0,'Données projet'!$E$11+1,1))-AVERAGE(OFFSET($H$3,0,0,'Données projet'!$E$11+1,1))</f>
        <v>258.09881752732008</v>
      </c>
      <c r="BJ56" s="62">
        <f t="shared" si="38"/>
        <v>214.72899476643335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3.3074536581897798</v>
      </c>
      <c r="BR56" s="23">
        <f>EXP(-LN(2)/2)*BR55+(1-EXP(-LN(2)/2))/(LN(2)/2)*BL56*BO56*VLOOKUP('Données projet'!$B$11,Paramètres!$A$1:$I$89,3,0)*0.475*44/12</f>
        <v>1.50293851000901E-3</v>
      </c>
      <c r="BS56" s="24">
        <f t="shared" si="9"/>
        <v>3.3089565966997889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8</v>
      </c>
      <c r="N57" s="14">
        <f>IF('Données projet'!$A$36&gt;35,N56+M57-V56,IF(A57&lt;'Données projet'!$A$36,$K$205^A57,IF(A57='Données projet'!$A$36,'Données projet'!$B$36,N56+M57-V56)))</f>
        <v>190.00000000000006</v>
      </c>
      <c r="O57" s="14">
        <f>N57*VLOOKUP('Données projet'!$B$9,Paramètres!$A$1:$I$89,3,0)*VLOOKUP('Données projet'!$B$9,Paramètres!$A$1:$I$89,5,0)</f>
        <v>171.91200000000006</v>
      </c>
      <c r="P57" s="14">
        <f t="shared" si="33"/>
        <v>43.51796884103733</v>
      </c>
      <c r="Q57" s="22">
        <f t="shared" si="53"/>
        <v>375.2071957314734</v>
      </c>
      <c r="R57" s="62">
        <f t="shared" si="0"/>
        <v>668.54052906480672</v>
      </c>
      <c r="S57" s="62">
        <f ca="1">AVERAGE(OFFSET($R$3,0,0,'Données projet'!$E$9+1,1))-AVERAGE(OFFSET($H$3,0,0,'Données projet'!$E$9+1,1))</f>
        <v>371.75294069149942</v>
      </c>
      <c r="T57" s="62">
        <f t="shared" si="34"/>
        <v>233.32640143610547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>
        <f>VLOOKUP(A57,'Données projet'!$A$61:$I$81,2,0)</f>
        <v>707.75</v>
      </c>
      <c r="AG57" s="13">
        <f>VLOOKUP(A57,'Données projet'!$A$61:$I$81,9,0)</f>
        <v>26.095000000000027</v>
      </c>
      <c r="AH57" s="13">
        <f t="array" ref="AH57">INDEX(AG:AG,MIN(IF(ISNUMBER(AG57:AG253),ROW(AG57:AG253),"")))</f>
        <v>26.095000000000027</v>
      </c>
      <c r="AI57" s="14">
        <f>IF('Données projet'!$A$62&gt;35,AI56+AH57-AQ56,IF(A57&lt;'Données projet'!$A$62,$AF$205^A57,IF(A57='Données projet'!$A$62,'Données projet'!$B$62,AI56+AH57-AQ56)))</f>
        <v>707.75</v>
      </c>
      <c r="AJ57" s="14">
        <f>AI57*VLOOKUP('Données projet'!$B$10,Paramètres!$A$1:$I$89,3,0)*VLOOKUP('Données projet'!$B$10,Paramètres!$A$1:$I$89,5,0)</f>
        <v>395.63225</v>
      </c>
      <c r="AK57" s="14">
        <f t="shared" si="35"/>
        <v>90.890605900198707</v>
      </c>
      <c r="AL57" s="22">
        <f t="shared" si="4"/>
        <v>847.360640692846</v>
      </c>
      <c r="AM57" s="62">
        <f t="shared" si="5"/>
        <v>1140.6939740261794</v>
      </c>
      <c r="AN57" s="62">
        <f ca="1">AVERAGE(OFFSET($AM$3,0,0,'Données projet'!$E$10+1,1))-AVERAGE(OFFSET($H$3,0,0,'Données projet'!$E$10+1,1))</f>
        <v>405.09126081846171</v>
      </c>
      <c r="AO57" s="62">
        <f t="shared" si="36"/>
        <v>534.22295841722166</v>
      </c>
      <c r="AP57" s="16">
        <f>IF(ISNA(VLOOKUP(A57,'Données projet'!$A$61:$I$81,3,0)),0,VLOOKUP(A57,'Données projet'!$A$61:$I$81,3,0))</f>
        <v>20</v>
      </c>
      <c r="AQ57" s="16">
        <f>IF(ISNA(VLOOKUP(A57,'Données projet'!$A$61:$I$81,4,0)),0,VLOOKUP(A57,'Données projet'!$A$61:$I$81,4,0))</f>
        <v>707.75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1.4958557149068634</v>
      </c>
      <c r="AV57" s="23">
        <f>EXP(-LN(2)/25)*AV56+(1-EXP(-LN(2)/25))/(LN(2)/25)*Calculateur!AQ57*Calculateur!AS57*VLOOKUP('Données projet'!$B$10,Paramètres!$A$1:$I$89,3,0)*0.475*44/12</f>
        <v>4.4810934107913569</v>
      </c>
      <c r="AW57" s="23">
        <f>EXP(-LN(2)/2)*AW56+(1-EXP(-LN(2)/2))/(LN(2)/2)*AQ57*AT57*VLOOKUP('Données projet'!$B$10,Paramètres!$A$1:$I$89,3,0)*0.475*44/12</f>
        <v>9.032233020786281E-5</v>
      </c>
      <c r="AX57" s="23">
        <f t="shared" si="6"/>
        <v>5.9770394480284281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10.8</v>
      </c>
      <c r="BD57" s="13">
        <f>IF('Données projet'!$A$88&gt;35,BD56+BC57-BL56,IF(A57&lt;'Données projet'!$A$88,$BA$205^A57,IF(A57='Données projet'!$A$88,'Données projet'!$B$88,BD56+BC57-BL56)))</f>
        <v>264.20000000000016</v>
      </c>
      <c r="BE57" s="14">
        <f>BD57*VLOOKUP('Données projet'!$B$11,Paramètres!$A$1:$I$89,3,0)*VLOOKUP('Données projet'!$B$11,Paramètres!$A$1:$I$89,5,0)</f>
        <v>151.12240000000011</v>
      </c>
      <c r="BF57" s="14">
        <f t="shared" si="37"/>
        <v>38.833544276032519</v>
      </c>
      <c r="BG57" s="22">
        <f t="shared" si="7"/>
        <v>330.83993628075677</v>
      </c>
      <c r="BH57" s="62">
        <f t="shared" si="8"/>
        <v>624.17326961409003</v>
      </c>
      <c r="BI57" s="62">
        <f ca="1">AVERAGE(OFFSET($BH$3,0,0,'Données projet'!$E$11+1,1))-AVERAGE(OFFSET($H$3,0,0,'Données projet'!$E$11+1,1))</f>
        <v>258.09881752732008</v>
      </c>
      <c r="BJ57" s="62">
        <f t="shared" si="38"/>
        <v>214.72899476643335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3.2170111639751515</v>
      </c>
      <c r="BR57" s="23">
        <f>EXP(-LN(2)/2)*BR56+(1-EXP(-LN(2)/2))/(LN(2)/2)*BL57*BO57*VLOOKUP('Données projet'!$B$11,Paramètres!$A$1:$I$89,3,0)*0.475*44/12</f>
        <v>1.0627380121337768E-3</v>
      </c>
      <c r="BS57" s="24">
        <f t="shared" si="9"/>
        <v>3.2180739019872853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198</v>
      </c>
      <c r="L58" s="13">
        <f>VLOOKUP(A58,'Données projet'!$A$35:$I$55,9,0)</f>
        <v>8</v>
      </c>
      <c r="M58" s="13">
        <f t="array" ref="M58">INDEX(L:L,MIN(IF(ISNUMBER(L58:L254),ROW(L58:L254),"")))</f>
        <v>8</v>
      </c>
      <c r="N58" s="14">
        <f>IF('Données projet'!$A$36&gt;35,N57+M58-V57,IF(A58&lt;'Données projet'!$A$36,$K$205^A58,IF(A58='Données projet'!$A$36,'Données projet'!$B$36,N57+M58-V57)))</f>
        <v>198.00000000000006</v>
      </c>
      <c r="O58" s="14">
        <f>N58*VLOOKUP('Données projet'!$B$9,Paramètres!$A$1:$I$89,3,0)*VLOOKUP('Données projet'!$B$9,Paramètres!$A$1:$I$89,5,0)</f>
        <v>179.15040000000005</v>
      </c>
      <c r="P58" s="14">
        <f t="shared" si="33"/>
        <v>45.133113803437347</v>
      </c>
      <c r="Q58" s="22">
        <f t="shared" si="53"/>
        <v>390.62711987432004</v>
      </c>
      <c r="R58" s="62">
        <f t="shared" si="0"/>
        <v>683.96045320765336</v>
      </c>
      <c r="S58" s="62">
        <f ca="1">AVERAGE(OFFSET($R$3,0,0,'Données projet'!$E$9+1,1))-AVERAGE(OFFSET($H$3,0,0,'Données projet'!$E$9+1,1))</f>
        <v>371.75294069149942</v>
      </c>
      <c r="T58" s="62">
        <f t="shared" si="34"/>
        <v>233.32640143610547</v>
      </c>
      <c r="U58" s="16">
        <f>IF(ISNA(VLOOKUP(A58,'Données projet'!$A$35:$I$55,3,0)),0,VLOOKUP(A58,'Données projet'!$A$35:$I$55,3,0))</f>
        <v>7</v>
      </c>
      <c r="V58" s="16">
        <f>IF(ISNA(VLOOKUP(A58,'Données projet'!$A$35:$I$55,4,0)),0,VLOOKUP(A58,'Données projet'!$A$35:$I$55,4,0))</f>
        <v>21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>
        <f>AI58*VLOOKUP('Données projet'!$B$10,Paramètres!$A$1:$I$89,3,0)*VLOOKUP('Données projet'!$B$10,Paramètres!$A$1:$I$89,5,0)</f>
        <v>0</v>
      </c>
      <c r="AK58" s="14" t="e">
        <f t="shared" si="35"/>
        <v>#NUM!</v>
      </c>
      <c r="AL58" s="22" t="e">
        <f t="shared" si="4"/>
        <v>#NUM!</v>
      </c>
      <c r="AM58" s="62" t="e">
        <f t="shared" si="5"/>
        <v>#NUM!</v>
      </c>
      <c r="AN58" s="62">
        <f ca="1">AVERAGE(OFFSET($AM$3,0,0,'Données projet'!$E$10+1,1))-AVERAGE(OFFSET($H$3,0,0,'Données projet'!$E$10+1,1))</f>
        <v>405.09126081846171</v>
      </c>
      <c r="AO58" s="62">
        <f t="shared" si="36"/>
        <v>534.22295841722166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1.4665228967194357</v>
      </c>
      <c r="AV58" s="23">
        <f>EXP(-LN(2)/25)*AV57+(1-EXP(-LN(2)/25))/(LN(2)/25)*Calculateur!AQ58*Calculateur!AS58*VLOOKUP('Données projet'!$B$10,Paramètres!$A$1:$I$89,3,0)*0.475*44/12</f>
        <v>4.3585576758228068</v>
      </c>
      <c r="AW58" s="23">
        <f>EXP(-LN(2)/2)*AW57+(1-EXP(-LN(2)/2))/(LN(2)/2)*AQ58*AT58*VLOOKUP('Données projet'!$B$10,Paramètres!$A$1:$I$89,3,0)*0.475*44/12</f>
        <v>6.3867532182550337E-5</v>
      </c>
      <c r="AX58" s="23">
        <f t="shared" si="6"/>
        <v>5.8251444400744257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10.8</v>
      </c>
      <c r="BD58" s="13">
        <f>IF('Données projet'!$A$88&gt;35,BD57+BC58-BL57,IF(A58&lt;'Données projet'!$A$88,$BA$205^A58,IF(A58='Données projet'!$A$88,'Données projet'!$B$88,BD57+BC58-BL57)))</f>
        <v>275.00000000000017</v>
      </c>
      <c r="BE58" s="14">
        <f>BD58*VLOOKUP('Données projet'!$B$11,Paramètres!$A$1:$I$89,3,0)*VLOOKUP('Données projet'!$B$11,Paramètres!$A$1:$I$89,5,0)</f>
        <v>157.3000000000001</v>
      </c>
      <c r="BF58" s="14">
        <f t="shared" si="37"/>
        <v>40.232920973447101</v>
      </c>
      <c r="BG58" s="22">
        <f t="shared" si="7"/>
        <v>344.03650402875382</v>
      </c>
      <c r="BH58" s="62">
        <f t="shared" si="8"/>
        <v>637.36983736208708</v>
      </c>
      <c r="BI58" s="62">
        <f ca="1">AVERAGE(OFFSET($BH$3,0,0,'Données projet'!$E$11+1,1))-AVERAGE(OFFSET($H$3,0,0,'Données projet'!$E$11+1,1))</f>
        <v>258.09881752732008</v>
      </c>
      <c r="BJ58" s="62">
        <f t="shared" si="38"/>
        <v>214.72899476643335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3.1290418245209866</v>
      </c>
      <c r="BR58" s="23">
        <f>EXP(-LN(2)/2)*BR57+(1-EXP(-LN(2)/2))/(LN(2)/2)*BL58*BO58*VLOOKUP('Données projet'!$B$11,Paramètres!$A$1:$I$89,3,0)*0.475*44/12</f>
        <v>7.5146925500450498E-4</v>
      </c>
      <c r="BS58" s="24">
        <f t="shared" si="9"/>
        <v>3.1297932937759909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7.4</v>
      </c>
      <c r="N59" s="14">
        <f>IF('Données projet'!$A$36&gt;35,N58+M59-V58,IF(A59&lt;'Données projet'!$A$36,$K$205^A59,IF(A59='Données projet'!$A$36,'Données projet'!$B$36,N58+M59-V58)))</f>
        <v>184.40000000000006</v>
      </c>
      <c r="O59" s="14">
        <f>N59*VLOOKUP('Données projet'!$B$9,Paramètres!$A$1:$I$89,3,0)*VLOOKUP('Données projet'!$B$9,Paramètres!$A$1:$I$89,5,0)</f>
        <v>166.84512000000004</v>
      </c>
      <c r="P59" s="14">
        <f t="shared" si="33"/>
        <v>42.382666918050084</v>
      </c>
      <c r="Q59" s="22">
        <f t="shared" si="53"/>
        <v>364.40506221560395</v>
      </c>
      <c r="R59" s="62">
        <f t="shared" si="0"/>
        <v>657.73839554893721</v>
      </c>
      <c r="S59" s="62">
        <f ca="1">AVERAGE(OFFSET($R$3,0,0,'Données projet'!$E$9+1,1))-AVERAGE(OFFSET($H$3,0,0,'Données projet'!$E$9+1,1))</f>
        <v>371.75294069149942</v>
      </c>
      <c r="T59" s="62">
        <f t="shared" si="34"/>
        <v>233.32640143610547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>
        <f>AI59*VLOOKUP('Données projet'!$B$10,Paramètres!$A$1:$I$89,3,0)*VLOOKUP('Données projet'!$B$10,Paramètres!$A$1:$I$89,5,0)</f>
        <v>0</v>
      </c>
      <c r="AK59" s="14" t="e">
        <f t="shared" si="35"/>
        <v>#NUM!</v>
      </c>
      <c r="AL59" s="22" t="e">
        <f t="shared" si="4"/>
        <v>#NUM!</v>
      </c>
      <c r="AM59" s="62" t="e">
        <f t="shared" si="5"/>
        <v>#NUM!</v>
      </c>
      <c r="AN59" s="62">
        <f ca="1">AVERAGE(OFFSET($AM$3,0,0,'Données projet'!$E$10+1,1))-AVERAGE(OFFSET($H$3,0,0,'Données projet'!$E$10+1,1))</f>
        <v>405.09126081846171</v>
      </c>
      <c r="AO59" s="62">
        <f t="shared" si="36"/>
        <v>534.22295841722166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1.437765277205411</v>
      </c>
      <c r="AV59" s="23">
        <f>EXP(-LN(2)/25)*AV58+(1-EXP(-LN(2)/25))/(LN(2)/25)*Calculateur!AQ59*Calculateur!AS59*VLOOKUP('Données projet'!$B$10,Paramètres!$A$1:$I$89,3,0)*0.475*44/12</f>
        <v>4.2393726869708459</v>
      </c>
      <c r="AW59" s="23">
        <f>EXP(-LN(2)/2)*AW58+(1-EXP(-LN(2)/2))/(LN(2)/2)*AQ59*AT59*VLOOKUP('Données projet'!$B$10,Paramètres!$A$1:$I$89,3,0)*0.475*44/12</f>
        <v>4.5161165103931405E-5</v>
      </c>
      <c r="AX59" s="23">
        <f t="shared" si="6"/>
        <v>5.6771831253413607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10.8</v>
      </c>
      <c r="BD59" s="13">
        <f>IF('Données projet'!$A$88&gt;35,BD58+BC59-BL58,IF(A59&lt;'Données projet'!$A$88,$BA$205^A59,IF(A59='Données projet'!$A$88,'Données projet'!$B$88,BD58+BC59-BL58)))</f>
        <v>285.80000000000018</v>
      </c>
      <c r="BE59" s="14">
        <f>BD59*VLOOKUP('Données projet'!$B$11,Paramètres!$A$1:$I$89,3,0)*VLOOKUP('Données projet'!$B$11,Paramètres!$A$1:$I$89,5,0)</f>
        <v>163.47760000000011</v>
      </c>
      <c r="BF59" s="14">
        <f t="shared" si="37"/>
        <v>41.625913502534537</v>
      </c>
      <c r="BG59" s="22">
        <f t="shared" si="7"/>
        <v>357.22195268358115</v>
      </c>
      <c r="BH59" s="62">
        <f t="shared" si="8"/>
        <v>650.55528601691447</v>
      </c>
      <c r="BI59" s="62">
        <f ca="1">AVERAGE(OFFSET($BH$3,0,0,'Données projet'!$E$11+1,1))-AVERAGE(OFFSET($H$3,0,0,'Données projet'!$E$11+1,1))</f>
        <v>258.09881752732008</v>
      </c>
      <c r="BJ59" s="62">
        <f t="shared" si="38"/>
        <v>214.72899476643335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3.0434780112803019</v>
      </c>
      <c r="BR59" s="23">
        <f>EXP(-LN(2)/2)*BR58+(1-EXP(-LN(2)/2))/(LN(2)/2)*BL59*BO59*VLOOKUP('Données projet'!$B$11,Paramètres!$A$1:$I$89,3,0)*0.475*44/12</f>
        <v>5.3136900606688838E-4</v>
      </c>
      <c r="BS59" s="24">
        <f t="shared" si="9"/>
        <v>3.044009380286369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7.4</v>
      </c>
      <c r="N60" s="14">
        <f>IF('Données projet'!$A$36&gt;35,N59+M60-V59,IF(A60&lt;'Données projet'!$A$36,$K$205^A60,IF(A60='Données projet'!$A$36,'Données projet'!$B$36,N59+M60-V59)))</f>
        <v>191.80000000000007</v>
      </c>
      <c r="O60" s="14">
        <f>N60*VLOOKUP('Données projet'!$B$9,Paramètres!$A$1:$I$89,3,0)*VLOOKUP('Données projet'!$B$9,Paramètres!$A$1:$I$89,5,0)</f>
        <v>173.54064000000005</v>
      </c>
      <c r="P60" s="14">
        <f t="shared" si="33"/>
        <v>43.882055316228445</v>
      </c>
      <c r="Q60" s="22">
        <f t="shared" si="53"/>
        <v>378.67786100909797</v>
      </c>
      <c r="R60" s="62">
        <f t="shared" si="0"/>
        <v>672.01119434243128</v>
      </c>
      <c r="S60" s="62">
        <f ca="1">AVERAGE(OFFSET($R$3,0,0,'Données projet'!$E$9+1,1))-AVERAGE(OFFSET($H$3,0,0,'Données projet'!$E$9+1,1))</f>
        <v>371.75294069149942</v>
      </c>
      <c r="T60" s="62">
        <f t="shared" si="34"/>
        <v>233.32640143610547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>
        <f>AI60*VLOOKUP('Données projet'!$B$10,Paramètres!$A$1:$I$89,3,0)*VLOOKUP('Données projet'!$B$10,Paramètres!$A$1:$I$89,5,0)</f>
        <v>0</v>
      </c>
      <c r="AK60" s="14" t="e">
        <f t="shared" si="35"/>
        <v>#NUM!</v>
      </c>
      <c r="AL60" s="22" t="e">
        <f t="shared" si="4"/>
        <v>#NUM!</v>
      </c>
      <c r="AM60" s="62" t="e">
        <f t="shared" si="5"/>
        <v>#NUM!</v>
      </c>
      <c r="AN60" s="62">
        <f ca="1">AVERAGE(OFFSET($AM$3,0,0,'Données projet'!$E$10+1,1))-AVERAGE(OFFSET($H$3,0,0,'Données projet'!$E$10+1,1))</f>
        <v>405.09126081846171</v>
      </c>
      <c r="AO60" s="62">
        <f t="shared" si="36"/>
        <v>534.22295841722166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1.4095715770696404</v>
      </c>
      <c r="AV60" s="23">
        <f>EXP(-LN(2)/25)*AV59+(1-EXP(-LN(2)/25))/(LN(2)/25)*Calculateur!AQ60*Calculateur!AS60*VLOOKUP('Données projet'!$B$10,Paramètres!$A$1:$I$89,3,0)*0.475*44/12</f>
        <v>4.1234468179067081</v>
      </c>
      <c r="AW60" s="23">
        <f>EXP(-LN(2)/2)*AW59+(1-EXP(-LN(2)/2))/(LN(2)/2)*AQ60*AT60*VLOOKUP('Données projet'!$B$10,Paramètres!$A$1:$I$89,3,0)*0.475*44/12</f>
        <v>3.1933766091275169E-5</v>
      </c>
      <c r="AX60" s="23">
        <f t="shared" si="6"/>
        <v>5.5330503287424397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10.8</v>
      </c>
      <c r="BD60" s="13">
        <f>IF('Données projet'!$A$88&gt;35,BD59+BC60-BL59,IF(A60&lt;'Données projet'!$A$88,$BA$205^A60,IF(A60='Données projet'!$A$88,'Données projet'!$B$88,BD59+BC60-BL59)))</f>
        <v>296.60000000000019</v>
      </c>
      <c r="BE60" s="14">
        <f>BD60*VLOOKUP('Données projet'!$B$11,Paramètres!$A$1:$I$89,3,0)*VLOOKUP('Données projet'!$B$11,Paramètres!$A$1:$I$89,5,0)</f>
        <v>169.65520000000009</v>
      </c>
      <c r="BF60" s="14">
        <f t="shared" si="37"/>
        <v>43.012790732676081</v>
      </c>
      <c r="BG60" s="22">
        <f t="shared" si="7"/>
        <v>370.39675052607771</v>
      </c>
      <c r="BH60" s="62">
        <f t="shared" si="8"/>
        <v>663.73008385941102</v>
      </c>
      <c r="BI60" s="62">
        <f ca="1">AVERAGE(OFFSET($BH$3,0,0,'Données projet'!$E$11+1,1))-AVERAGE(OFFSET($H$3,0,0,'Données projet'!$E$11+1,1))</f>
        <v>258.09881752732008</v>
      </c>
      <c r="BJ60" s="62">
        <f t="shared" si="38"/>
        <v>214.72899476643335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2.9602539450122896</v>
      </c>
      <c r="BR60" s="23">
        <f>EXP(-LN(2)/2)*BR59+(1-EXP(-LN(2)/2))/(LN(2)/2)*BL60*BO60*VLOOKUP('Données projet'!$B$11,Paramètres!$A$1:$I$89,3,0)*0.475*44/12</f>
        <v>3.7573462750225249E-4</v>
      </c>
      <c r="BS60" s="24">
        <f t="shared" si="9"/>
        <v>2.960629679639792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7.4</v>
      </c>
      <c r="N61" s="14">
        <f>IF('Données projet'!$A$36&gt;35,N60+M61-V60,IF(A61&lt;'Données projet'!$A$36,$K$205^A61,IF(A61='Données projet'!$A$36,'Données projet'!$B$36,N60+M61-V60)))</f>
        <v>199.20000000000007</v>
      </c>
      <c r="O61" s="14">
        <f>N61*VLOOKUP('Données projet'!$B$9,Paramètres!$A$1:$I$89,3,0)*VLOOKUP('Données projet'!$B$9,Paramètres!$A$1:$I$89,5,0)</f>
        <v>180.23616000000004</v>
      </c>
      <c r="P61" s="14">
        <f t="shared" si="33"/>
        <v>45.374723405565959</v>
      </c>
      <c r="Q61" s="22">
        <f t="shared" si="53"/>
        <v>392.93895526469413</v>
      </c>
      <c r="R61" s="62">
        <f t="shared" si="0"/>
        <v>686.27228859802744</v>
      </c>
      <c r="S61" s="62">
        <f ca="1">AVERAGE(OFFSET($R$3,0,0,'Données projet'!$E$9+1,1))-AVERAGE(OFFSET($H$3,0,0,'Données projet'!$E$9+1,1))</f>
        <v>371.75294069149942</v>
      </c>
      <c r="T61" s="62">
        <f t="shared" si="34"/>
        <v>233.32640143610547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>
        <f>AI61*VLOOKUP('Données projet'!$B$10,Paramètres!$A$1:$I$89,3,0)*VLOOKUP('Données projet'!$B$10,Paramètres!$A$1:$I$89,5,0)</f>
        <v>0</v>
      </c>
      <c r="AK61" s="14" t="e">
        <f t="shared" si="35"/>
        <v>#NUM!</v>
      </c>
      <c r="AL61" s="22" t="e">
        <f t="shared" si="4"/>
        <v>#NUM!</v>
      </c>
      <c r="AM61" s="62" t="e">
        <f t="shared" si="5"/>
        <v>#NUM!</v>
      </c>
      <c r="AN61" s="62">
        <f ca="1">AVERAGE(OFFSET($AM$3,0,0,'Données projet'!$E$10+1,1))-AVERAGE(OFFSET($H$3,0,0,'Données projet'!$E$10+1,1))</f>
        <v>405.09126081846171</v>
      </c>
      <c r="AO61" s="62">
        <f t="shared" si="36"/>
        <v>534.22295841722166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1.3819307381970731</v>
      </c>
      <c r="AV61" s="23">
        <f>EXP(-LN(2)/25)*AV60+(1-EXP(-LN(2)/25))/(LN(2)/25)*Calculateur!AQ61*Calculateur!AS61*VLOOKUP('Données projet'!$B$10,Paramètres!$A$1:$I$89,3,0)*0.475*44/12</f>
        <v>4.0106909478284054</v>
      </c>
      <c r="AW61" s="23">
        <f>EXP(-LN(2)/2)*AW60+(1-EXP(-LN(2)/2))/(LN(2)/2)*AQ61*AT61*VLOOKUP('Données projet'!$B$10,Paramètres!$A$1:$I$89,3,0)*0.475*44/12</f>
        <v>2.2580582551965702E-5</v>
      </c>
      <c r="AX61" s="23">
        <f t="shared" si="6"/>
        <v>5.3926442666080305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10.8</v>
      </c>
      <c r="BD61" s="13">
        <f>IF('Données projet'!$A$88&gt;35,BD60+BC61-BL60,IF(A61&lt;'Données projet'!$A$88,$BA$205^A61,IF(A61='Données projet'!$A$88,'Données projet'!$B$88,BD60+BC61-BL60)))</f>
        <v>307.4000000000002</v>
      </c>
      <c r="BE61" s="14">
        <f>BD61*VLOOKUP('Données projet'!$B$11,Paramètres!$A$1:$I$89,3,0)*VLOOKUP('Données projet'!$B$11,Paramètres!$A$1:$I$89,5,0)</f>
        <v>175.83280000000011</v>
      </c>
      <c r="BF61" s="14">
        <f t="shared" si="37"/>
        <v>44.393800843059971</v>
      </c>
      <c r="BG61" s="22">
        <f t="shared" si="7"/>
        <v>383.56132980166291</v>
      </c>
      <c r="BH61" s="62">
        <f t="shared" si="8"/>
        <v>676.89466313499622</v>
      </c>
      <c r="BI61" s="62">
        <f ca="1">AVERAGE(OFFSET($BH$3,0,0,'Données projet'!$E$11+1,1))-AVERAGE(OFFSET($H$3,0,0,'Données projet'!$E$11+1,1))</f>
        <v>258.09881752732008</v>
      </c>
      <c r="BJ61" s="62">
        <f t="shared" si="38"/>
        <v>214.72899476643335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2.8793056452129391</v>
      </c>
      <c r="BR61" s="23">
        <f>EXP(-LN(2)/2)*BR60+(1-EXP(-LN(2)/2))/(LN(2)/2)*BL61*BO61*VLOOKUP('Données projet'!$B$11,Paramètres!$A$1:$I$89,3,0)*0.475*44/12</f>
        <v>2.6568450303344419E-4</v>
      </c>
      <c r="BS61" s="24">
        <f t="shared" si="9"/>
        <v>2.8795713297159726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7.4</v>
      </c>
      <c r="N62" s="14">
        <f>IF('Données projet'!$A$36&gt;35,N61+M62-V61,IF(A62&lt;'Données projet'!$A$36,$K$205^A62,IF(A62='Données projet'!$A$36,'Données projet'!$B$36,N61+M62-V61)))</f>
        <v>206.60000000000008</v>
      </c>
      <c r="O62" s="14">
        <f>N62*VLOOKUP('Données projet'!$B$9,Paramètres!$A$1:$I$89,3,0)*VLOOKUP('Données projet'!$B$9,Paramètres!$A$1:$I$89,5,0)</f>
        <v>186.93168000000006</v>
      </c>
      <c r="P62" s="14">
        <f t="shared" si="33"/>
        <v>46.860949423866458</v>
      </c>
      <c r="Q62" s="22">
        <f t="shared" si="53"/>
        <v>407.18882957990081</v>
      </c>
      <c r="R62" s="62">
        <f t="shared" si="0"/>
        <v>700.52216291323407</v>
      </c>
      <c r="S62" s="62">
        <f ca="1">AVERAGE(OFFSET($R$3,0,0,'Données projet'!$E$9+1,1))-AVERAGE(OFFSET($H$3,0,0,'Données projet'!$E$9+1,1))</f>
        <v>371.75294069149942</v>
      </c>
      <c r="T62" s="62">
        <f t="shared" si="34"/>
        <v>233.32640143610547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>
        <f>AI62*VLOOKUP('Données projet'!$B$10,Paramètres!$A$1:$I$89,3,0)*VLOOKUP('Données projet'!$B$10,Paramètres!$A$1:$I$89,5,0)</f>
        <v>0</v>
      </c>
      <c r="AK62" s="14" t="e">
        <f t="shared" si="35"/>
        <v>#NUM!</v>
      </c>
      <c r="AL62" s="22" t="e">
        <f t="shared" si="4"/>
        <v>#NUM!</v>
      </c>
      <c r="AM62" s="62" t="e">
        <f t="shared" si="5"/>
        <v>#NUM!</v>
      </c>
      <c r="AN62" s="62">
        <f ca="1">AVERAGE(OFFSET($AM$3,0,0,'Données projet'!$E$10+1,1))-AVERAGE(OFFSET($H$3,0,0,'Données projet'!$E$10+1,1))</f>
        <v>405.09126081846171</v>
      </c>
      <c r="AO62" s="62">
        <f t="shared" si="36"/>
        <v>534.22295841722166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1.3548319193155498</v>
      </c>
      <c r="AV62" s="23">
        <f>EXP(-LN(2)/25)*AV61+(1-EXP(-LN(2)/25))/(LN(2)/25)*Calculateur!AQ62*Calculateur!AS62*VLOOKUP('Données projet'!$B$10,Paramètres!$A$1:$I$89,3,0)*0.475*44/12</f>
        <v>3.9010183929469671</v>
      </c>
      <c r="AW62" s="23">
        <f>EXP(-LN(2)/2)*AW61+(1-EXP(-LN(2)/2))/(LN(2)/2)*AQ62*AT62*VLOOKUP('Données projet'!$B$10,Paramètres!$A$1:$I$89,3,0)*0.475*44/12</f>
        <v>1.5966883045637584E-5</v>
      </c>
      <c r="AX62" s="23">
        <f t="shared" si="6"/>
        <v>5.2558662791455628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10.8</v>
      </c>
      <c r="BD62" s="13">
        <f>IF('Données projet'!$A$88&gt;35,BD61+BC62-BL61,IF(A62&lt;'Données projet'!$A$88,$BA$205^A62,IF(A62='Données projet'!$A$88,'Données projet'!$B$88,BD61+BC62-BL61)))</f>
        <v>318.20000000000022</v>
      </c>
      <c r="BE62" s="14">
        <f>BD62*VLOOKUP('Données projet'!$B$11,Paramètres!$A$1:$I$89,3,0)*VLOOKUP('Données projet'!$B$11,Paramètres!$A$1:$I$89,5,0)</f>
        <v>182.01040000000012</v>
      </c>
      <c r="BF62" s="14">
        <f t="shared" si="37"/>
        <v>45.769173585325895</v>
      </c>
      <c r="BG62" s="22">
        <f t="shared" si="7"/>
        <v>396.71609066110949</v>
      </c>
      <c r="BH62" s="62">
        <f t="shared" si="8"/>
        <v>690.0494239944428</v>
      </c>
      <c r="BI62" s="62">
        <f ca="1">AVERAGE(OFFSET($BH$3,0,0,'Données projet'!$E$11+1,1))-AVERAGE(OFFSET($H$3,0,0,'Données projet'!$E$11+1,1))</f>
        <v>258.09881752732008</v>
      </c>
      <c r="BJ62" s="62">
        <f t="shared" si="38"/>
        <v>214.72899476643335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2.8005708809284879</v>
      </c>
      <c r="BR62" s="23">
        <f>EXP(-LN(2)/2)*BR61+(1-EXP(-LN(2)/2))/(LN(2)/2)*BL62*BO62*VLOOKUP('Données projet'!$B$11,Paramètres!$A$1:$I$89,3,0)*0.475*44/12</f>
        <v>1.8786731375112624E-4</v>
      </c>
      <c r="BS62" s="24">
        <f t="shared" si="9"/>
        <v>2.8007587482422389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214</v>
      </c>
      <c r="L63" s="13">
        <f>VLOOKUP(A63,'Données projet'!$A$35:$I$55,9,0)</f>
        <v>7.4</v>
      </c>
      <c r="M63" s="13">
        <f t="array" ref="M63">INDEX(L:L,MIN(IF(ISNUMBER(L63:L259),ROW(L63:L259),"")))</f>
        <v>7.4</v>
      </c>
      <c r="N63" s="14">
        <f>IF('Données projet'!$A$36&gt;35,N62+M63-V62,IF(A63&lt;'Données projet'!$A$36,$K$205^A63,IF(A63='Données projet'!$A$36,'Données projet'!$B$36,N62+M63-V62)))</f>
        <v>214.00000000000009</v>
      </c>
      <c r="O63" s="14">
        <f>N63*VLOOKUP('Données projet'!$B$9,Paramètres!$A$1:$I$89,3,0)*VLOOKUP('Données projet'!$B$9,Paramètres!$A$1:$I$89,5,0)</f>
        <v>193.62720000000007</v>
      </c>
      <c r="P63" s="14">
        <f t="shared" si="33"/>
        <v>48.340990547231236</v>
      </c>
      <c r="Q63" s="22">
        <f t="shared" si="53"/>
        <v>421.42793186976115</v>
      </c>
      <c r="R63" s="62">
        <f t="shared" si="0"/>
        <v>714.76126520309447</v>
      </c>
      <c r="S63" s="62">
        <f ca="1">AVERAGE(OFFSET($R$3,0,0,'Données projet'!$E$9+1,1))-AVERAGE(OFFSET($H$3,0,0,'Données projet'!$E$9+1,1))</f>
        <v>371.75294069149942</v>
      </c>
      <c r="T63" s="62">
        <f t="shared" si="34"/>
        <v>233.32640143610547</v>
      </c>
      <c r="U63" s="16">
        <f>IF(ISNA(VLOOKUP(A63,'Données projet'!$A$35:$I$55,3,0)),0,VLOOKUP(A63,'Données projet'!$A$35:$I$55,3,0))</f>
        <v>8</v>
      </c>
      <c r="V63" s="16">
        <f>IF(ISNA(VLOOKUP(A63,'Données projet'!$A$35:$I$55,4,0)),0,VLOOKUP(A63,'Données projet'!$A$35:$I$55,4,0))</f>
        <v>21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>
        <f>AI63*VLOOKUP('Données projet'!$B$10,Paramètres!$A$1:$I$89,3,0)*VLOOKUP('Données projet'!$B$10,Paramètres!$A$1:$I$89,5,0)</f>
        <v>0</v>
      </c>
      <c r="AK63" s="14" t="e">
        <f t="shared" si="35"/>
        <v>#NUM!</v>
      </c>
      <c r="AL63" s="22" t="e">
        <f t="shared" si="4"/>
        <v>#NUM!</v>
      </c>
      <c r="AM63" s="62" t="e">
        <f t="shared" si="5"/>
        <v>#NUM!</v>
      </c>
      <c r="AN63" s="62">
        <f ca="1">AVERAGE(OFFSET($AM$3,0,0,'Données projet'!$E$10+1,1))-AVERAGE(OFFSET($H$3,0,0,'Données projet'!$E$10+1,1))</f>
        <v>405.09126081846171</v>
      </c>
      <c r="AO63" s="62">
        <f t="shared" si="36"/>
        <v>534.22295841722166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1.3282644917436457</v>
      </c>
      <c r="AV63" s="23">
        <f>EXP(-LN(2)/25)*AV62+(1-EXP(-LN(2)/25))/(LN(2)/25)*Calculateur!AQ63*Calculateur!AS63*VLOOKUP('Données projet'!$B$10,Paramètres!$A$1:$I$89,3,0)*0.475*44/12</f>
        <v>3.794344839846191</v>
      </c>
      <c r="AW63" s="23">
        <f>EXP(-LN(2)/2)*AW62+(1-EXP(-LN(2)/2))/(LN(2)/2)*AQ63*AT63*VLOOKUP('Données projet'!$B$10,Paramètres!$A$1:$I$89,3,0)*0.475*44/12</f>
        <v>1.1290291275982851E-5</v>
      </c>
      <c r="AX63" s="23">
        <f t="shared" si="6"/>
        <v>5.1226206218811132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329</v>
      </c>
      <c r="BB63" s="13">
        <f>VLOOKUP(A63,'Données projet'!$A$87:$I$107,9,0)</f>
        <v>10.8</v>
      </c>
      <c r="BC63" s="13">
        <f t="array" ref="BC63">INDEX(BB:BB,MIN(IF(ISNUMBER(BB63:BB259),ROW(BB63:BB259),"")))</f>
        <v>10.8</v>
      </c>
      <c r="BD63" s="13">
        <f>IF('Données projet'!$A$88&gt;35,BD62+BC63-BL62,IF(A63&lt;'Données projet'!$A$88,$BA$205^A63,IF(A63='Données projet'!$A$88,'Données projet'!$B$88,BD62+BC63-BL62)))</f>
        <v>329.00000000000023</v>
      </c>
      <c r="BE63" s="14">
        <f>BD63*VLOOKUP('Données projet'!$B$11,Paramètres!$A$1:$I$89,3,0)*VLOOKUP('Données projet'!$B$11,Paramètres!$A$1:$I$89,5,0)</f>
        <v>188.18800000000013</v>
      </c>
      <c r="BF63" s="14">
        <f t="shared" si="37"/>
        <v>47.139122230395323</v>
      </c>
      <c r="BG63" s="22">
        <f t="shared" si="7"/>
        <v>409.86140455127207</v>
      </c>
      <c r="BH63" s="62">
        <f t="shared" si="8"/>
        <v>703.19473788460539</v>
      </c>
      <c r="BI63" s="62">
        <f ca="1">AVERAGE(OFFSET($BH$3,0,0,'Données projet'!$E$11+1,1))-AVERAGE(OFFSET($H$3,0,0,'Données projet'!$E$11+1,1))</f>
        <v>258.09881752732008</v>
      </c>
      <c r="BJ63" s="62">
        <f t="shared" si="38"/>
        <v>214.72899476643335</v>
      </c>
      <c r="BK63" s="16">
        <f>IF(ISNA(VLOOKUP(A63,'Données projet'!$A$87:$I$107,3,0)),0,VLOOKUP(A63,'Données projet'!$A$87:$I$107,3,0))</f>
        <v>6</v>
      </c>
      <c r="BL63" s="16">
        <f>IF(ISNA(VLOOKUP(A63,'Données projet'!$A$87:$I$107,4,0)),0,VLOOKUP(A63,'Données projet'!$A$87:$I$107,4,0))</f>
        <v>60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2.7239891229138764</v>
      </c>
      <c r="BR63" s="23">
        <f>EXP(-LN(2)/2)*BR62+(1-EXP(-LN(2)/2))/(LN(2)/2)*BL63*BO63*VLOOKUP('Données projet'!$B$11,Paramètres!$A$1:$I$89,3,0)*0.475*44/12</f>
        <v>1.3284225151672209E-4</v>
      </c>
      <c r="BS63" s="24">
        <f t="shared" si="9"/>
        <v>2.7241219651653932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7.2</v>
      </c>
      <c r="N64" s="14">
        <f>IF('Données projet'!$A$36&gt;35,N63+M64-V63,IF(A64&lt;'Données projet'!$A$36,$K$205^A64,IF(A64='Données projet'!$A$36,'Données projet'!$B$36,N63+M64-V63)))</f>
        <v>200.20000000000007</v>
      </c>
      <c r="O64" s="14">
        <f>N64*VLOOKUP('Données projet'!$B$9,Paramètres!$A$1:$I$89,3,0)*VLOOKUP('Données projet'!$B$9,Paramètres!$A$1:$I$89,5,0)</f>
        <v>181.14096000000006</v>
      </c>
      <c r="P64" s="14">
        <f t="shared" si="33"/>
        <v>45.575935320610981</v>
      </c>
      <c r="Q64" s="22">
        <f t="shared" si="53"/>
        <v>394.86525935006421</v>
      </c>
      <c r="R64" s="62">
        <f t="shared" si="0"/>
        <v>688.19859268339746</v>
      </c>
      <c r="S64" s="62">
        <f ca="1">AVERAGE(OFFSET($R$3,0,0,'Données projet'!$E$9+1,1))-AVERAGE(OFFSET($H$3,0,0,'Données projet'!$E$9+1,1))</f>
        <v>371.75294069149942</v>
      </c>
      <c r="T64" s="62">
        <f t="shared" si="34"/>
        <v>233.32640143610547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>
        <f>AI64*VLOOKUP('Données projet'!$B$10,Paramètres!$A$1:$I$89,3,0)*VLOOKUP('Données projet'!$B$10,Paramètres!$A$1:$I$89,5,0)</f>
        <v>0</v>
      </c>
      <c r="AK64" s="14" t="e">
        <f t="shared" si="35"/>
        <v>#NUM!</v>
      </c>
      <c r="AL64" s="22" t="e">
        <f t="shared" si="4"/>
        <v>#NUM!</v>
      </c>
      <c r="AM64" s="62" t="e">
        <f t="shared" si="5"/>
        <v>#NUM!</v>
      </c>
      <c r="AN64" s="62">
        <f ca="1">AVERAGE(OFFSET($AM$3,0,0,'Données projet'!$E$10+1,1))-AVERAGE(OFFSET($H$3,0,0,'Données projet'!$E$10+1,1))</f>
        <v>405.09126081846171</v>
      </c>
      <c r="AO64" s="62">
        <f t="shared" si="36"/>
        <v>534.22295841722166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1.3022180352218959</v>
      </c>
      <c r="AV64" s="23">
        <f>EXP(-LN(2)/25)*AV63+(1-EXP(-LN(2)/25))/(LN(2)/25)*Calculateur!AQ64*Calculateur!AS64*VLOOKUP('Données projet'!$B$10,Paramètres!$A$1:$I$89,3,0)*0.475*44/12</f>
        <v>3.6905882806646737</v>
      </c>
      <c r="AW64" s="23">
        <f>EXP(-LN(2)/2)*AW63+(1-EXP(-LN(2)/2))/(LN(2)/2)*AQ64*AT64*VLOOKUP('Données projet'!$B$10,Paramètres!$A$1:$I$89,3,0)*0.475*44/12</f>
        <v>7.9834415228187922E-6</v>
      </c>
      <c r="AX64" s="23">
        <f t="shared" si="6"/>
        <v>4.9928142993280931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9.5</v>
      </c>
      <c r="BD64" s="13">
        <f>IF('Données projet'!$A$88&gt;35,BD63+BC64-BL63,IF(A64&lt;'Données projet'!$A$88,$BA$205^A64,IF(A64='Données projet'!$A$88,'Données projet'!$B$88,BD63+BC64-BL63)))</f>
        <v>278.50000000000023</v>
      </c>
      <c r="BE64" s="14">
        <f>BD64*VLOOKUP('Données projet'!$B$11,Paramètres!$A$1:$I$89,3,0)*VLOOKUP('Données projet'!$B$11,Paramètres!$A$1:$I$89,5,0)</f>
        <v>159.30200000000013</v>
      </c>
      <c r="BF64" s="14">
        <f t="shared" si="37"/>
        <v>40.685039520733888</v>
      </c>
      <c r="BG64" s="22">
        <f t="shared" si="7"/>
        <v>348.31076049861173</v>
      </c>
      <c r="BH64" s="62">
        <f t="shared" si="8"/>
        <v>641.64409383194504</v>
      </c>
      <c r="BI64" s="62">
        <f ca="1">AVERAGE(OFFSET($BH$3,0,0,'Données projet'!$E$11+1,1))-AVERAGE(OFFSET($H$3,0,0,'Données projet'!$E$11+1,1))</f>
        <v>258.09881752732008</v>
      </c>
      <c r="BJ64" s="62">
        <f t="shared" si="38"/>
        <v>214.72899476643335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2.6495014970994344</v>
      </c>
      <c r="BR64" s="23">
        <f>EXP(-LN(2)/2)*BR63+(1-EXP(-LN(2)/2))/(LN(2)/2)*BL64*BO64*VLOOKUP('Données projet'!$B$11,Paramètres!$A$1:$I$89,3,0)*0.475*44/12</f>
        <v>9.3933656875563122E-5</v>
      </c>
      <c r="BS64" s="24">
        <f t="shared" si="9"/>
        <v>2.6495954307563099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7.2</v>
      </c>
      <c r="N65" s="14">
        <f>IF('Données projet'!$A$36&gt;35,N64+M65-V64,IF(A65&lt;'Données projet'!$A$36,$K$205^A65,IF(A65='Données projet'!$A$36,'Données projet'!$B$36,N64+M65-V64)))</f>
        <v>207.40000000000006</v>
      </c>
      <c r="O65" s="14">
        <f>N65*VLOOKUP('Données projet'!$B$9,Paramètres!$A$1:$I$89,3,0)*VLOOKUP('Données projet'!$B$9,Paramètres!$A$1:$I$89,5,0)</f>
        <v>187.65552000000005</v>
      </c>
      <c r="P65" s="14">
        <f t="shared" si="33"/>
        <v>47.021247649900147</v>
      </c>
      <c r="Q65" s="22">
        <f t="shared" si="53"/>
        <v>408.72870365690954</v>
      </c>
      <c r="R65" s="62">
        <f t="shared" si="0"/>
        <v>702.06203699024286</v>
      </c>
      <c r="S65" s="62">
        <f ca="1">AVERAGE(OFFSET($R$3,0,0,'Données projet'!$E$9+1,1))-AVERAGE(OFFSET($H$3,0,0,'Données projet'!$E$9+1,1))</f>
        <v>371.75294069149942</v>
      </c>
      <c r="T65" s="62">
        <f t="shared" si="34"/>
        <v>233.32640143610547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>
        <f>AI65*VLOOKUP('Données projet'!$B$10,Paramètres!$A$1:$I$89,3,0)*VLOOKUP('Données projet'!$B$10,Paramètres!$A$1:$I$89,5,0)</f>
        <v>0</v>
      </c>
      <c r="AK65" s="14" t="e">
        <f t="shared" si="35"/>
        <v>#NUM!</v>
      </c>
      <c r="AL65" s="22" t="e">
        <f t="shared" si="4"/>
        <v>#NUM!</v>
      </c>
      <c r="AM65" s="62" t="e">
        <f t="shared" si="5"/>
        <v>#NUM!</v>
      </c>
      <c r="AN65" s="62">
        <f ca="1">AVERAGE(OFFSET($AM$3,0,0,'Données projet'!$E$10+1,1))-AVERAGE(OFFSET($H$3,0,0,'Données projet'!$E$10+1,1))</f>
        <v>405.09126081846171</v>
      </c>
      <c r="AO65" s="62">
        <f t="shared" si="36"/>
        <v>534.22295841722166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1.276682333825768</v>
      </c>
      <c r="AV65" s="23">
        <f>EXP(-LN(2)/25)*AV64+(1-EXP(-LN(2)/25))/(LN(2)/25)*Calculateur!AQ65*Calculateur!AS65*VLOOKUP('Données projet'!$B$10,Paramètres!$A$1:$I$89,3,0)*0.475*44/12</f>
        <v>3.5896689500502954</v>
      </c>
      <c r="AW65" s="23">
        <f>EXP(-LN(2)/2)*AW64+(1-EXP(-LN(2)/2))/(LN(2)/2)*AQ65*AT65*VLOOKUP('Données projet'!$B$10,Paramètres!$A$1:$I$89,3,0)*0.475*44/12</f>
        <v>5.6451456379914256E-6</v>
      </c>
      <c r="AX65" s="23">
        <f t="shared" si="6"/>
        <v>4.8663569290217019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9.5</v>
      </c>
      <c r="BD65" s="13">
        <f>IF('Données projet'!$A$88&gt;35,BD64+BC65-BL64,IF(A65&lt;'Données projet'!$A$88,$BA$205^A65,IF(A65='Données projet'!$A$88,'Données projet'!$B$88,BD64+BC65-BL64)))</f>
        <v>288.00000000000023</v>
      </c>
      <c r="BE65" s="14">
        <f>BD65*VLOOKUP('Données projet'!$B$11,Paramètres!$A$1:$I$89,3,0)*VLOOKUP('Données projet'!$B$11,Paramètres!$A$1:$I$89,5,0)</f>
        <v>164.73600000000013</v>
      </c>
      <c r="BF65" s="14">
        <f t="shared" si="37"/>
        <v>41.908913144700364</v>
      </c>
      <c r="BG65" s="22">
        <f t="shared" si="7"/>
        <v>359.90655706035335</v>
      </c>
      <c r="BH65" s="62">
        <f t="shared" si="8"/>
        <v>653.23989039368666</v>
      </c>
      <c r="BI65" s="62">
        <f ca="1">AVERAGE(OFFSET($BH$3,0,0,'Données projet'!$E$11+1,1))-AVERAGE(OFFSET($H$3,0,0,'Données projet'!$E$11+1,1))</f>
        <v>258.09881752732008</v>
      </c>
      <c r="BJ65" s="62">
        <f t="shared" si="38"/>
        <v>214.72899476643335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2.5770507393300219</v>
      </c>
      <c r="BR65" s="23">
        <f>EXP(-LN(2)/2)*BR64+(1-EXP(-LN(2)/2))/(LN(2)/2)*BL65*BO65*VLOOKUP('Données projet'!$B$11,Paramètres!$A$1:$I$89,3,0)*0.475*44/12</f>
        <v>6.6421125758361047E-5</v>
      </c>
      <c r="BS65" s="24">
        <f t="shared" si="9"/>
        <v>2.5771171604557801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7.2</v>
      </c>
      <c r="N66" s="14">
        <f>IF('Données projet'!$A$36&gt;35,N65+M66-V65,IF(A66&lt;'Données projet'!$A$36,$K$205^A66,IF(A66='Données projet'!$A$36,'Données projet'!$B$36,N65+M66-V65)))</f>
        <v>214.60000000000005</v>
      </c>
      <c r="O66" s="14">
        <f>N66*VLOOKUP('Données projet'!$B$9,Paramètres!$A$1:$I$89,3,0)*VLOOKUP('Données projet'!$B$9,Paramètres!$A$1:$I$89,5,0)</f>
        <v>194.17008000000004</v>
      </c>
      <c r="P66" s="14">
        <f t="shared" si="33"/>
        <v>48.460730182351078</v>
      </c>
      <c r="Q66" s="22">
        <f t="shared" si="53"/>
        <v>422.58199440092818</v>
      </c>
      <c r="R66" s="62">
        <f t="shared" si="0"/>
        <v>715.9153277342615</v>
      </c>
      <c r="S66" s="62">
        <f ca="1">AVERAGE(OFFSET($R$3,0,0,'Données projet'!$E$9+1,1))-AVERAGE(OFFSET($H$3,0,0,'Données projet'!$E$9+1,1))</f>
        <v>371.75294069149942</v>
      </c>
      <c r="T66" s="62">
        <f t="shared" si="34"/>
        <v>233.32640143610547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>
        <f>AI66*VLOOKUP('Données projet'!$B$10,Paramètres!$A$1:$I$89,3,0)*VLOOKUP('Données projet'!$B$10,Paramètres!$A$1:$I$89,5,0)</f>
        <v>0</v>
      </c>
      <c r="AK66" s="14" t="e">
        <f t="shared" si="35"/>
        <v>#NUM!</v>
      </c>
      <c r="AL66" s="22" t="e">
        <f t="shared" si="4"/>
        <v>#NUM!</v>
      </c>
      <c r="AM66" s="62" t="e">
        <f t="shared" si="5"/>
        <v>#NUM!</v>
      </c>
      <c r="AN66" s="62">
        <f ca="1">AVERAGE(OFFSET($AM$3,0,0,'Données projet'!$E$10+1,1))-AVERAGE(OFFSET($H$3,0,0,'Données projet'!$E$10+1,1))</f>
        <v>405.09126081846171</v>
      </c>
      <c r="AO66" s="62">
        <f t="shared" si="36"/>
        <v>534.22295841722166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1.2516473719587782</v>
      </c>
      <c r="AV66" s="23">
        <f>EXP(-LN(2)/25)*AV65+(1-EXP(-LN(2)/25))/(LN(2)/25)*Calculateur!AQ66*Calculateur!AS66*VLOOKUP('Données projet'!$B$10,Paramètres!$A$1:$I$89,3,0)*0.475*44/12</f>
        <v>3.4915092638386844</v>
      </c>
      <c r="AW66" s="23">
        <f>EXP(-LN(2)/2)*AW65+(1-EXP(-LN(2)/2))/(LN(2)/2)*AQ66*AT66*VLOOKUP('Données projet'!$B$10,Paramètres!$A$1:$I$89,3,0)*0.475*44/12</f>
        <v>3.9917207614093961E-6</v>
      </c>
      <c r="AX66" s="23">
        <f t="shared" si="6"/>
        <v>4.7431606275182236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9.5</v>
      </c>
      <c r="BD66" s="13">
        <f>IF('Données projet'!$A$88&gt;35,BD65+BC66-BL65,IF(A66&lt;'Données projet'!$A$88,$BA$205^A66,IF(A66='Données projet'!$A$88,'Données projet'!$B$88,BD65+BC66-BL65)))</f>
        <v>297.50000000000023</v>
      </c>
      <c r="BE66" s="14">
        <f>BD66*VLOOKUP('Données projet'!$B$11,Paramètres!$A$1:$I$89,3,0)*VLOOKUP('Données projet'!$B$11,Paramètres!$A$1:$I$89,5,0)</f>
        <v>170.17000000000013</v>
      </c>
      <c r="BF66" s="14">
        <f t="shared" si="37"/>
        <v>43.128095715049447</v>
      </c>
      <c r="BG66" s="22">
        <f t="shared" si="7"/>
        <v>371.49418337037804</v>
      </c>
      <c r="BH66" s="62">
        <f t="shared" si="8"/>
        <v>664.82751670371135</v>
      </c>
      <c r="BI66" s="62">
        <f ca="1">AVERAGE(OFFSET($BH$3,0,0,'Données projet'!$E$11+1,1))-AVERAGE(OFFSET($H$3,0,0,'Données projet'!$E$11+1,1))</f>
        <v>258.09881752732008</v>
      </c>
      <c r="BJ66" s="62">
        <f t="shared" si="38"/>
        <v>214.72899476643335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2.5065811513418339</v>
      </c>
      <c r="BR66" s="23">
        <f>EXP(-LN(2)/2)*BR65+(1-EXP(-LN(2)/2))/(LN(2)/2)*BL66*BO66*VLOOKUP('Données projet'!$B$11,Paramètres!$A$1:$I$89,3,0)*0.475*44/12</f>
        <v>4.6966828437781561E-5</v>
      </c>
      <c r="BS66" s="24">
        <f t="shared" si="9"/>
        <v>2.5066281181702719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7.2</v>
      </c>
      <c r="N67" s="14">
        <f>IF('Données projet'!$A$36&gt;35,N66+M67-V66,IF(A67&lt;'Données projet'!$A$36,$K$205^A67,IF(A67='Données projet'!$A$36,'Données projet'!$B$36,N66+M67-V66)))</f>
        <v>221.80000000000004</v>
      </c>
      <c r="O67" s="14">
        <f>N67*VLOOKUP('Données projet'!$B$9,Paramètres!$A$1:$I$89,3,0)*VLOOKUP('Données projet'!$B$9,Paramètres!$A$1:$I$89,5,0)</f>
        <v>200.68464</v>
      </c>
      <c r="P67" s="14">
        <f t="shared" si="33"/>
        <v>49.894600936700193</v>
      </c>
      <c r="Q67" s="22">
        <f t="shared" ref="Q67:Q98" si="54">(O67+P67)*0.475*44/12</f>
        <v>436.42551129808612</v>
      </c>
      <c r="R67" s="62">
        <f t="shared" ref="R67:R130" si="55">Q67+(I67+J67)*44/12</f>
        <v>729.75884463141938</v>
      </c>
      <c r="S67" s="62">
        <f ca="1">AVERAGE(OFFSET($R$3,0,0,'Données projet'!$E$9+1,1))-AVERAGE(OFFSET($H$3,0,0,'Données projet'!$E$9+1,1))</f>
        <v>371.75294069149942</v>
      </c>
      <c r="T67" s="62">
        <f t="shared" si="34"/>
        <v>233.32640143610547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>
        <f>AI67*VLOOKUP('Données projet'!$B$10,Paramètres!$A$1:$I$89,3,0)*VLOOKUP('Données projet'!$B$10,Paramètres!$A$1:$I$89,5,0)</f>
        <v>0</v>
      </c>
      <c r="AK67" s="14" t="e">
        <f t="shared" si="35"/>
        <v>#NUM!</v>
      </c>
      <c r="AL67" s="22" t="e">
        <f t="shared" si="4"/>
        <v>#NUM!</v>
      </c>
      <c r="AM67" s="62" t="e">
        <f t="shared" si="5"/>
        <v>#NUM!</v>
      </c>
      <c r="AN67" s="62">
        <f ca="1">AVERAGE(OFFSET($AM$3,0,0,'Données projet'!$E$10+1,1))-AVERAGE(OFFSET($H$3,0,0,'Données projet'!$E$10+1,1))</f>
        <v>405.09126081846171</v>
      </c>
      <c r="AO67" s="62">
        <f t="shared" si="36"/>
        <v>534.22295841722166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1.227103330424181</v>
      </c>
      <c r="AV67" s="23">
        <f>EXP(-LN(2)/25)*AV66+(1-EXP(-LN(2)/25))/(LN(2)/25)*Calculateur!AQ67*Calculateur!AS67*VLOOKUP('Données projet'!$B$10,Paramètres!$A$1:$I$89,3,0)*0.475*44/12</f>
        <v>3.3960337594085233</v>
      </c>
      <c r="AW67" s="23">
        <f>EXP(-LN(2)/2)*AW66+(1-EXP(-LN(2)/2))/(LN(2)/2)*AQ67*AT67*VLOOKUP('Données projet'!$B$10,Paramètres!$A$1:$I$89,3,0)*0.475*44/12</f>
        <v>2.8225728189957128E-6</v>
      </c>
      <c r="AX67" s="23">
        <f t="shared" si="6"/>
        <v>4.6231399124055237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9.5</v>
      </c>
      <c r="BD67" s="13">
        <f>IF('Données projet'!$A$88&gt;35,BD66+BC67-BL66,IF(A67&lt;'Données projet'!$A$88,$BA$205^A67,IF(A67='Données projet'!$A$88,'Données projet'!$B$88,BD66+BC67-BL66)))</f>
        <v>307.00000000000023</v>
      </c>
      <c r="BE67" s="14">
        <f>BD67*VLOOKUP('Données projet'!$B$11,Paramètres!$A$1:$I$89,3,0)*VLOOKUP('Données projet'!$B$11,Paramètres!$A$1:$I$89,5,0)</f>
        <v>175.60400000000013</v>
      </c>
      <c r="BF67" s="14">
        <f t="shared" si="37"/>
        <v>44.342754213843108</v>
      </c>
      <c r="BG67" s="22">
        <f t="shared" si="7"/>
        <v>383.07393025577699</v>
      </c>
      <c r="BH67" s="62">
        <f t="shared" si="8"/>
        <v>676.40726358911024</v>
      </c>
      <c r="BI67" s="62">
        <f ca="1">AVERAGE(OFFSET($BH$3,0,0,'Données projet'!$E$11+1,1))-AVERAGE(OFFSET($H$3,0,0,'Données projet'!$E$11+1,1))</f>
        <v>258.09881752732008</v>
      </c>
      <c r="BJ67" s="62">
        <f t="shared" si="38"/>
        <v>214.72899476643335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2.4380385579430177</v>
      </c>
      <c r="BR67" s="23">
        <f>EXP(-LN(2)/2)*BR66+(1-EXP(-LN(2)/2))/(LN(2)/2)*BL67*BO67*VLOOKUP('Données projet'!$B$11,Paramètres!$A$1:$I$89,3,0)*0.475*44/12</f>
        <v>3.3210562879180524E-5</v>
      </c>
      <c r="BS67" s="24">
        <f t="shared" si="9"/>
        <v>2.438071768505897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229</v>
      </c>
      <c r="L68" s="13">
        <f>VLOOKUP(A68,'Données projet'!$A$35:$I$55,9,0)</f>
        <v>7.2</v>
      </c>
      <c r="M68" s="13">
        <f t="array" ref="M68">INDEX(L:L,MIN(IF(ISNUMBER(L68:L264),ROW(L68:L264),"")))</f>
        <v>7.2</v>
      </c>
      <c r="N68" s="14">
        <f>IF('Données projet'!$A$36&gt;35,N67+M68-V67,IF(A68&lt;'Données projet'!$A$36,$K$205^A68,IF(A68='Données projet'!$A$36,'Données projet'!$B$36,N67+M68-V67)))</f>
        <v>229.00000000000003</v>
      </c>
      <c r="O68" s="14">
        <f>N68*VLOOKUP('Données projet'!$B$9,Paramètres!$A$1:$I$89,3,0)*VLOOKUP('Données projet'!$B$9,Paramètres!$A$1:$I$89,5,0)</f>
        <v>207.19919999999999</v>
      </c>
      <c r="P68" s="14">
        <f t="shared" si="33"/>
        <v>51.32306297366555</v>
      </c>
      <c r="Q68" s="22">
        <f t="shared" si="54"/>
        <v>450.25960801246742</v>
      </c>
      <c r="R68" s="62">
        <f t="shared" si="55"/>
        <v>743.59294134580068</v>
      </c>
      <c r="S68" s="62">
        <f ca="1">AVERAGE(OFFSET($R$3,0,0,'Données projet'!$E$9+1,1))-AVERAGE(OFFSET($H$3,0,0,'Données projet'!$E$9+1,1))</f>
        <v>371.75294069149942</v>
      </c>
      <c r="T68" s="62">
        <f t="shared" si="34"/>
        <v>233.32640143610547</v>
      </c>
      <c r="U68" s="16">
        <f>IF(ISNA(VLOOKUP(A68,'Données projet'!$A$35:$I$55,3,0)),0,VLOOKUP(A68,'Données projet'!$A$35:$I$55,3,0))</f>
        <v>9</v>
      </c>
      <c r="V68" s="16">
        <f>IF(ISNA(VLOOKUP(A68,'Données projet'!$A$35:$I$55,4,0)),0,VLOOKUP(A68,'Données projet'!$A$35:$I$55,4,0))</f>
        <v>21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>
        <f>AI68*VLOOKUP('Données projet'!$B$10,Paramètres!$A$1:$I$89,3,0)*VLOOKUP('Données projet'!$B$10,Paramètres!$A$1:$I$89,5,0)</f>
        <v>0</v>
      </c>
      <c r="AK68" s="14" t="e">
        <f t="shared" si="35"/>
        <v>#NUM!</v>
      </c>
      <c r="AL68" s="22" t="e">
        <f t="shared" ref="AL68:AL131" si="58">(AJ68+AK68)*0.475*44/12</f>
        <v>#NUM!</v>
      </c>
      <c r="AM68" s="62" t="e">
        <f t="shared" ref="AM68:AM131" si="59">AL68+(AD68+AE68)*44/12</f>
        <v>#NUM!</v>
      </c>
      <c r="AN68" s="62">
        <f ca="1">AVERAGE(OFFSET($AM$3,0,0,'Données projet'!$E$10+1,1))-AVERAGE(OFFSET($H$3,0,0,'Données projet'!$E$10+1,1))</f>
        <v>405.09126081846171</v>
      </c>
      <c r="AO68" s="62">
        <f t="shared" si="36"/>
        <v>534.22295841722166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1.2030405825736901</v>
      </c>
      <c r="AV68" s="23">
        <f>EXP(-LN(2)/25)*AV67+(1-EXP(-LN(2)/25))/(LN(2)/25)*Calculateur!AQ68*Calculateur!AS68*VLOOKUP('Données projet'!$B$10,Paramètres!$A$1:$I$89,3,0)*0.475*44/12</f>
        <v>3.3031690376678435</v>
      </c>
      <c r="AW68" s="23">
        <f>EXP(-LN(2)/2)*AW67+(1-EXP(-LN(2)/2))/(LN(2)/2)*AQ68*AT68*VLOOKUP('Données projet'!$B$10,Paramètres!$A$1:$I$89,3,0)*0.475*44/12</f>
        <v>1.995860380704698E-6</v>
      </c>
      <c r="AX68" s="23">
        <f t="shared" ref="AX68:AX131" si="60">SUM(AU68:AW68)</f>
        <v>4.5062116161019148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9.5</v>
      </c>
      <c r="BD68" s="13">
        <f>IF('Données projet'!$A$88&gt;35,BD67+BC68-BL67,IF(A68&lt;'Données projet'!$A$88,$BA$205^A68,IF(A68='Données projet'!$A$88,'Données projet'!$B$88,BD67+BC68-BL67)))</f>
        <v>316.50000000000023</v>
      </c>
      <c r="BE68" s="14">
        <f>BD68*VLOOKUP('Données projet'!$B$11,Paramètres!$A$1:$I$89,3,0)*VLOOKUP('Données projet'!$B$11,Paramètres!$A$1:$I$89,5,0)</f>
        <v>181.03800000000015</v>
      </c>
      <c r="BF68" s="14">
        <f t="shared" si="37"/>
        <v>45.553044701671382</v>
      </c>
      <c r="BG68" s="22">
        <f t="shared" ref="BG68:BG131" si="61">(BE68+BF68)*0.475*44/12</f>
        <v>394.64606952207788</v>
      </c>
      <c r="BH68" s="62">
        <f t="shared" ref="BH68:BH131" si="62">BG68+(AY68+AZ68)*44/12</f>
        <v>687.97940285541119</v>
      </c>
      <c r="BI68" s="62">
        <f ca="1">AVERAGE(OFFSET($BH$3,0,0,'Données projet'!$E$11+1,1))-AVERAGE(OFFSET($H$3,0,0,'Données projet'!$E$11+1,1))</f>
        <v>258.09881752732008</v>
      </c>
      <c r="BJ68" s="62">
        <f t="shared" si="38"/>
        <v>214.72899476643335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2.3713702653651905</v>
      </c>
      <c r="BR68" s="23">
        <f>EXP(-LN(2)/2)*BR67+(1-EXP(-LN(2)/2))/(LN(2)/2)*BL68*BO68*VLOOKUP('Données projet'!$B$11,Paramètres!$A$1:$I$89,3,0)*0.475*44/12</f>
        <v>2.3483414218890781E-5</v>
      </c>
      <c r="BS68" s="24">
        <f t="shared" ref="BS68:BS131" si="63">SUM(BP68:BR68)</f>
        <v>2.3713937487794094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6.8</v>
      </c>
      <c r="N69" s="14">
        <f>IF('Données projet'!$A$36&gt;35,N68+M69-V68,IF(A69&lt;'Données projet'!$A$36,$K$205^A69,IF(A69='Données projet'!$A$36,'Données projet'!$B$36,N68+M69-V68)))</f>
        <v>214.80000000000004</v>
      </c>
      <c r="O69" s="14">
        <f>N69*VLOOKUP('Données projet'!$B$9,Paramètres!$A$1:$I$89,3,0)*VLOOKUP('Données projet'!$B$9,Paramètres!$A$1:$I$89,5,0)</f>
        <v>194.35104000000004</v>
      </c>
      <c r="P69" s="14">
        <f t="shared" ref="P69:P132" si="87">EXP(-1.0587+0.8836*LN(O69)+0.284)</f>
        <v>48.500634729810159</v>
      </c>
      <c r="Q69" s="22">
        <f t="shared" si="54"/>
        <v>422.96666682108616</v>
      </c>
      <c r="R69" s="62">
        <f t="shared" si="55"/>
        <v>716.30000015441942</v>
      </c>
      <c r="S69" s="62">
        <f ca="1">AVERAGE(OFFSET($R$3,0,0,'Données projet'!$E$9+1,1))-AVERAGE(OFFSET($H$3,0,0,'Données projet'!$E$9+1,1))</f>
        <v>371.75294069149942</v>
      </c>
      <c r="T69" s="62">
        <f t="shared" ref="T69:T132" si="88">$T$3</f>
        <v>233.32640143610547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>
        <f>AI69*VLOOKUP('Données projet'!$B$10,Paramètres!$A$1:$I$89,3,0)*VLOOKUP('Données projet'!$B$10,Paramètres!$A$1:$I$89,5,0)</f>
        <v>0</v>
      </c>
      <c r="AK69" s="14" t="e">
        <f t="shared" ref="AK69:AK132" si="89">EXP(-1.0587+0.8836*LN(AJ69)+0.284)</f>
        <v>#NUM!</v>
      </c>
      <c r="AL69" s="22" t="e">
        <f t="shared" si="58"/>
        <v>#NUM!</v>
      </c>
      <c r="AM69" s="62" t="e">
        <f t="shared" si="59"/>
        <v>#NUM!</v>
      </c>
      <c r="AN69" s="62">
        <f ca="1">AVERAGE(OFFSET($AM$3,0,0,'Données projet'!$E$10+1,1))-AVERAGE(OFFSET($H$3,0,0,'Données projet'!$E$10+1,1))</f>
        <v>405.09126081846171</v>
      </c>
      <c r="AO69" s="62">
        <f t="shared" ref="AO69:AO132" si="90">$AO$3</f>
        <v>534.22295841722166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1.1794496905317204</v>
      </c>
      <c r="AV69" s="23">
        <f>EXP(-LN(2)/25)*AV68+(1-EXP(-LN(2)/25))/(LN(2)/25)*Calculateur!AQ69*Calculateur!AS69*VLOOKUP('Données projet'!$B$10,Paramètres!$A$1:$I$89,3,0)*0.475*44/12</f>
        <v>3.2128437066267064</v>
      </c>
      <c r="AW69" s="23">
        <f>EXP(-LN(2)/2)*AW68+(1-EXP(-LN(2)/2))/(LN(2)/2)*AQ69*AT69*VLOOKUP('Données projet'!$B$10,Paramètres!$A$1:$I$89,3,0)*0.475*44/12</f>
        <v>1.4112864094978564E-6</v>
      </c>
      <c r="AX69" s="23">
        <f t="shared" si="60"/>
        <v>4.3922948084448361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9.5</v>
      </c>
      <c r="BD69" s="13">
        <f>IF('Données projet'!$A$88&gt;35,BD68+BC69-BL68,IF(A69&lt;'Données projet'!$A$88,$BA$205^A69,IF(A69='Données projet'!$A$88,'Données projet'!$B$88,BD68+BC69-BL68)))</f>
        <v>326.00000000000023</v>
      </c>
      <c r="BE69" s="14">
        <f>BD69*VLOOKUP('Données projet'!$B$11,Paramètres!$A$1:$I$89,3,0)*VLOOKUP('Données projet'!$B$11,Paramètres!$A$1:$I$89,5,0)</f>
        <v>186.47200000000015</v>
      </c>
      <c r="BF69" s="14">
        <f t="shared" ref="BF69:BF132" si="91">EXP(-1.0587+0.8836*LN(BE69)+0.284)</f>
        <v>46.759113338100882</v>
      </c>
      <c r="BG69" s="22">
        <f t="shared" si="61"/>
        <v>406.21085573052596</v>
      </c>
      <c r="BH69" s="62">
        <f t="shared" si="62"/>
        <v>699.54418906385922</v>
      </c>
      <c r="BI69" s="62">
        <f ca="1">AVERAGE(OFFSET($BH$3,0,0,'Données projet'!$E$11+1,1))-AVERAGE(OFFSET($H$3,0,0,'Données projet'!$E$11+1,1))</f>
        <v>258.09881752732008</v>
      </c>
      <c r="BJ69" s="62">
        <f t="shared" ref="BJ69:BJ132" si="92">$BJ$3</f>
        <v>214.72899476643335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2.306525020753837</v>
      </c>
      <c r="BR69" s="23">
        <f>EXP(-LN(2)/2)*BR68+(1-EXP(-LN(2)/2))/(LN(2)/2)*BL69*BO69*VLOOKUP('Données projet'!$B$11,Paramètres!$A$1:$I$89,3,0)*0.475*44/12</f>
        <v>1.6605281439590262E-5</v>
      </c>
      <c r="BS69" s="24">
        <f t="shared" si="63"/>
        <v>2.3065416260352767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6.8</v>
      </c>
      <c r="N70" s="14">
        <f>IF('Données projet'!$A$36&gt;35,N69+M70-V69,IF(A70&lt;'Données projet'!$A$36,$K$205^A70,IF(A70='Données projet'!$A$36,'Données projet'!$B$36,N69+M70-V69)))</f>
        <v>221.60000000000005</v>
      </c>
      <c r="O70" s="14">
        <f>N70*VLOOKUP('Données projet'!$B$9,Paramètres!$A$1:$I$89,3,0)*VLOOKUP('Données projet'!$B$9,Paramètres!$A$1:$I$89,5,0)</f>
        <v>200.50368000000003</v>
      </c>
      <c r="P70" s="14">
        <f t="shared" si="87"/>
        <v>49.854845135229887</v>
      </c>
      <c r="Q70" s="22">
        <f t="shared" si="54"/>
        <v>436.04109794385869</v>
      </c>
      <c r="R70" s="62">
        <f t="shared" si="55"/>
        <v>729.374431277192</v>
      </c>
      <c r="S70" s="62">
        <f ca="1">AVERAGE(OFFSET($R$3,0,0,'Données projet'!$E$9+1,1))-AVERAGE(OFFSET($H$3,0,0,'Données projet'!$E$9+1,1))</f>
        <v>371.75294069149942</v>
      </c>
      <c r="T70" s="62">
        <f t="shared" si="88"/>
        <v>233.32640143610547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>
        <f>AI70*VLOOKUP('Données projet'!$B$10,Paramètres!$A$1:$I$89,3,0)*VLOOKUP('Données projet'!$B$10,Paramètres!$A$1:$I$89,5,0)</f>
        <v>0</v>
      </c>
      <c r="AK70" s="14" t="e">
        <f t="shared" si="89"/>
        <v>#NUM!</v>
      </c>
      <c r="AL70" s="22" t="e">
        <f t="shared" si="58"/>
        <v>#NUM!</v>
      </c>
      <c r="AM70" s="62" t="e">
        <f t="shared" si="59"/>
        <v>#NUM!</v>
      </c>
      <c r="AN70" s="62">
        <f ca="1">AVERAGE(OFFSET($AM$3,0,0,'Données projet'!$E$10+1,1))-AVERAGE(OFFSET($H$3,0,0,'Données projet'!$E$10+1,1))</f>
        <v>405.09126081846171</v>
      </c>
      <c r="AO70" s="62">
        <f t="shared" si="90"/>
        <v>534.22295841722166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1.1563214014936705</v>
      </c>
      <c r="AV70" s="23">
        <f>EXP(-LN(2)/25)*AV69+(1-EXP(-LN(2)/25))/(LN(2)/25)*Calculateur!AQ70*Calculateur!AS70*VLOOKUP('Données projet'!$B$10,Paramètres!$A$1:$I$89,3,0)*0.475*44/12</f>
        <v>3.1249883265128915</v>
      </c>
      <c r="AW70" s="23">
        <f>EXP(-LN(2)/2)*AW69+(1-EXP(-LN(2)/2))/(LN(2)/2)*AQ70*AT70*VLOOKUP('Données projet'!$B$10,Paramètres!$A$1:$I$89,3,0)*0.475*44/12</f>
        <v>9.9793019035234902E-7</v>
      </c>
      <c r="AX70" s="23">
        <f t="shared" si="60"/>
        <v>4.281310725936752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9.5</v>
      </c>
      <c r="BD70" s="13">
        <f>IF('Données projet'!$A$88&gt;35,BD69+BC70-BL69,IF(A70&lt;'Données projet'!$A$88,$BA$205^A70,IF(A70='Données projet'!$A$88,'Données projet'!$B$88,BD69+BC70-BL69)))</f>
        <v>335.50000000000023</v>
      </c>
      <c r="BE70" s="14">
        <f>BD70*VLOOKUP('Données projet'!$B$11,Paramètres!$A$1:$I$89,3,0)*VLOOKUP('Données projet'!$B$11,Paramètres!$A$1:$I$89,5,0)</f>
        <v>191.90600000000012</v>
      </c>
      <c r="BF70" s="14">
        <f t="shared" si="91"/>
        <v>47.96109727983233</v>
      </c>
      <c r="BG70" s="22">
        <f t="shared" si="61"/>
        <v>417.76852776237479</v>
      </c>
      <c r="BH70" s="62">
        <f t="shared" si="62"/>
        <v>711.10186109570805</v>
      </c>
      <c r="BI70" s="62">
        <f ca="1">AVERAGE(OFFSET($BH$3,0,0,'Données projet'!$E$11+1,1))-AVERAGE(OFFSET($H$3,0,0,'Données projet'!$E$11+1,1))</f>
        <v>258.09881752732008</v>
      </c>
      <c r="BJ70" s="62">
        <f t="shared" si="92"/>
        <v>214.72899476643335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2.2434529727664443</v>
      </c>
      <c r="BR70" s="23">
        <f>EXP(-LN(2)/2)*BR69+(1-EXP(-LN(2)/2))/(LN(2)/2)*BL70*BO70*VLOOKUP('Données projet'!$B$11,Paramètres!$A$1:$I$89,3,0)*0.475*44/12</f>
        <v>1.174170710944539E-5</v>
      </c>
      <c r="BS70" s="24">
        <f t="shared" si="63"/>
        <v>2.2434647144735536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6.8</v>
      </c>
      <c r="N71" s="14">
        <f>IF('Données projet'!$A$36&gt;35,N70+M71-V70,IF(A71&lt;'Données projet'!$A$36,$K$205^A71,IF(A71='Données projet'!$A$36,'Données projet'!$B$36,N70+M71-V70)))</f>
        <v>228.40000000000006</v>
      </c>
      <c r="O71" s="14">
        <f>N71*VLOOKUP('Données projet'!$B$9,Paramètres!$A$1:$I$89,3,0)*VLOOKUP('Données projet'!$B$9,Paramètres!$A$1:$I$89,5,0)</f>
        <v>206.65632000000005</v>
      </c>
      <c r="P71" s="14">
        <f t="shared" si="87"/>
        <v>51.20422634371338</v>
      </c>
      <c r="Q71" s="22">
        <f t="shared" si="54"/>
        <v>449.10711821530089</v>
      </c>
      <c r="R71" s="62">
        <f t="shared" si="55"/>
        <v>742.4404515486342</v>
      </c>
      <c r="S71" s="62">
        <f ca="1">AVERAGE(OFFSET($R$3,0,0,'Données projet'!$E$9+1,1))-AVERAGE(OFFSET($H$3,0,0,'Données projet'!$E$9+1,1))</f>
        <v>371.75294069149942</v>
      </c>
      <c r="T71" s="62">
        <f t="shared" si="88"/>
        <v>233.32640143610547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>
        <f>AI71*VLOOKUP('Données projet'!$B$10,Paramètres!$A$1:$I$89,3,0)*VLOOKUP('Données projet'!$B$10,Paramètres!$A$1:$I$89,5,0)</f>
        <v>0</v>
      </c>
      <c r="AK71" s="14" t="e">
        <f t="shared" si="89"/>
        <v>#NUM!</v>
      </c>
      <c r="AL71" s="22" t="e">
        <f t="shared" si="58"/>
        <v>#NUM!</v>
      </c>
      <c r="AM71" s="62" t="e">
        <f t="shared" si="59"/>
        <v>#NUM!</v>
      </c>
      <c r="AN71" s="62">
        <f ca="1">AVERAGE(OFFSET($AM$3,0,0,'Données projet'!$E$10+1,1))-AVERAGE(OFFSET($H$3,0,0,'Données projet'!$E$10+1,1))</f>
        <v>405.09126081846171</v>
      </c>
      <c r="AO71" s="62">
        <f t="shared" si="90"/>
        <v>534.22295841722166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1.1336466440967932</v>
      </c>
      <c r="AV71" s="23">
        <f>EXP(-LN(2)/25)*AV70+(1-EXP(-LN(2)/25))/(LN(2)/25)*Calculateur!AQ71*Calculateur!AS71*VLOOKUP('Données projet'!$B$10,Paramètres!$A$1:$I$89,3,0)*0.475*44/12</f>
        <v>3.0395353563884027</v>
      </c>
      <c r="AW71" s="23">
        <f>EXP(-LN(2)/2)*AW70+(1-EXP(-LN(2)/2))/(LN(2)/2)*AQ71*AT71*VLOOKUP('Données projet'!$B$10,Paramètres!$A$1:$I$89,3,0)*0.475*44/12</f>
        <v>7.056432047489282E-7</v>
      </c>
      <c r="AX71" s="23">
        <f t="shared" si="60"/>
        <v>4.1731827061283999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9.5</v>
      </c>
      <c r="BD71" s="13">
        <f>IF('Données projet'!$A$88&gt;35,BD70+BC71-BL70,IF(A71&lt;'Données projet'!$A$88,$BA$205^A71,IF(A71='Données projet'!$A$88,'Données projet'!$B$88,BD70+BC71-BL70)))</f>
        <v>345.00000000000023</v>
      </c>
      <c r="BE71" s="14">
        <f>BD71*VLOOKUP('Données projet'!$B$11,Paramètres!$A$1:$I$89,3,0)*VLOOKUP('Données projet'!$B$11,Paramètres!$A$1:$I$89,5,0)</f>
        <v>197.34000000000015</v>
      </c>
      <c r="BF71" s="14">
        <f t="shared" si="91"/>
        <v>49.15912547427002</v>
      </c>
      <c r="BG71" s="22">
        <f t="shared" si="61"/>
        <v>429.31931020102047</v>
      </c>
      <c r="BH71" s="62">
        <f t="shared" si="62"/>
        <v>722.65264353435373</v>
      </c>
      <c r="BI71" s="62">
        <f ca="1">AVERAGE(OFFSET($BH$3,0,0,'Données projet'!$E$11+1,1))-AVERAGE(OFFSET($H$3,0,0,'Données projet'!$E$11+1,1))</f>
        <v>258.09881752732008</v>
      </c>
      <c r="BJ71" s="62">
        <f t="shared" si="92"/>
        <v>214.72899476643335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2.1821056332480815</v>
      </c>
      <c r="BR71" s="23">
        <f>EXP(-LN(2)/2)*BR70+(1-EXP(-LN(2)/2))/(LN(2)/2)*BL71*BO71*VLOOKUP('Données projet'!$B$11,Paramètres!$A$1:$I$89,3,0)*0.475*44/12</f>
        <v>8.3026407197951309E-6</v>
      </c>
      <c r="BS71" s="24">
        <f t="shared" si="63"/>
        <v>2.1821139358888013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6.8</v>
      </c>
      <c r="N72" s="14">
        <f>IF('Données projet'!$A$36&gt;35,N71+M72-V71,IF(A72&lt;'Données projet'!$A$36,$K$205^A72,IF(A72='Données projet'!$A$36,'Données projet'!$B$36,N71+M72-V71)))</f>
        <v>235.20000000000007</v>
      </c>
      <c r="O72" s="14">
        <f>N72*VLOOKUP('Données projet'!$B$9,Paramètres!$A$1:$I$89,3,0)*VLOOKUP('Données projet'!$B$9,Paramètres!$A$1:$I$89,5,0)</f>
        <v>212.80896000000004</v>
      </c>
      <c r="P72" s="14">
        <f t="shared" si="87"/>
        <v>52.54893863748589</v>
      </c>
      <c r="Q72" s="22">
        <f t="shared" si="54"/>
        <v>462.16500679362139</v>
      </c>
      <c r="R72" s="62">
        <f t="shared" si="55"/>
        <v>755.49834012695464</v>
      </c>
      <c r="S72" s="62">
        <f ca="1">AVERAGE(OFFSET($R$3,0,0,'Données projet'!$E$9+1,1))-AVERAGE(OFFSET($H$3,0,0,'Données projet'!$E$9+1,1))</f>
        <v>371.75294069149942</v>
      </c>
      <c r="T72" s="62">
        <f t="shared" si="88"/>
        <v>233.32640143610547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>
        <f>AI72*VLOOKUP('Données projet'!$B$10,Paramètres!$A$1:$I$89,3,0)*VLOOKUP('Données projet'!$B$10,Paramètres!$A$1:$I$89,5,0)</f>
        <v>0</v>
      </c>
      <c r="AK72" s="14" t="e">
        <f t="shared" si="89"/>
        <v>#NUM!</v>
      </c>
      <c r="AL72" s="22" t="e">
        <f t="shared" si="58"/>
        <v>#NUM!</v>
      </c>
      <c r="AM72" s="62" t="e">
        <f t="shared" si="59"/>
        <v>#NUM!</v>
      </c>
      <c r="AN72" s="62">
        <f ca="1">AVERAGE(OFFSET($AM$3,0,0,'Données projet'!$E$10+1,1))-AVERAGE(OFFSET($H$3,0,0,'Données projet'!$E$10+1,1))</f>
        <v>405.09126081846171</v>
      </c>
      <c r="AO72" s="62">
        <f t="shared" si="90"/>
        <v>534.22295841722166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1.1114165248622323</v>
      </c>
      <c r="AV72" s="23">
        <f>EXP(-LN(2)/25)*AV71+(1-EXP(-LN(2)/25))/(LN(2)/25)*Calculateur!AQ72*Calculateur!AS72*VLOOKUP('Données projet'!$B$10,Paramètres!$A$1:$I$89,3,0)*0.475*44/12</f>
        <v>2.9564191022257442</v>
      </c>
      <c r="AW72" s="23">
        <f>EXP(-LN(2)/2)*AW71+(1-EXP(-LN(2)/2))/(LN(2)/2)*AQ72*AT72*VLOOKUP('Données projet'!$B$10,Paramètres!$A$1:$I$89,3,0)*0.475*44/12</f>
        <v>4.9896509517617451E-7</v>
      </c>
      <c r="AX72" s="23">
        <f t="shared" si="60"/>
        <v>4.0678361260530718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9.5</v>
      </c>
      <c r="BD72" s="13">
        <f>IF('Données projet'!$A$88&gt;35,BD71+BC72-BL71,IF(A72&lt;'Données projet'!$A$88,$BA$205^A72,IF(A72='Données projet'!$A$88,'Données projet'!$B$88,BD71+BC72-BL71)))</f>
        <v>354.50000000000023</v>
      </c>
      <c r="BE72" s="14">
        <f>BD72*VLOOKUP('Données projet'!$B$11,Paramètres!$A$1:$I$89,3,0)*VLOOKUP('Données projet'!$B$11,Paramètres!$A$1:$I$89,5,0)</f>
        <v>202.77400000000014</v>
      </c>
      <c r="BF72" s="14">
        <f t="shared" si="91"/>
        <v>50.353319363225992</v>
      </c>
      <c r="BG72" s="22">
        <f t="shared" si="61"/>
        <v>440.86341455761885</v>
      </c>
      <c r="BH72" s="62">
        <f t="shared" si="62"/>
        <v>734.19674789095211</v>
      </c>
      <c r="BI72" s="62">
        <f ca="1">AVERAGE(OFFSET($BH$3,0,0,'Données projet'!$E$11+1,1))-AVERAGE(OFFSET($H$3,0,0,'Données projet'!$E$11+1,1))</f>
        <v>258.09881752732008</v>
      </c>
      <c r="BJ72" s="62">
        <f t="shared" si="92"/>
        <v>214.72899476643335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2.1224358399549645</v>
      </c>
      <c r="BR72" s="23">
        <f>EXP(-LN(2)/2)*BR71+(1-EXP(-LN(2)/2))/(LN(2)/2)*BL72*BO72*VLOOKUP('Données projet'!$B$11,Paramètres!$A$1:$I$89,3,0)*0.475*44/12</f>
        <v>5.8708535547226951E-6</v>
      </c>
      <c r="BS72" s="24">
        <f t="shared" si="63"/>
        <v>2.1224417108085194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242</v>
      </c>
      <c r="L73" s="13">
        <f>VLOOKUP(A73,'Données projet'!$A$35:$I$55,9,0)</f>
        <v>6.8</v>
      </c>
      <c r="M73" s="13">
        <f t="array" ref="M73">INDEX(L:L,MIN(IF(ISNUMBER(L73:L269),ROW(L73:L269),"")))</f>
        <v>6.8</v>
      </c>
      <c r="N73" s="14">
        <f>IF('Données projet'!$A$36&gt;35,N72+M73-V72,IF(A73&lt;'Données projet'!$A$36,$K$205^A73,IF(A73='Données projet'!$A$36,'Données projet'!$B$36,N72+M73-V72)))</f>
        <v>242.00000000000009</v>
      </c>
      <c r="O73" s="14">
        <f>N73*VLOOKUP('Données projet'!$B$9,Paramètres!$A$1:$I$89,3,0)*VLOOKUP('Données projet'!$B$9,Paramètres!$A$1:$I$89,5,0)</f>
        <v>218.96160000000006</v>
      </c>
      <c r="P73" s="14">
        <f t="shared" si="87"/>
        <v>53.88913250370743</v>
      </c>
      <c r="Q73" s="22">
        <f t="shared" si="54"/>
        <v>475.21502577729046</v>
      </c>
      <c r="R73" s="62">
        <f t="shared" si="55"/>
        <v>768.54835911062378</v>
      </c>
      <c r="S73" s="62">
        <f ca="1">AVERAGE(OFFSET($R$3,0,0,'Données projet'!$E$9+1,1))-AVERAGE(OFFSET($H$3,0,0,'Données projet'!$E$9+1,1))</f>
        <v>371.75294069149942</v>
      </c>
      <c r="T73" s="62">
        <f t="shared" si="88"/>
        <v>233.32640143610547</v>
      </c>
      <c r="U73" s="16">
        <f>IF(ISNA(VLOOKUP(A73,'Données projet'!$A$35:$I$55,3,0)),0,VLOOKUP(A73,'Données projet'!$A$35:$I$55,3,0))</f>
        <v>10</v>
      </c>
      <c r="V73" s="16">
        <f>IF(ISNA(VLOOKUP(A73,'Données projet'!$A$35:$I$55,4,0)),0,VLOOKUP(A73,'Données projet'!$A$35:$I$55,4,0))</f>
        <v>21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>
        <f>AI73*VLOOKUP('Données projet'!$B$10,Paramètres!$A$1:$I$89,3,0)*VLOOKUP('Données projet'!$B$10,Paramètres!$A$1:$I$89,5,0)</f>
        <v>0</v>
      </c>
      <c r="AK73" s="14" t="e">
        <f t="shared" si="89"/>
        <v>#NUM!</v>
      </c>
      <c r="AL73" s="22" t="e">
        <f t="shared" si="58"/>
        <v>#NUM!</v>
      </c>
      <c r="AM73" s="62" t="e">
        <f t="shared" si="59"/>
        <v>#NUM!</v>
      </c>
      <c r="AN73" s="62">
        <f ca="1">AVERAGE(OFFSET($AM$3,0,0,'Données projet'!$E$10+1,1))-AVERAGE(OFFSET($H$3,0,0,'Données projet'!$E$10+1,1))</f>
        <v>405.09126081846171</v>
      </c>
      <c r="AO73" s="62">
        <f t="shared" si="90"/>
        <v>534.22295841722166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1.0896223247068273</v>
      </c>
      <c r="AV73" s="23">
        <f>EXP(-LN(2)/25)*AV72+(1-EXP(-LN(2)/25))/(LN(2)/25)*Calculateur!AQ73*Calculateur!AS73*VLOOKUP('Données projet'!$B$10,Paramètres!$A$1:$I$89,3,0)*0.475*44/12</f>
        <v>2.8755756664040577</v>
      </c>
      <c r="AW73" s="23">
        <f>EXP(-LN(2)/2)*AW72+(1-EXP(-LN(2)/2))/(LN(2)/2)*AQ73*AT73*VLOOKUP('Données projet'!$B$10,Paramètres!$A$1:$I$89,3,0)*0.475*44/12</f>
        <v>3.528216023744641E-7</v>
      </c>
      <c r="AX73" s="23">
        <f t="shared" si="60"/>
        <v>3.9651983439324869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364</v>
      </c>
      <c r="BB73" s="13">
        <f>VLOOKUP(A73,'Données projet'!$A$87:$I$107,9,0)</f>
        <v>9.5</v>
      </c>
      <c r="BC73" s="13">
        <f t="array" ref="BC73">INDEX(BB:BB,MIN(IF(ISNUMBER(BB73:BB269),ROW(BB73:BB269),"")))</f>
        <v>9.5</v>
      </c>
      <c r="BD73" s="13">
        <f>IF('Données projet'!$A$88&gt;35,BD72+BC73-BL72,IF(A73&lt;'Données projet'!$A$88,$BA$205^A73,IF(A73='Données projet'!$A$88,'Données projet'!$B$88,BD72+BC73-BL72)))</f>
        <v>364.00000000000023</v>
      </c>
      <c r="BE73" s="14">
        <f>BD73*VLOOKUP('Données projet'!$B$11,Paramètres!$A$1:$I$89,3,0)*VLOOKUP('Données projet'!$B$11,Paramètres!$A$1:$I$89,5,0)</f>
        <v>208.20800000000014</v>
      </c>
      <c r="BF73" s="14">
        <f t="shared" si="91"/>
        <v>51.543793509070333</v>
      </c>
      <c r="BG73" s="22">
        <f t="shared" si="61"/>
        <v>452.40104036163103</v>
      </c>
      <c r="BH73" s="62">
        <f t="shared" si="62"/>
        <v>745.73437369496435</v>
      </c>
      <c r="BI73" s="62">
        <f ca="1">AVERAGE(OFFSET($BH$3,0,0,'Données projet'!$E$11+1,1))-AVERAGE(OFFSET($H$3,0,0,'Données projet'!$E$11+1,1))</f>
        <v>258.09881752732008</v>
      </c>
      <c r="BJ73" s="62">
        <f t="shared" si="92"/>
        <v>214.72899476643335</v>
      </c>
      <c r="BK73" s="16">
        <f>IF(ISNA(VLOOKUP(A73,'Données projet'!$A$87:$I$107,3,0)),0,VLOOKUP(A73,'Données projet'!$A$87:$I$107,3,0))</f>
        <v>7</v>
      </c>
      <c r="BL73" s="16">
        <f>IF(ISNA(VLOOKUP(A73,'Données projet'!$A$87:$I$107,4,0)),0,VLOOKUP(A73,'Données projet'!$A$87:$I$107,4,0))</f>
        <v>52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2.0643977202973463</v>
      </c>
      <c r="BR73" s="23">
        <f>EXP(-LN(2)/2)*BR72+(1-EXP(-LN(2)/2))/(LN(2)/2)*BL73*BO73*VLOOKUP('Données projet'!$B$11,Paramètres!$A$1:$I$89,3,0)*0.475*44/12</f>
        <v>4.1513203598975655E-6</v>
      </c>
      <c r="BS73" s="24">
        <f t="shared" si="63"/>
        <v>2.0644018716177062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6.4</v>
      </c>
      <c r="N74" s="14">
        <f>IF('Données projet'!$A$36&gt;35,N73+M74-V73,IF(A74&lt;'Données projet'!$A$36,$K$205^A74,IF(A74='Données projet'!$A$36,'Données projet'!$B$36,N73+M74-V73)))</f>
        <v>227.40000000000009</v>
      </c>
      <c r="O74" s="14">
        <f>N74*VLOOKUP('Données projet'!$B$9,Paramètres!$A$1:$I$89,3,0)*VLOOKUP('Données projet'!$B$9,Paramètres!$A$1:$I$89,5,0)</f>
        <v>205.75152000000008</v>
      </c>
      <c r="P74" s="14">
        <f t="shared" si="87"/>
        <v>51.006084477955554</v>
      </c>
      <c r="Q74" s="22">
        <f t="shared" si="54"/>
        <v>447.18616113243934</v>
      </c>
      <c r="R74" s="62">
        <f t="shared" si="55"/>
        <v>740.5194944657726</v>
      </c>
      <c r="S74" s="62">
        <f ca="1">AVERAGE(OFFSET($R$3,0,0,'Données projet'!$E$9+1,1))-AVERAGE(OFFSET($H$3,0,0,'Données projet'!$E$9+1,1))</f>
        <v>371.75294069149942</v>
      </c>
      <c r="T74" s="62">
        <f t="shared" si="88"/>
        <v>233.32640143610547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>
        <f>AI74*VLOOKUP('Données projet'!$B$10,Paramètres!$A$1:$I$89,3,0)*VLOOKUP('Données projet'!$B$10,Paramètres!$A$1:$I$89,5,0)</f>
        <v>0</v>
      </c>
      <c r="AK74" s="14" t="e">
        <f t="shared" si="89"/>
        <v>#NUM!</v>
      </c>
      <c r="AL74" s="22" t="e">
        <f t="shared" si="58"/>
        <v>#NUM!</v>
      </c>
      <c r="AM74" s="62" t="e">
        <f t="shared" si="59"/>
        <v>#NUM!</v>
      </c>
      <c r="AN74" s="62">
        <f ca="1">AVERAGE(OFFSET($AM$3,0,0,'Données projet'!$E$10+1,1))-AVERAGE(OFFSET($H$3,0,0,'Données projet'!$E$10+1,1))</f>
        <v>405.09126081846171</v>
      </c>
      <c r="AO74" s="62">
        <f t="shared" si="90"/>
        <v>534.22295841722166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1.0682554955233203</v>
      </c>
      <c r="AV74" s="23">
        <f>EXP(-LN(2)/25)*AV73+(1-EXP(-LN(2)/25))/(LN(2)/25)*Calculateur!AQ74*Calculateur!AS74*VLOOKUP('Données projet'!$B$10,Paramètres!$A$1:$I$89,3,0)*0.475*44/12</f>
        <v>2.7969428985862868</v>
      </c>
      <c r="AW74" s="23">
        <f>EXP(-LN(2)/2)*AW73+(1-EXP(-LN(2)/2))/(LN(2)/2)*AQ74*AT74*VLOOKUP('Données projet'!$B$10,Paramètres!$A$1:$I$89,3,0)*0.475*44/12</f>
        <v>2.4948254758808726E-7</v>
      </c>
      <c r="AX74" s="23">
        <f t="shared" si="60"/>
        <v>3.8651986435921546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8.3000000000000007</v>
      </c>
      <c r="BD74" s="13">
        <f>IF('Données projet'!$A$88&gt;35,BD73+BC74-BL73,IF(A74&lt;'Données projet'!$A$88,$BA$205^A74,IF(A74='Données projet'!$A$88,'Données projet'!$B$88,BD73+BC74-BL73)))</f>
        <v>320.30000000000024</v>
      </c>
      <c r="BE74" s="14">
        <f>BD74*VLOOKUP('Données projet'!$B$11,Paramètres!$A$1:$I$89,3,0)*VLOOKUP('Données projet'!$B$11,Paramètres!$A$1:$I$89,5,0)</f>
        <v>183.21160000000015</v>
      </c>
      <c r="BF74" s="14">
        <f t="shared" si="91"/>
        <v>46.035970904955342</v>
      </c>
      <c r="BG74" s="22">
        <f t="shared" si="61"/>
        <v>399.27285265946415</v>
      </c>
      <c r="BH74" s="62">
        <f t="shared" si="62"/>
        <v>692.60618599279746</v>
      </c>
      <c r="BI74" s="62">
        <f ca="1">AVERAGE(OFFSET($BH$3,0,0,'Données projet'!$E$11+1,1))-AVERAGE(OFFSET($H$3,0,0,'Données projet'!$E$11+1,1))</f>
        <v>258.09881752732008</v>
      </c>
      <c r="BJ74" s="62">
        <f t="shared" si="92"/>
        <v>214.72899476643335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2.0079466560738575</v>
      </c>
      <c r="BR74" s="23">
        <f>EXP(-LN(2)/2)*BR73+(1-EXP(-LN(2)/2))/(LN(2)/2)*BL74*BO74*VLOOKUP('Données projet'!$B$11,Paramètres!$A$1:$I$89,3,0)*0.475*44/12</f>
        <v>2.9354267773613476E-6</v>
      </c>
      <c r="BS74" s="24">
        <f t="shared" si="63"/>
        <v>2.0079495915006347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6.4</v>
      </c>
      <c r="N75" s="14">
        <f>IF('Données projet'!$A$36&gt;35,N74+M75-V74,IF(A75&lt;'Données projet'!$A$36,$K$205^A75,IF(A75='Données projet'!$A$36,'Données projet'!$B$36,N74+M75-V74)))</f>
        <v>233.8000000000001</v>
      </c>
      <c r="O75" s="14">
        <f>N75*VLOOKUP('Données projet'!$B$9,Paramètres!$A$1:$I$89,3,0)*VLOOKUP('Données projet'!$B$9,Paramètres!$A$1:$I$89,5,0)</f>
        <v>211.54224000000008</v>
      </c>
      <c r="P75" s="14">
        <f t="shared" si="87"/>
        <v>52.272460284041784</v>
      </c>
      <c r="Q75" s="22">
        <f t="shared" si="54"/>
        <v>459.47726966137287</v>
      </c>
      <c r="R75" s="62">
        <f t="shared" si="55"/>
        <v>752.81060299470619</v>
      </c>
      <c r="S75" s="62">
        <f ca="1">AVERAGE(OFFSET($R$3,0,0,'Données projet'!$E$9+1,1))-AVERAGE(OFFSET($H$3,0,0,'Données projet'!$E$9+1,1))</f>
        <v>371.75294069149942</v>
      </c>
      <c r="T75" s="62">
        <f t="shared" si="88"/>
        <v>233.32640143610547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>
        <f>AI75*VLOOKUP('Données projet'!$B$10,Paramètres!$A$1:$I$89,3,0)*VLOOKUP('Données projet'!$B$10,Paramètres!$A$1:$I$89,5,0)</f>
        <v>0</v>
      </c>
      <c r="AK75" s="14" t="e">
        <f t="shared" si="89"/>
        <v>#NUM!</v>
      </c>
      <c r="AL75" s="22" t="e">
        <f t="shared" si="58"/>
        <v>#NUM!</v>
      </c>
      <c r="AM75" s="62" t="e">
        <f t="shared" si="59"/>
        <v>#NUM!</v>
      </c>
      <c r="AN75" s="62">
        <f ca="1">AVERAGE(OFFSET($AM$3,0,0,'Données projet'!$E$10+1,1))-AVERAGE(OFFSET($H$3,0,0,'Données projet'!$E$10+1,1))</f>
        <v>405.09126081846171</v>
      </c>
      <c r="AO75" s="62">
        <f t="shared" si="90"/>
        <v>534.22295841722166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1.0473076568276229</v>
      </c>
      <c r="AV75" s="23">
        <f>EXP(-LN(2)/25)*AV74+(1-EXP(-LN(2)/25))/(LN(2)/25)*Calculateur!AQ75*Calculateur!AS75*VLOOKUP('Données projet'!$B$10,Paramètres!$A$1:$I$89,3,0)*0.475*44/12</f>
        <v>2.7204603479396101</v>
      </c>
      <c r="AW75" s="23">
        <f>EXP(-LN(2)/2)*AW74+(1-EXP(-LN(2)/2))/(LN(2)/2)*AQ75*AT75*VLOOKUP('Données projet'!$B$10,Paramètres!$A$1:$I$89,3,0)*0.475*44/12</f>
        <v>1.7641080118723205E-7</v>
      </c>
      <c r="AX75" s="23">
        <f t="shared" si="60"/>
        <v>3.7677681811780341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8.3000000000000007</v>
      </c>
      <c r="BD75" s="13">
        <f>IF('Données projet'!$A$88&gt;35,BD74+BC75-BL74,IF(A75&lt;'Données projet'!$A$88,$BA$205^A75,IF(A75='Données projet'!$A$88,'Données projet'!$B$88,BD74+BC75-BL74)))</f>
        <v>328.60000000000025</v>
      </c>
      <c r="BE75" s="14">
        <f>BD75*VLOOKUP('Données projet'!$B$11,Paramètres!$A$1:$I$89,3,0)*VLOOKUP('Données projet'!$B$11,Paramètres!$A$1:$I$89,5,0)</f>
        <v>187.95920000000015</v>
      </c>
      <c r="BF75" s="14">
        <f t="shared" si="91"/>
        <v>47.088477759834014</v>
      </c>
      <c r="BG75" s="22">
        <f t="shared" si="61"/>
        <v>409.37470543171111</v>
      </c>
      <c r="BH75" s="62">
        <f t="shared" si="62"/>
        <v>702.70803876504442</v>
      </c>
      <c r="BI75" s="62">
        <f ca="1">AVERAGE(OFFSET($BH$3,0,0,'Données projet'!$E$11+1,1))-AVERAGE(OFFSET($H$3,0,0,'Données projet'!$E$11+1,1))</f>
        <v>258.09881752732008</v>
      </c>
      <c r="BJ75" s="62">
        <f t="shared" si="92"/>
        <v>214.72899476643335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1.9530392491701924</v>
      </c>
      <c r="BR75" s="23">
        <f>EXP(-LN(2)/2)*BR74+(1-EXP(-LN(2)/2))/(LN(2)/2)*BL75*BO75*VLOOKUP('Données projet'!$B$11,Paramètres!$A$1:$I$89,3,0)*0.475*44/12</f>
        <v>2.0756601799487827E-6</v>
      </c>
      <c r="BS75" s="24">
        <f t="shared" si="63"/>
        <v>1.9530413248303724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6.4</v>
      </c>
      <c r="N76" s="14">
        <f>IF('Données projet'!$A$36&gt;35,N75+M76-V75,IF(A76&lt;'Données projet'!$A$36,$K$205^A76,IF(A76='Données projet'!$A$36,'Données projet'!$B$36,N75+M76-V75)))</f>
        <v>240.2000000000001</v>
      </c>
      <c r="O76" s="14">
        <f>N76*VLOOKUP('Données projet'!$B$9,Paramètres!$A$1:$I$89,3,0)*VLOOKUP('Données projet'!$B$9,Paramètres!$A$1:$I$89,5,0)</f>
        <v>217.3329600000001</v>
      </c>
      <c r="P76" s="14">
        <f t="shared" si="87"/>
        <v>53.53480691026855</v>
      </c>
      <c r="Q76" s="22">
        <f t="shared" si="54"/>
        <v>471.76136070205121</v>
      </c>
      <c r="R76" s="62">
        <f t="shared" si="55"/>
        <v>765.09469403538446</v>
      </c>
      <c r="S76" s="62">
        <f ca="1">AVERAGE(OFFSET($R$3,0,0,'Données projet'!$E$9+1,1))-AVERAGE(OFFSET($H$3,0,0,'Données projet'!$E$9+1,1))</f>
        <v>371.75294069149942</v>
      </c>
      <c r="T76" s="62">
        <f t="shared" si="88"/>
        <v>233.32640143610547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>
        <f>AI76*VLOOKUP('Données projet'!$B$10,Paramètres!$A$1:$I$89,3,0)*VLOOKUP('Données projet'!$B$10,Paramètres!$A$1:$I$89,5,0)</f>
        <v>0</v>
      </c>
      <c r="AK76" s="14" t="e">
        <f t="shared" si="89"/>
        <v>#NUM!</v>
      </c>
      <c r="AL76" s="22" t="e">
        <f t="shared" si="58"/>
        <v>#NUM!</v>
      </c>
      <c r="AM76" s="62" t="e">
        <f t="shared" si="59"/>
        <v>#NUM!</v>
      </c>
      <c r="AN76" s="62">
        <f ca="1">AVERAGE(OFFSET($AM$3,0,0,'Données projet'!$E$10+1,1))-AVERAGE(OFFSET($H$3,0,0,'Données projet'!$E$10+1,1))</f>
        <v>405.09126081846171</v>
      </c>
      <c r="AO76" s="62">
        <f t="shared" si="90"/>
        <v>534.22295841722166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1.0267705924718282</v>
      </c>
      <c r="AV76" s="23">
        <f>EXP(-LN(2)/25)*AV75+(1-EXP(-LN(2)/25))/(LN(2)/25)*Calculateur!AQ76*Calculateur!AS76*VLOOKUP('Données projet'!$B$10,Paramètres!$A$1:$I$89,3,0)*0.475*44/12</f>
        <v>2.6460692166624096</v>
      </c>
      <c r="AW76" s="23">
        <f>EXP(-LN(2)/2)*AW75+(1-EXP(-LN(2)/2))/(LN(2)/2)*AQ76*AT76*VLOOKUP('Données projet'!$B$10,Paramètres!$A$1:$I$89,3,0)*0.475*44/12</f>
        <v>1.2474127379404363E-7</v>
      </c>
      <c r="AX76" s="23">
        <f t="shared" si="60"/>
        <v>3.6728399338755113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8.3000000000000007</v>
      </c>
      <c r="BD76" s="13">
        <f>IF('Données projet'!$A$88&gt;35,BD75+BC76-BL75,IF(A76&lt;'Données projet'!$A$88,$BA$205^A76,IF(A76='Données projet'!$A$88,'Données projet'!$B$88,BD75+BC76-BL75)))</f>
        <v>336.90000000000026</v>
      </c>
      <c r="BE76" s="14">
        <f>BD76*VLOOKUP('Données projet'!$B$11,Paramètres!$A$1:$I$89,3,0)*VLOOKUP('Données projet'!$B$11,Paramètres!$A$1:$I$89,5,0)</f>
        <v>192.70680000000013</v>
      </c>
      <c r="BF76" s="14">
        <f t="shared" si="91"/>
        <v>48.137894326591152</v>
      </c>
      <c r="BG76" s="22">
        <f t="shared" si="61"/>
        <v>419.4711759521465</v>
      </c>
      <c r="BH76" s="62">
        <f t="shared" si="62"/>
        <v>712.80450928547975</v>
      </c>
      <c r="BI76" s="62">
        <f ca="1">AVERAGE(OFFSET($BH$3,0,0,'Données projet'!$E$11+1,1))-AVERAGE(OFFSET($H$3,0,0,'Données projet'!$E$11+1,1))</f>
        <v>258.09881752732008</v>
      </c>
      <c r="BJ76" s="62">
        <f t="shared" si="92"/>
        <v>214.72899476643335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1.8996332881957632</v>
      </c>
      <c r="BR76" s="23">
        <f>EXP(-LN(2)/2)*BR75+(1-EXP(-LN(2)/2))/(LN(2)/2)*BL76*BO76*VLOOKUP('Données projet'!$B$11,Paramètres!$A$1:$I$89,3,0)*0.475*44/12</f>
        <v>1.4677133886806738E-6</v>
      </c>
      <c r="BS76" s="24">
        <f t="shared" si="63"/>
        <v>1.8996347559091518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6.4</v>
      </c>
      <c r="N77" s="14">
        <f>IF('Données projet'!$A$36&gt;35,N76+M77-V76,IF(A77&lt;'Données projet'!$A$36,$K$205^A77,IF(A77='Données projet'!$A$36,'Données projet'!$B$36,N76+M77-V76)))</f>
        <v>246.60000000000011</v>
      </c>
      <c r="O77" s="14">
        <f>N77*VLOOKUP('Données projet'!$B$9,Paramètres!$A$1:$I$89,3,0)*VLOOKUP('Données projet'!$B$9,Paramètres!$A$1:$I$89,5,0)</f>
        <v>223.12368000000009</v>
      </c>
      <c r="P77" s="14">
        <f t="shared" si="87"/>
        <v>54.793244051140647</v>
      </c>
      <c r="Q77" s="22">
        <f t="shared" si="54"/>
        <v>484.03864272240349</v>
      </c>
      <c r="R77" s="62">
        <f t="shared" si="55"/>
        <v>777.37197605573681</v>
      </c>
      <c r="S77" s="62">
        <f ca="1">AVERAGE(OFFSET($R$3,0,0,'Données projet'!$E$9+1,1))-AVERAGE(OFFSET($H$3,0,0,'Données projet'!$E$9+1,1))</f>
        <v>371.75294069149942</v>
      </c>
      <c r="T77" s="62">
        <f t="shared" si="88"/>
        <v>233.32640143610547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>
        <f>AI77*VLOOKUP('Données projet'!$B$10,Paramètres!$A$1:$I$89,3,0)*VLOOKUP('Données projet'!$B$10,Paramètres!$A$1:$I$89,5,0)</f>
        <v>0</v>
      </c>
      <c r="AK77" s="14" t="e">
        <f t="shared" si="89"/>
        <v>#NUM!</v>
      </c>
      <c r="AL77" s="22" t="e">
        <f t="shared" si="58"/>
        <v>#NUM!</v>
      </c>
      <c r="AM77" s="62" t="e">
        <f t="shared" si="59"/>
        <v>#NUM!</v>
      </c>
      <c r="AN77" s="62">
        <f ca="1">AVERAGE(OFFSET($AM$3,0,0,'Données projet'!$E$10+1,1))-AVERAGE(OFFSET($H$3,0,0,'Données projet'!$E$10+1,1))</f>
        <v>405.09126081846171</v>
      </c>
      <c r="AO77" s="62">
        <f t="shared" si="90"/>
        <v>534.22295841722166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1.0066362474216781</v>
      </c>
      <c r="AV77" s="23">
        <f>EXP(-LN(2)/25)*AV76+(1-EXP(-LN(2)/25))/(LN(2)/25)*Calculateur!AQ77*Calculateur!AS77*VLOOKUP('Données projet'!$B$10,Paramètres!$A$1:$I$89,3,0)*0.475*44/12</f>
        <v>2.5737123147820435</v>
      </c>
      <c r="AW77" s="23">
        <f>EXP(-LN(2)/2)*AW76+(1-EXP(-LN(2)/2))/(LN(2)/2)*AQ77*AT77*VLOOKUP('Données projet'!$B$10,Paramètres!$A$1:$I$89,3,0)*0.475*44/12</f>
        <v>8.8205400593616025E-8</v>
      </c>
      <c r="AX77" s="23">
        <f t="shared" si="60"/>
        <v>3.5803486504091224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8.3000000000000007</v>
      </c>
      <c r="BD77" s="13">
        <f>IF('Données projet'!$A$88&gt;35,BD76+BC77-BL76,IF(A77&lt;'Données projet'!$A$88,$BA$205^A77,IF(A77='Données projet'!$A$88,'Données projet'!$B$88,BD76+BC77-BL76)))</f>
        <v>345.20000000000027</v>
      </c>
      <c r="BE77" s="14">
        <f>BD77*VLOOKUP('Données projet'!$B$11,Paramètres!$A$1:$I$89,3,0)*VLOOKUP('Données projet'!$B$11,Paramètres!$A$1:$I$89,5,0)</f>
        <v>197.45440000000016</v>
      </c>
      <c r="BF77" s="14">
        <f t="shared" si="91"/>
        <v>49.184305496332875</v>
      </c>
      <c r="BG77" s="22">
        <f t="shared" si="61"/>
        <v>429.56241207278003</v>
      </c>
      <c r="BH77" s="62">
        <f t="shared" si="62"/>
        <v>722.89574540611329</v>
      </c>
      <c r="BI77" s="62">
        <f ca="1">AVERAGE(OFFSET($BH$3,0,0,'Données projet'!$E$11+1,1))-AVERAGE(OFFSET($H$3,0,0,'Données projet'!$E$11+1,1))</f>
        <v>258.09881752732008</v>
      </c>
      <c r="BJ77" s="62">
        <f t="shared" si="92"/>
        <v>214.72899476643335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1.847687716032677</v>
      </c>
      <c r="BR77" s="23">
        <f>EXP(-LN(2)/2)*BR76+(1-EXP(-LN(2)/2))/(LN(2)/2)*BL77*BO77*VLOOKUP('Données projet'!$B$11,Paramètres!$A$1:$I$89,3,0)*0.475*44/12</f>
        <v>1.0378300899743914E-6</v>
      </c>
      <c r="BS77" s="24">
        <f t="shared" si="63"/>
        <v>1.8476887538627669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253</v>
      </c>
      <c r="L78" s="13">
        <f>VLOOKUP(A78,'Données projet'!$A$35:$I$55,9,0)</f>
        <v>6.4</v>
      </c>
      <c r="M78" s="13">
        <f t="array" ref="M78">INDEX(L:L,MIN(IF(ISNUMBER(L78:L274),ROW(L78:L274),"")))</f>
        <v>6.4</v>
      </c>
      <c r="N78" s="14">
        <f>IF('Données projet'!$A$36&gt;35,N77+M78-V77,IF(A78&lt;'Données projet'!$A$36,$K$205^A78,IF(A78='Données projet'!$A$36,'Données projet'!$B$36,N77+M78-V77)))</f>
        <v>253.00000000000011</v>
      </c>
      <c r="O78" s="14">
        <f>N78*VLOOKUP('Données projet'!$B$9,Paramètres!$A$1:$I$89,3,0)*VLOOKUP('Données projet'!$B$9,Paramètres!$A$1:$I$89,5,0)</f>
        <v>228.91440000000011</v>
      </c>
      <c r="P78" s="14">
        <f t="shared" si="87"/>
        <v>56.047884834417474</v>
      </c>
      <c r="Q78" s="22">
        <f t="shared" si="54"/>
        <v>496.30931275327725</v>
      </c>
      <c r="R78" s="62">
        <f t="shared" si="55"/>
        <v>789.64264608661051</v>
      </c>
      <c r="S78" s="62">
        <f ca="1">AVERAGE(OFFSET($R$3,0,0,'Données projet'!$E$9+1,1))-AVERAGE(OFFSET($H$3,0,0,'Données projet'!$E$9+1,1))</f>
        <v>371.75294069149942</v>
      </c>
      <c r="T78" s="62">
        <f t="shared" si="88"/>
        <v>233.32640143610547</v>
      </c>
      <c r="U78" s="16">
        <f>IF(ISNA(VLOOKUP(A78,'Données projet'!$A$35:$I$55,3,0)),0,VLOOKUP(A78,'Données projet'!$A$35:$I$55,3,0))</f>
        <v>11</v>
      </c>
      <c r="V78" s="16">
        <f>IF(ISNA(VLOOKUP(A78,'Données projet'!$A$35:$I$55,4,0)),0,VLOOKUP(A78,'Données projet'!$A$35:$I$55,4,0))</f>
        <v>21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>
        <f>AI78*VLOOKUP('Données projet'!$B$10,Paramètres!$A$1:$I$89,3,0)*VLOOKUP('Données projet'!$B$10,Paramètres!$A$1:$I$89,5,0)</f>
        <v>0</v>
      </c>
      <c r="AK78" s="14" t="e">
        <f t="shared" si="89"/>
        <v>#NUM!</v>
      </c>
      <c r="AL78" s="22" t="e">
        <f t="shared" si="58"/>
        <v>#NUM!</v>
      </c>
      <c r="AM78" s="62" t="e">
        <f t="shared" si="59"/>
        <v>#NUM!</v>
      </c>
      <c r="AN78" s="62">
        <f ca="1">AVERAGE(OFFSET($AM$3,0,0,'Données projet'!$E$10+1,1))-AVERAGE(OFFSET($H$3,0,0,'Données projet'!$E$10+1,1))</f>
        <v>405.09126081846171</v>
      </c>
      <c r="AO78" s="62">
        <f t="shared" si="90"/>
        <v>534.22295841722166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0.98689672459722366</v>
      </c>
      <c r="AV78" s="23">
        <f>EXP(-LN(2)/25)*AV77+(1-EXP(-LN(2)/25))/(LN(2)/25)*Calculateur!AQ78*Calculateur!AS78*VLOOKUP('Données projet'!$B$10,Paramètres!$A$1:$I$89,3,0)*0.475*44/12</f>
        <v>2.5033340161886803</v>
      </c>
      <c r="AW78" s="23">
        <f>EXP(-LN(2)/2)*AW77+(1-EXP(-LN(2)/2))/(LN(2)/2)*AQ78*AT78*VLOOKUP('Données projet'!$B$10,Paramètres!$A$1:$I$89,3,0)*0.475*44/12</f>
        <v>6.2370636897021814E-8</v>
      </c>
      <c r="AX78" s="23">
        <f t="shared" si="60"/>
        <v>3.4902308031565412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8.3000000000000007</v>
      </c>
      <c r="BD78" s="13">
        <f>IF('Données projet'!$A$88&gt;35,BD77+BC78-BL77,IF(A78&lt;'Données projet'!$A$88,$BA$205^A78,IF(A78='Données projet'!$A$88,'Données projet'!$B$88,BD77+BC78-BL77)))</f>
        <v>353.50000000000028</v>
      </c>
      <c r="BE78" s="14">
        <f>BD78*VLOOKUP('Données projet'!$B$11,Paramètres!$A$1:$I$89,3,0)*VLOOKUP('Données projet'!$B$11,Paramètres!$A$1:$I$89,5,0)</f>
        <v>202.20200000000017</v>
      </c>
      <c r="BF78" s="14">
        <f t="shared" si="91"/>
        <v>50.227791845116791</v>
      </c>
      <c r="BG78" s="22">
        <f t="shared" si="61"/>
        <v>439.64855413024537</v>
      </c>
      <c r="BH78" s="62">
        <f t="shared" si="62"/>
        <v>732.98188746357869</v>
      </c>
      <c r="BI78" s="62">
        <f ca="1">AVERAGE(OFFSET($BH$3,0,0,'Données projet'!$E$11+1,1))-AVERAGE(OFFSET($H$3,0,0,'Données projet'!$E$11+1,1))</f>
        <v>258.09881752732008</v>
      </c>
      <c r="BJ78" s="62">
        <f t="shared" si="92"/>
        <v>214.72899476643335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1.7971625982720894</v>
      </c>
      <c r="BR78" s="23">
        <f>EXP(-LN(2)/2)*BR77+(1-EXP(-LN(2)/2))/(LN(2)/2)*BL78*BO78*VLOOKUP('Données projet'!$B$11,Paramètres!$A$1:$I$89,3,0)*0.475*44/12</f>
        <v>7.3385669434033689E-7</v>
      </c>
      <c r="BS78" s="24">
        <f t="shared" si="63"/>
        <v>1.7971633321287837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6</v>
      </c>
      <c r="N79" s="14">
        <f>IF('Données projet'!$A$36&gt;35,N78+M79-V78,IF(A79&lt;'Données projet'!$A$36,$K$205^A79,IF(A79='Données projet'!$A$36,'Données projet'!$B$36,N78+M79-V78)))</f>
        <v>238.00000000000011</v>
      </c>
      <c r="O79" s="14">
        <f>N79*VLOOKUP('Données projet'!$B$9,Paramètres!$A$1:$I$89,3,0)*VLOOKUP('Données projet'!$B$9,Paramètres!$A$1:$I$89,5,0)</f>
        <v>215.34240000000008</v>
      </c>
      <c r="P79" s="14">
        <f t="shared" si="87"/>
        <v>53.101322124397257</v>
      </c>
      <c r="Q79" s="22">
        <f t="shared" si="54"/>
        <v>467.53948269999205</v>
      </c>
      <c r="R79" s="62">
        <f t="shared" si="55"/>
        <v>760.87281603332531</v>
      </c>
      <c r="S79" s="62">
        <f ca="1">AVERAGE(OFFSET($R$3,0,0,'Données projet'!$E$9+1,1))-AVERAGE(OFFSET($H$3,0,0,'Données projet'!$E$9+1,1))</f>
        <v>371.75294069149942</v>
      </c>
      <c r="T79" s="62">
        <f t="shared" si="88"/>
        <v>233.32640143610547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>
        <f>AI79*VLOOKUP('Données projet'!$B$10,Paramètres!$A$1:$I$89,3,0)*VLOOKUP('Données projet'!$B$10,Paramètres!$A$1:$I$89,5,0)</f>
        <v>0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405.09126081846171</v>
      </c>
      <c r="AO79" s="62">
        <f t="shared" si="90"/>
        <v>534.22295841722166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0.96754428177543672</v>
      </c>
      <c r="AV79" s="23">
        <f>EXP(-LN(2)/25)*AV78+(1-EXP(-LN(2)/25))/(LN(2)/25)*Calculateur!AQ79*Calculateur!AS79*VLOOKUP('Données projet'!$B$10,Paramètres!$A$1:$I$89,3,0)*0.475*44/12</f>
        <v>2.4348802158713863</v>
      </c>
      <c r="AW79" s="23">
        <f>EXP(-LN(2)/2)*AW78+(1-EXP(-LN(2)/2))/(LN(2)/2)*AQ79*AT79*VLOOKUP('Données projet'!$B$10,Paramètres!$A$1:$I$89,3,0)*0.475*44/12</f>
        <v>4.4102700296808013E-8</v>
      </c>
      <c r="AX79" s="23">
        <f t="shared" si="60"/>
        <v>3.4024245417495234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8.3000000000000007</v>
      </c>
      <c r="BD79" s="13">
        <f>IF('Données projet'!$A$88&gt;35,BD78+BC79-BL78,IF(A79&lt;'Données projet'!$A$88,$BA$205^A79,IF(A79='Données projet'!$A$88,'Données projet'!$B$88,BD78+BC79-BL78)))</f>
        <v>361.8000000000003</v>
      </c>
      <c r="BE79" s="14">
        <f>BD79*VLOOKUP('Données projet'!$B$11,Paramètres!$A$1:$I$89,3,0)*VLOOKUP('Données projet'!$B$11,Paramètres!$A$1:$I$89,5,0)</f>
        <v>206.94960000000017</v>
      </c>
      <c r="BF79" s="14">
        <f t="shared" si="91"/>
        <v>51.268429949375587</v>
      </c>
      <c r="BG79" s="22">
        <f t="shared" si="61"/>
        <v>449.72973549516274</v>
      </c>
      <c r="BH79" s="62">
        <f t="shared" si="62"/>
        <v>743.06306882849606</v>
      </c>
      <c r="BI79" s="62">
        <f ca="1">AVERAGE(OFFSET($BH$3,0,0,'Données projet'!$E$11+1,1))-AVERAGE(OFFSET($H$3,0,0,'Données projet'!$E$11+1,1))</f>
        <v>258.09881752732008</v>
      </c>
      <c r="BJ79" s="62">
        <f t="shared" si="92"/>
        <v>214.72899476643335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1.7480190925136654</v>
      </c>
      <c r="BR79" s="23">
        <f>EXP(-LN(2)/2)*BR78+(1-EXP(-LN(2)/2))/(LN(2)/2)*BL79*BO79*VLOOKUP('Données projet'!$B$11,Paramètres!$A$1:$I$89,3,0)*0.475*44/12</f>
        <v>5.1891504498719568E-7</v>
      </c>
      <c r="BS79" s="24">
        <f t="shared" si="63"/>
        <v>1.7480196114287103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6</v>
      </c>
      <c r="N80" s="14">
        <f>IF('Données projet'!$A$36&gt;35,N79+M80-V79,IF(A80&lt;'Données projet'!$A$36,$K$205^A80,IF(A80='Données projet'!$A$36,'Données projet'!$B$36,N79+M80-V79)))</f>
        <v>244.00000000000011</v>
      </c>
      <c r="O80" s="14">
        <f>N80*VLOOKUP('Données projet'!$B$9,Paramètres!$A$1:$I$89,3,0)*VLOOKUP('Données projet'!$B$9,Paramètres!$A$1:$I$89,5,0)</f>
        <v>220.77120000000011</v>
      </c>
      <c r="P80" s="14">
        <f t="shared" si="87"/>
        <v>54.28246807807983</v>
      </c>
      <c r="Q80" s="22">
        <f t="shared" si="54"/>
        <v>479.05180523598909</v>
      </c>
      <c r="R80" s="62">
        <f t="shared" si="55"/>
        <v>772.38513856932241</v>
      </c>
      <c r="S80" s="62">
        <f ca="1">AVERAGE(OFFSET($R$3,0,0,'Données projet'!$E$9+1,1))-AVERAGE(OFFSET($H$3,0,0,'Données projet'!$E$9+1,1))</f>
        <v>371.75294069149942</v>
      </c>
      <c r="T80" s="62">
        <f t="shared" si="88"/>
        <v>233.32640143610547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>
        <f>AI80*VLOOKUP('Données projet'!$B$10,Paramètres!$A$1:$I$89,3,0)*VLOOKUP('Données projet'!$B$10,Paramètres!$A$1:$I$89,5,0)</f>
        <v>0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405.09126081846171</v>
      </c>
      <c r="AO80" s="62">
        <f t="shared" si="90"/>
        <v>534.22295841722166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0.94857132855356041</v>
      </c>
      <c r="AV80" s="23">
        <f>EXP(-LN(2)/25)*AV79+(1-EXP(-LN(2)/25))/(LN(2)/25)*Calculateur!AQ80*Calculateur!AS80*VLOOKUP('Données projet'!$B$10,Paramètres!$A$1:$I$89,3,0)*0.475*44/12</f>
        <v>2.3682982883235977</v>
      </c>
      <c r="AW80" s="23">
        <f>EXP(-LN(2)/2)*AW79+(1-EXP(-LN(2)/2))/(LN(2)/2)*AQ80*AT80*VLOOKUP('Données projet'!$B$10,Paramètres!$A$1:$I$89,3,0)*0.475*44/12</f>
        <v>3.1185318448510907E-8</v>
      </c>
      <c r="AX80" s="23">
        <f t="shared" si="60"/>
        <v>3.3168696480624762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8.3000000000000007</v>
      </c>
      <c r="BD80" s="13">
        <f>IF('Données projet'!$A$88&gt;35,BD79+BC80-BL79,IF(A80&lt;'Données projet'!$A$88,$BA$205^A80,IF(A80='Données projet'!$A$88,'Données projet'!$B$88,BD79+BC80-BL79)))</f>
        <v>370.10000000000031</v>
      </c>
      <c r="BE80" s="14">
        <f>BD80*VLOOKUP('Données projet'!$B$11,Paramètres!$A$1:$I$89,3,0)*VLOOKUP('Données projet'!$B$11,Paramètres!$A$1:$I$89,5,0)</f>
        <v>211.69720000000018</v>
      </c>
      <c r="BF80" s="14">
        <f t="shared" si="91"/>
        <v>52.306292671581474</v>
      </c>
      <c r="BG80" s="22">
        <f t="shared" si="61"/>
        <v>459.80608306967133</v>
      </c>
      <c r="BH80" s="62">
        <f t="shared" si="62"/>
        <v>753.13941640300459</v>
      </c>
      <c r="BI80" s="62">
        <f ca="1">AVERAGE(OFFSET($BH$3,0,0,'Données projet'!$E$11+1,1))-AVERAGE(OFFSET($H$3,0,0,'Données projet'!$E$11+1,1))</f>
        <v>258.09881752732008</v>
      </c>
      <c r="BJ80" s="62">
        <f t="shared" si="92"/>
        <v>214.72899476643335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1.7002194185045503</v>
      </c>
      <c r="BR80" s="23">
        <f>EXP(-LN(2)/2)*BR79+(1-EXP(-LN(2)/2))/(LN(2)/2)*BL80*BO80*VLOOKUP('Données projet'!$B$11,Paramètres!$A$1:$I$89,3,0)*0.475*44/12</f>
        <v>3.6692834717016845E-7</v>
      </c>
      <c r="BS80" s="24">
        <f t="shared" si="63"/>
        <v>1.7002197854328975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6</v>
      </c>
      <c r="N81" s="14">
        <f>IF('Données projet'!$A$36&gt;35,N80+M81-V80,IF(A81&lt;'Données projet'!$A$36,$K$205^A81,IF(A81='Données projet'!$A$36,'Données projet'!$B$36,N80+M81-V80)))</f>
        <v>250.00000000000011</v>
      </c>
      <c r="O81" s="14">
        <f>N81*VLOOKUP('Données projet'!$B$9,Paramètres!$A$1:$I$89,3,0)*VLOOKUP('Données projet'!$B$9,Paramètres!$A$1:$I$89,5,0)</f>
        <v>226.2000000000001</v>
      </c>
      <c r="P81" s="14">
        <f t="shared" si="87"/>
        <v>55.460237717698156</v>
      </c>
      <c r="Q81" s="22">
        <f t="shared" si="54"/>
        <v>490.55824735832448</v>
      </c>
      <c r="R81" s="62">
        <f t="shared" si="55"/>
        <v>783.89158069165774</v>
      </c>
      <c r="S81" s="62">
        <f ca="1">AVERAGE(OFFSET($R$3,0,0,'Données projet'!$E$9+1,1))-AVERAGE(OFFSET($H$3,0,0,'Données projet'!$E$9+1,1))</f>
        <v>371.75294069149942</v>
      </c>
      <c r="T81" s="62">
        <f t="shared" si="88"/>
        <v>233.32640143610547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>
        <f>AI81*VLOOKUP('Données projet'!$B$10,Paramètres!$A$1:$I$89,3,0)*VLOOKUP('Données projet'!$B$10,Paramètres!$A$1:$I$89,5,0)</f>
        <v>0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405.09126081846171</v>
      </c>
      <c r="AO81" s="62">
        <f t="shared" si="90"/>
        <v>534.22295841722166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0.92997042337200631</v>
      </c>
      <c r="AV81" s="23">
        <f>EXP(-LN(2)/25)*AV80+(1-EXP(-LN(2)/25))/(LN(2)/25)*Calculateur!AQ81*Calculateur!AS81*VLOOKUP('Données projet'!$B$10,Paramètres!$A$1:$I$89,3,0)*0.475*44/12</f>
        <v>2.3035370470859946</v>
      </c>
      <c r="AW81" s="23">
        <f>EXP(-LN(2)/2)*AW80+(1-EXP(-LN(2)/2))/(LN(2)/2)*AQ81*AT81*VLOOKUP('Données projet'!$B$10,Paramètres!$A$1:$I$89,3,0)*0.475*44/12</f>
        <v>2.2051350148404006E-8</v>
      </c>
      <c r="AX81" s="23">
        <f t="shared" si="60"/>
        <v>3.233507492509351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8.3000000000000007</v>
      </c>
      <c r="BD81" s="13">
        <f>IF('Données projet'!$A$88&gt;35,BD80+BC81-BL80,IF(A81&lt;'Données projet'!$A$88,$BA$205^A81,IF(A81='Données projet'!$A$88,'Données projet'!$B$88,BD80+BC81-BL80)))</f>
        <v>378.40000000000032</v>
      </c>
      <c r="BE81" s="14">
        <f>BD81*VLOOKUP('Données projet'!$B$11,Paramètres!$A$1:$I$89,3,0)*VLOOKUP('Données projet'!$B$11,Paramètres!$A$1:$I$89,5,0)</f>
        <v>216.44480000000021</v>
      </c>
      <c r="BF81" s="14">
        <f t="shared" si="91"/>
        <v>53.341449419561577</v>
      </c>
      <c r="BG81" s="22">
        <f t="shared" si="61"/>
        <v>469.87771773907002</v>
      </c>
      <c r="BH81" s="62">
        <f t="shared" si="62"/>
        <v>763.21105107240328</v>
      </c>
      <c r="BI81" s="62">
        <f ca="1">AVERAGE(OFFSET($BH$3,0,0,'Données projet'!$E$11+1,1))-AVERAGE(OFFSET($H$3,0,0,'Données projet'!$E$11+1,1))</f>
        <v>258.09881752732008</v>
      </c>
      <c r="BJ81" s="62">
        <f t="shared" si="92"/>
        <v>214.72899476643335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1.6537268290948901</v>
      </c>
      <c r="BR81" s="23">
        <f>EXP(-LN(2)/2)*BR80+(1-EXP(-LN(2)/2))/(LN(2)/2)*BL81*BO81*VLOOKUP('Données projet'!$B$11,Paramètres!$A$1:$I$89,3,0)*0.475*44/12</f>
        <v>2.5945752249359784E-7</v>
      </c>
      <c r="BS81" s="24">
        <f t="shared" si="63"/>
        <v>1.6537270885524127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6</v>
      </c>
      <c r="N82" s="14">
        <f>IF('Données projet'!$A$36&gt;35,N81+M82-V81,IF(A82&lt;'Données projet'!$A$36,$K$205^A82,IF(A82='Données projet'!$A$36,'Données projet'!$B$36,N81+M82-V81)))</f>
        <v>256.00000000000011</v>
      </c>
      <c r="O82" s="14">
        <f>N82*VLOOKUP('Données projet'!$B$9,Paramètres!$A$1:$I$89,3,0)*VLOOKUP('Données projet'!$B$9,Paramètres!$A$1:$I$89,5,0)</f>
        <v>231.62880000000007</v>
      </c>
      <c r="P82" s="14">
        <f t="shared" si="87"/>
        <v>56.63472139815827</v>
      </c>
      <c r="Q82" s="22">
        <f t="shared" si="54"/>
        <v>502.05896643512574</v>
      </c>
      <c r="R82" s="62">
        <f t="shared" si="55"/>
        <v>795.392299768459</v>
      </c>
      <c r="S82" s="62">
        <f ca="1">AVERAGE(OFFSET($R$3,0,0,'Données projet'!$E$9+1,1))-AVERAGE(OFFSET($H$3,0,0,'Données projet'!$E$9+1,1))</f>
        <v>371.75294069149942</v>
      </c>
      <c r="T82" s="62">
        <f t="shared" si="88"/>
        <v>233.32640143610547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>
        <f>AI82*VLOOKUP('Données projet'!$B$10,Paramètres!$A$1:$I$89,3,0)*VLOOKUP('Données projet'!$B$10,Paramètres!$A$1:$I$89,5,0)</f>
        <v>0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405.09126081846171</v>
      </c>
      <c r="AO82" s="62">
        <f t="shared" si="90"/>
        <v>534.22295841722166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0.91173427059563061</v>
      </c>
      <c r="AV82" s="23">
        <f>EXP(-LN(2)/25)*AV81+(1-EXP(-LN(2)/25))/(LN(2)/25)*Calculateur!AQ82*Calculateur!AS82*VLOOKUP('Données projet'!$B$10,Paramètres!$A$1:$I$89,3,0)*0.475*44/12</f>
        <v>2.2405467053956798</v>
      </c>
      <c r="AW82" s="23">
        <f>EXP(-LN(2)/2)*AW81+(1-EXP(-LN(2)/2))/(LN(2)/2)*AQ82*AT82*VLOOKUP('Données projet'!$B$10,Paramètres!$A$1:$I$89,3,0)*0.475*44/12</f>
        <v>1.5592659224255453E-8</v>
      </c>
      <c r="AX82" s="23">
        <f t="shared" si="60"/>
        <v>3.1522809915839693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8.3000000000000007</v>
      </c>
      <c r="BD82" s="13">
        <f>IF('Données projet'!$A$88&gt;35,BD81+BC82-BL81,IF(A82&lt;'Données projet'!$A$88,$BA$205^A82,IF(A82='Données projet'!$A$88,'Données projet'!$B$88,BD81+BC82-BL81)))</f>
        <v>386.70000000000033</v>
      </c>
      <c r="BE82" s="14">
        <f>BD82*VLOOKUP('Données projet'!$B$11,Paramètres!$A$1:$I$89,3,0)*VLOOKUP('Données projet'!$B$11,Paramètres!$A$1:$I$89,5,0)</f>
        <v>221.19240000000019</v>
      </c>
      <c r="BF82" s="14">
        <f t="shared" si="91"/>
        <v>54.373966382420612</v>
      </c>
      <c r="BG82" s="22">
        <f t="shared" si="61"/>
        <v>479.94475478271625</v>
      </c>
      <c r="BH82" s="62">
        <f t="shared" si="62"/>
        <v>773.2780881160495</v>
      </c>
      <c r="BI82" s="62">
        <f ca="1">AVERAGE(OFFSET($BH$3,0,0,'Données projet'!$E$11+1,1))-AVERAGE(OFFSET($H$3,0,0,'Données projet'!$E$11+1,1))</f>
        <v>258.09881752732008</v>
      </c>
      <c r="BJ82" s="62">
        <f t="shared" si="92"/>
        <v>214.72899476643335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1.608505581987576</v>
      </c>
      <c r="BR82" s="23">
        <f>EXP(-LN(2)/2)*BR81+(1-EXP(-LN(2)/2))/(LN(2)/2)*BL82*BO82*VLOOKUP('Données projet'!$B$11,Paramètres!$A$1:$I$89,3,0)*0.475*44/12</f>
        <v>1.8346417358508422E-7</v>
      </c>
      <c r="BS82" s="24">
        <f t="shared" si="63"/>
        <v>1.6085057654517496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262</v>
      </c>
      <c r="L83" s="13">
        <f>VLOOKUP(A83,'Données projet'!$A$35:$I$55,9,0)</f>
        <v>6</v>
      </c>
      <c r="M83" s="13">
        <f t="array" ref="M83">INDEX(L:L,MIN(IF(ISNUMBER(L83:L279),ROW(L83:L279),"")))</f>
        <v>6</v>
      </c>
      <c r="N83" s="14">
        <f>IF('Données projet'!$A$36&gt;35,N82+M83-V82,IF(A83&lt;'Données projet'!$A$36,$K$205^A83,IF(A83='Données projet'!$A$36,'Données projet'!$B$36,N82+M83-V82)))</f>
        <v>262.00000000000011</v>
      </c>
      <c r="O83" s="14">
        <f>N83*VLOOKUP('Données projet'!$B$9,Paramètres!$A$1:$I$89,3,0)*VLOOKUP('Données projet'!$B$9,Paramètres!$A$1:$I$89,5,0)</f>
        <v>237.05760000000012</v>
      </c>
      <c r="P83" s="14">
        <f t="shared" si="87"/>
        <v>57.806004997354698</v>
      </c>
      <c r="Q83" s="22">
        <f t="shared" si="54"/>
        <v>513.55411203705955</v>
      </c>
      <c r="R83" s="62">
        <f t="shared" si="55"/>
        <v>806.88744537039292</v>
      </c>
      <c r="S83" s="62">
        <f ca="1">AVERAGE(OFFSET($R$3,0,0,'Données projet'!$E$9+1,1))-AVERAGE(OFFSET($H$3,0,0,'Données projet'!$E$9+1,1))</f>
        <v>371.75294069149942</v>
      </c>
      <c r="T83" s="62">
        <f t="shared" si="88"/>
        <v>233.32640143610547</v>
      </c>
      <c r="U83" s="16">
        <f>IF(ISNA(VLOOKUP(A83,'Données projet'!$A$35:$I$55,3,0)),0,VLOOKUP(A83,'Données projet'!$A$35:$I$55,3,0))</f>
        <v>12</v>
      </c>
      <c r="V83" s="16">
        <f>IF(ISNA(VLOOKUP(A83,'Données projet'!$A$35:$I$55,4,0)),0,VLOOKUP(A83,'Données projet'!$A$35:$I$55,4,0))</f>
        <v>21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>
        <f>AI83*VLOOKUP('Données projet'!$B$10,Paramètres!$A$1:$I$89,3,0)*VLOOKUP('Données projet'!$B$10,Paramètres!$A$1:$I$89,5,0)</f>
        <v>0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405.09126081846171</v>
      </c>
      <c r="AO83" s="62">
        <f t="shared" si="90"/>
        <v>534.22295841722166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0.8938557176522447</v>
      </c>
      <c r="AV83" s="23">
        <f>EXP(-LN(2)/25)*AV82+(1-EXP(-LN(2)/25))/(LN(2)/25)*Calculateur!AQ83*Calculateur!AS83*VLOOKUP('Données projet'!$B$10,Paramètres!$A$1:$I$89,3,0)*0.475*44/12</f>
        <v>2.1792788379114048</v>
      </c>
      <c r="AW83" s="23">
        <f>EXP(-LN(2)/2)*AW82+(1-EXP(-LN(2)/2))/(LN(2)/2)*AQ83*AT83*VLOOKUP('Données projet'!$B$10,Paramètres!$A$1:$I$89,3,0)*0.475*44/12</f>
        <v>1.1025675074202003E-8</v>
      </c>
      <c r="AX83" s="23">
        <f t="shared" si="60"/>
        <v>3.0731345665893244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395</v>
      </c>
      <c r="BB83" s="13">
        <f>VLOOKUP(A83,'Données projet'!$A$87:$I$107,9,0)</f>
        <v>8.3000000000000007</v>
      </c>
      <c r="BC83" s="13">
        <f t="array" ref="BC83">INDEX(BB:BB,MIN(IF(ISNUMBER(BB83:BB279),ROW(BB83:BB279),"")))</f>
        <v>8.3000000000000007</v>
      </c>
      <c r="BD83" s="13">
        <f>IF('Données projet'!$A$88&gt;35,BD82+BC83-BL82,IF(A83&lt;'Données projet'!$A$88,$BA$205^A83,IF(A83='Données projet'!$A$88,'Données projet'!$B$88,BD82+BC83-BL82)))</f>
        <v>395.00000000000034</v>
      </c>
      <c r="BE83" s="14">
        <f>BD83*VLOOKUP('Données projet'!$B$11,Paramètres!$A$1:$I$89,3,0)*VLOOKUP('Données projet'!$B$11,Paramètres!$A$1:$I$89,5,0)</f>
        <v>225.9400000000002</v>
      </c>
      <c r="BF83" s="14">
        <f t="shared" si="91"/>
        <v>55.403906745636547</v>
      </c>
      <c r="BG83" s="22">
        <f t="shared" si="61"/>
        <v>490.0073042486506</v>
      </c>
      <c r="BH83" s="62">
        <f t="shared" si="62"/>
        <v>783.34063758198386</v>
      </c>
      <c r="BI83" s="62">
        <f ca="1">AVERAGE(OFFSET($BH$3,0,0,'Données projet'!$E$11+1,1))-AVERAGE(OFFSET($H$3,0,0,'Données projet'!$E$11+1,1))</f>
        <v>258.09881752732008</v>
      </c>
      <c r="BJ83" s="62">
        <f t="shared" si="92"/>
        <v>214.72899476643335</v>
      </c>
      <c r="BK83" s="16">
        <f>IF(ISNA(VLOOKUP(A83,'Données projet'!$A$87:$I$107,3,0)),0,VLOOKUP(A83,'Données projet'!$A$87:$I$107,3,0))</f>
        <v>8</v>
      </c>
      <c r="BL83" s="23">
        <f>IF(ISNA(VLOOKUP(A83,'Données projet'!$A$87:$I$107,4,0)),0,VLOOKUP(A83,'Données projet'!$A$87:$I$107,4,0))</f>
        <v>395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1.5645209122604935</v>
      </c>
      <c r="BR83" s="23">
        <f>EXP(-LN(2)/2)*BR82+(1-EXP(-LN(2)/2))/(LN(2)/2)*BL83*BO83*VLOOKUP('Données projet'!$B$11,Paramètres!$A$1:$I$89,3,0)*0.475*44/12</f>
        <v>1.2972876124679892E-7</v>
      </c>
      <c r="BS83" s="24">
        <f t="shared" si="63"/>
        <v>1.5645210419892548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5.6</v>
      </c>
      <c r="N84" s="14">
        <f>IF('Données projet'!$A$36&gt;35,N83+M84-V83,IF(A84&lt;'Données projet'!$A$36,$K$205^A84,IF(A84='Données projet'!$A$36,'Données projet'!$B$36,N83+M84-V83)))</f>
        <v>246.60000000000014</v>
      </c>
      <c r="O84" s="14">
        <f>N84*VLOOKUP('Données projet'!$B$9,Paramètres!$A$1:$I$89,3,0)*VLOOKUP('Données projet'!$B$9,Paramètres!$A$1:$I$89,5,0)</f>
        <v>223.12368000000012</v>
      </c>
      <c r="P84" s="14">
        <f t="shared" si="87"/>
        <v>54.793244051140647</v>
      </c>
      <c r="Q84" s="22">
        <f t="shared" si="54"/>
        <v>484.03864272240349</v>
      </c>
      <c r="R84" s="62">
        <f t="shared" si="55"/>
        <v>777.37197605573681</v>
      </c>
      <c r="S84" s="62">
        <f ca="1">AVERAGE(OFFSET($R$3,0,0,'Données projet'!$E$9+1,1))-AVERAGE(OFFSET($H$3,0,0,'Données projet'!$E$9+1,1))</f>
        <v>371.75294069149942</v>
      </c>
      <c r="T84" s="62">
        <f t="shared" si="88"/>
        <v>233.32640143610547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>
        <f>AI84*VLOOKUP('Données projet'!$B$10,Paramètres!$A$1:$I$89,3,0)*VLOOKUP('Données projet'!$B$10,Paramètres!$A$1:$I$89,5,0)</f>
        <v>0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405.09126081846171</v>
      </c>
      <c r="AO84" s="62">
        <f t="shared" si="90"/>
        <v>534.22295841722166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0.87632775222723813</v>
      </c>
      <c r="AV84" s="23">
        <f>EXP(-LN(2)/25)*AV83+(1-EXP(-LN(2)/25))/(LN(2)/25)*Calculateur!AQ84*Calculateur!AS84*VLOOKUP('Données projet'!$B$10,Paramètres!$A$1:$I$89,3,0)*0.475*44/12</f>
        <v>2.1196863434854243</v>
      </c>
      <c r="AW84" s="23">
        <f>EXP(-LN(2)/2)*AW83+(1-EXP(-LN(2)/2))/(LN(2)/2)*AQ84*AT84*VLOOKUP('Données projet'!$B$10,Paramètres!$A$1:$I$89,3,0)*0.475*44/12</f>
        <v>7.7963296121277267E-9</v>
      </c>
      <c r="AX84" s="23">
        <f t="shared" si="60"/>
        <v>2.9960141035089922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3.4106051316484809E-13</v>
      </c>
      <c r="BE84" s="14">
        <f>BD84*VLOOKUP('Données projet'!$B$11,Paramètres!$A$1:$I$89,3,0)*VLOOKUP('Données projet'!$B$11,Paramètres!$A$1:$I$89,5,0)</f>
        <v>1.9508661353029313E-13</v>
      </c>
      <c r="BF84" s="14">
        <f t="shared" si="91"/>
        <v>2.711421636700695E-12</v>
      </c>
      <c r="BG84" s="22">
        <f t="shared" si="61"/>
        <v>5.0621685358189711E-12</v>
      </c>
      <c r="BH84" s="62">
        <f t="shared" si="62"/>
        <v>293.33333333333837</v>
      </c>
      <c r="BI84" s="62">
        <f ca="1">AVERAGE(OFFSET($BH$3,0,0,'Données projet'!$E$11+1,1))-AVERAGE(OFFSET($H$3,0,0,'Données projet'!$E$11+1,1))</f>
        <v>258.09881752732008</v>
      </c>
      <c r="BJ84" s="62">
        <f t="shared" si="92"/>
        <v>214.72899476643335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1.5217390056401512</v>
      </c>
      <c r="BR84" s="23">
        <f>EXP(-LN(2)/2)*BR83+(1-EXP(-LN(2)/2))/(LN(2)/2)*BL84*BO84*VLOOKUP('Données projet'!$B$11,Paramètres!$A$1:$I$89,3,0)*0.475*44/12</f>
        <v>9.1732086792542111E-8</v>
      </c>
      <c r="BS84" s="24">
        <f t="shared" si="63"/>
        <v>1.521739097372238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5.6</v>
      </c>
      <c r="N85" s="14">
        <f>IF('Données projet'!$A$36&gt;35,N84+M85-V84,IF(A85&lt;'Données projet'!$A$36,$K$205^A85,IF(A85='Données projet'!$A$36,'Données projet'!$B$36,N84+M85-V84)))</f>
        <v>252.20000000000013</v>
      </c>
      <c r="O85" s="14">
        <f>N85*VLOOKUP('Données projet'!$B$9,Paramètres!$A$1:$I$89,3,0)*VLOOKUP('Données projet'!$B$9,Paramètres!$A$1:$I$89,5,0)</f>
        <v>228.19056000000012</v>
      </c>
      <c r="P85" s="14">
        <f t="shared" si="87"/>
        <v>55.891258634424609</v>
      </c>
      <c r="Q85" s="22">
        <f t="shared" si="54"/>
        <v>494.77583412162312</v>
      </c>
      <c r="R85" s="62">
        <f t="shared" si="55"/>
        <v>788.10916745495638</v>
      </c>
      <c r="S85" s="62">
        <f ca="1">AVERAGE(OFFSET($R$3,0,0,'Données projet'!$E$9+1,1))-AVERAGE(OFFSET($H$3,0,0,'Données projet'!$E$9+1,1))</f>
        <v>371.75294069149942</v>
      </c>
      <c r="T85" s="62">
        <f t="shared" si="88"/>
        <v>233.32640143610547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>
        <f>AI85*VLOOKUP('Données projet'!$B$10,Paramètres!$A$1:$I$89,3,0)*VLOOKUP('Données projet'!$B$10,Paramètres!$A$1:$I$89,5,0)</f>
        <v>0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405.09126081846171</v>
      </c>
      <c r="AO85" s="62">
        <f t="shared" si="90"/>
        <v>534.22295841722166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0.85914349951321267</v>
      </c>
      <c r="AV85" s="23">
        <f>EXP(-LN(2)/25)*AV84+(1-EXP(-LN(2)/25))/(LN(2)/25)*Calculateur!AQ85*Calculateur!AS85*VLOOKUP('Données projet'!$B$10,Paramètres!$A$1:$I$89,3,0)*0.475*44/12</f>
        <v>2.0617234089533554</v>
      </c>
      <c r="AW85" s="23">
        <f>EXP(-LN(2)/2)*AW84+(1-EXP(-LN(2)/2))/(LN(2)/2)*AQ85*AT85*VLOOKUP('Données projet'!$B$10,Paramètres!$A$1:$I$89,3,0)*0.475*44/12</f>
        <v>5.5128375371010016E-9</v>
      </c>
      <c r="AX85" s="23">
        <f t="shared" si="60"/>
        <v>2.9208669139794057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3.4106051316484809E-13</v>
      </c>
      <c r="BE85" s="14">
        <f>BD85*VLOOKUP('Données projet'!$B$11,Paramètres!$A$1:$I$89,3,0)*VLOOKUP('Données projet'!$B$11,Paramètres!$A$1:$I$89,5,0)</f>
        <v>1.9508661353029313E-13</v>
      </c>
      <c r="BF85" s="14">
        <f t="shared" si="91"/>
        <v>2.711421636700695E-12</v>
      </c>
      <c r="BG85" s="22">
        <f t="shared" si="61"/>
        <v>5.0621685358189711E-12</v>
      </c>
      <c r="BH85" s="62">
        <f t="shared" si="62"/>
        <v>293.33333333333837</v>
      </c>
      <c r="BI85" s="62">
        <f ca="1">AVERAGE(OFFSET($BH$3,0,0,'Données projet'!$E$11+1,1))-AVERAGE(OFFSET($H$3,0,0,'Données projet'!$E$11+1,1))</f>
        <v>258.09881752732008</v>
      </c>
      <c r="BJ85" s="62">
        <f t="shared" si="92"/>
        <v>214.72899476643335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1.480126972506145</v>
      </c>
      <c r="BR85" s="23">
        <f>EXP(-LN(2)/2)*BR84+(1-EXP(-LN(2)/2))/(LN(2)/2)*BL85*BO85*VLOOKUP('Données projet'!$B$11,Paramètres!$A$1:$I$89,3,0)*0.475*44/12</f>
        <v>6.486438062339946E-8</v>
      </c>
      <c r="BS85" s="24">
        <f t="shared" si="63"/>
        <v>1.4801270373705255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5.6</v>
      </c>
      <c r="N86" s="14">
        <f>IF('Données projet'!$A$36&gt;35,N85+M86-V85,IF(A86&lt;'Données projet'!$A$36,$K$205^A86,IF(A86='Données projet'!$A$36,'Données projet'!$B$36,N85+M86-V85)))</f>
        <v>257.80000000000013</v>
      </c>
      <c r="O86" s="14">
        <f>N86*VLOOKUP('Données projet'!$B$9,Paramètres!$A$1:$I$89,3,0)*VLOOKUP('Données projet'!$B$9,Paramètres!$A$1:$I$89,5,0)</f>
        <v>233.25744000000009</v>
      </c>
      <c r="P86" s="14">
        <f t="shared" si="87"/>
        <v>56.9864386904733</v>
      </c>
      <c r="Q86" s="22">
        <f t="shared" si="54"/>
        <v>505.50808871924113</v>
      </c>
      <c r="R86" s="62">
        <f t="shared" si="55"/>
        <v>798.84142205257444</v>
      </c>
      <c r="S86" s="62">
        <f ca="1">AVERAGE(OFFSET($R$3,0,0,'Données projet'!$E$9+1,1))-AVERAGE(OFFSET($H$3,0,0,'Données projet'!$E$9+1,1))</f>
        <v>371.75294069149942</v>
      </c>
      <c r="T86" s="62">
        <f t="shared" si="88"/>
        <v>233.32640143610547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>
        <f>AI86*VLOOKUP('Données projet'!$B$10,Paramètres!$A$1:$I$89,3,0)*VLOOKUP('Données projet'!$B$10,Paramètres!$A$1:$I$89,5,0)</f>
        <v>0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405.09126081846171</v>
      </c>
      <c r="AO86" s="62">
        <f t="shared" si="90"/>
        <v>534.22295841722166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0.84229621951355005</v>
      </c>
      <c r="AV86" s="23">
        <f>EXP(-LN(2)/25)*AV85+(1-EXP(-LN(2)/25))/(LN(2)/25)*Calculateur!AQ86*Calculateur!AS86*VLOOKUP('Données projet'!$B$10,Paramètres!$A$1:$I$89,3,0)*0.475*44/12</f>
        <v>2.005345473914204</v>
      </c>
      <c r="AW86" s="23">
        <f>EXP(-LN(2)/2)*AW85+(1-EXP(-LN(2)/2))/(LN(2)/2)*AQ86*AT86*VLOOKUP('Données projet'!$B$10,Paramètres!$A$1:$I$89,3,0)*0.475*44/12</f>
        <v>3.8981648060638634E-9</v>
      </c>
      <c r="AX86" s="23">
        <f t="shared" si="60"/>
        <v>2.8476416973259191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3.4106051316484809E-13</v>
      </c>
      <c r="BE86" s="14">
        <f>BD86*VLOOKUP('Données projet'!$B$11,Paramètres!$A$1:$I$89,3,0)*VLOOKUP('Données projet'!$B$11,Paramètres!$A$1:$I$89,5,0)</f>
        <v>1.9508661353029313E-13</v>
      </c>
      <c r="BF86" s="14">
        <f t="shared" si="91"/>
        <v>2.711421636700695E-12</v>
      </c>
      <c r="BG86" s="22">
        <f t="shared" si="61"/>
        <v>5.0621685358189711E-12</v>
      </c>
      <c r="BH86" s="62">
        <f t="shared" si="62"/>
        <v>293.33333333333837</v>
      </c>
      <c r="BI86" s="62">
        <f ca="1">AVERAGE(OFFSET($BH$3,0,0,'Données projet'!$E$11+1,1))-AVERAGE(OFFSET($H$3,0,0,'Données projet'!$E$11+1,1))</f>
        <v>258.09881752732008</v>
      </c>
      <c r="BJ86" s="62">
        <f t="shared" si="92"/>
        <v>214.72899476643335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1.4396528226064698</v>
      </c>
      <c r="BR86" s="23">
        <f>EXP(-LN(2)/2)*BR85+(1-EXP(-LN(2)/2))/(LN(2)/2)*BL86*BO86*VLOOKUP('Données projet'!$B$11,Paramètres!$A$1:$I$89,3,0)*0.475*44/12</f>
        <v>4.5866043396271056E-8</v>
      </c>
      <c r="BS86" s="24">
        <f t="shared" si="63"/>
        <v>1.4396528684725132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5.6</v>
      </c>
      <c r="N87" s="14">
        <f>IF('Données projet'!$A$36&gt;35,N86+M87-V86,IF(A87&lt;'Données projet'!$A$36,$K$205^A87,IF(A87='Données projet'!$A$36,'Données projet'!$B$36,N86+M87-V86)))</f>
        <v>263.40000000000015</v>
      </c>
      <c r="O87" s="14">
        <f>N87*VLOOKUP('Données projet'!$B$9,Paramètres!$A$1:$I$89,3,0)*VLOOKUP('Données projet'!$B$9,Paramètres!$A$1:$I$89,5,0)</f>
        <v>238.32432000000011</v>
      </c>
      <c r="P87" s="14">
        <f t="shared" si="87"/>
        <v>58.078852882738808</v>
      </c>
      <c r="Q87" s="22">
        <f t="shared" si="54"/>
        <v>516.23552610410366</v>
      </c>
      <c r="R87" s="62">
        <f t="shared" si="55"/>
        <v>809.56885943743691</v>
      </c>
      <c r="S87" s="62">
        <f ca="1">AVERAGE(OFFSET($R$3,0,0,'Données projet'!$E$9+1,1))-AVERAGE(OFFSET($H$3,0,0,'Données projet'!$E$9+1,1))</f>
        <v>371.75294069149942</v>
      </c>
      <c r="T87" s="62">
        <f t="shared" si="88"/>
        <v>233.32640143610547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>
        <f>AI87*VLOOKUP('Données projet'!$B$10,Paramètres!$A$1:$I$89,3,0)*VLOOKUP('Données projet'!$B$10,Paramètres!$A$1:$I$89,5,0)</f>
        <v>0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405.09126081846171</v>
      </c>
      <c r="AO87" s="62">
        <f t="shared" si="90"/>
        <v>534.22295841722166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0.82577930439885461</v>
      </c>
      <c r="AV87" s="23">
        <f>EXP(-LN(2)/25)*AV86+(1-EXP(-LN(2)/25))/(LN(2)/25)*Calculateur!AQ87*Calculateur!AS87*VLOOKUP('Données projet'!$B$10,Paramètres!$A$1:$I$89,3,0)*0.475*44/12</f>
        <v>1.9505091964734849</v>
      </c>
      <c r="AW87" s="23">
        <f>EXP(-LN(2)/2)*AW86+(1-EXP(-LN(2)/2))/(LN(2)/2)*AQ87*AT87*VLOOKUP('Données projet'!$B$10,Paramètres!$A$1:$I$89,3,0)*0.475*44/12</f>
        <v>2.7564187685505008E-9</v>
      </c>
      <c r="AX87" s="23">
        <f t="shared" si="60"/>
        <v>2.7762885036287579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3.4106051316484809E-13</v>
      </c>
      <c r="BE87" s="14">
        <f>BD87*VLOOKUP('Données projet'!$B$11,Paramètres!$A$1:$I$89,3,0)*VLOOKUP('Données projet'!$B$11,Paramètres!$A$1:$I$89,5,0)</f>
        <v>1.9508661353029313E-13</v>
      </c>
      <c r="BF87" s="14">
        <f t="shared" si="91"/>
        <v>2.711421636700695E-12</v>
      </c>
      <c r="BG87" s="22">
        <f t="shared" si="61"/>
        <v>5.0621685358189711E-12</v>
      </c>
      <c r="BH87" s="62">
        <f t="shared" si="62"/>
        <v>293.33333333333837</v>
      </c>
      <c r="BI87" s="62">
        <f ca="1">AVERAGE(OFFSET($BH$3,0,0,'Données projet'!$E$11+1,1))-AVERAGE(OFFSET($H$3,0,0,'Données projet'!$E$11+1,1))</f>
        <v>258.09881752732008</v>
      </c>
      <c r="BJ87" s="62">
        <f t="shared" si="92"/>
        <v>214.72899476643335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1.4002854404642442</v>
      </c>
      <c r="BR87" s="23">
        <f>EXP(-LN(2)/2)*BR86+(1-EXP(-LN(2)/2))/(LN(2)/2)*BL87*BO87*VLOOKUP('Données projet'!$B$11,Paramètres!$A$1:$I$89,3,0)*0.475*44/12</f>
        <v>3.243219031169973E-8</v>
      </c>
      <c r="BS87" s="24">
        <f t="shared" si="63"/>
        <v>1.4002854728964345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269</v>
      </c>
      <c r="L88" s="13">
        <f>VLOOKUP(A88,'Données projet'!$A$35:$I$55,9,0)</f>
        <v>5.6</v>
      </c>
      <c r="M88" s="13">
        <f t="array" ref="M88">INDEX(L:L,MIN(IF(ISNUMBER(L88:L284),ROW(L88:L284),"")))</f>
        <v>5.6</v>
      </c>
      <c r="N88" s="14">
        <f>IF('Données projet'!$A$36&gt;35,N87+M88-V87,IF(A88&lt;'Données projet'!$A$36,$K$205^A88,IF(A88='Données projet'!$A$36,'Données projet'!$B$36,N87+M88-V87)))</f>
        <v>269.00000000000017</v>
      </c>
      <c r="O88" s="14">
        <f>N88*VLOOKUP('Données projet'!$B$9,Paramètres!$A$1:$I$89,3,0)*VLOOKUP('Données projet'!$B$9,Paramètres!$A$1:$I$89,5,0)</f>
        <v>243.39120000000017</v>
      </c>
      <c r="P88" s="14">
        <f t="shared" si="87"/>
        <v>59.168566788241577</v>
      </c>
      <c r="Q88" s="22">
        <f t="shared" si="54"/>
        <v>526.95826048952097</v>
      </c>
      <c r="R88" s="62">
        <f t="shared" si="55"/>
        <v>820.29159382285434</v>
      </c>
      <c r="S88" s="62">
        <f ca="1">AVERAGE(OFFSET($R$3,0,0,'Données projet'!$E$9+1,1))-AVERAGE(OFFSET($H$3,0,0,'Données projet'!$E$9+1,1))</f>
        <v>371.75294069149942</v>
      </c>
      <c r="T88" s="62">
        <f t="shared" si="88"/>
        <v>233.32640143610547</v>
      </c>
      <c r="U88" s="16">
        <f>IF(ISNA(VLOOKUP(A88,'Données projet'!$A$35:$I$55,3,0)),0,VLOOKUP(A88,'Données projet'!$A$35:$I$55,3,0))</f>
        <v>13</v>
      </c>
      <c r="V88" s="16">
        <f>IF(ISNA(VLOOKUP(A88,'Données projet'!$A$35:$I$55,4,0)),0,VLOOKUP(A88,'Données projet'!$A$35:$I$55,4,0))</f>
        <v>21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>
        <f>AI88*VLOOKUP('Données projet'!$B$10,Paramètres!$A$1:$I$89,3,0)*VLOOKUP('Données projet'!$B$10,Paramètres!$A$1:$I$89,5,0)</f>
        <v>0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405.09126081846171</v>
      </c>
      <c r="AO88" s="62">
        <f t="shared" si="90"/>
        <v>534.22295841722166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0.80958627591523491</v>
      </c>
      <c r="AV88" s="23">
        <f>EXP(-LN(2)/25)*AV87+(1-EXP(-LN(2)/25))/(LN(2)/25)*Calculateur!AQ88*Calculateur!AS88*VLOOKUP('Données projet'!$B$10,Paramètres!$A$1:$I$89,3,0)*0.475*44/12</f>
        <v>1.8971724199230968</v>
      </c>
      <c r="AW88" s="23">
        <f>EXP(-LN(2)/2)*AW87+(1-EXP(-LN(2)/2))/(LN(2)/2)*AQ88*AT88*VLOOKUP('Données projet'!$B$10,Paramètres!$A$1:$I$89,3,0)*0.475*44/12</f>
        <v>1.9490824030319317E-9</v>
      </c>
      <c r="AX88" s="23">
        <f t="shared" si="60"/>
        <v>2.7067586977874138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3.4106051316484809E-13</v>
      </c>
      <c r="BE88" s="14">
        <f>BD88*VLOOKUP('Données projet'!$B$11,Paramètres!$A$1:$I$89,3,0)*VLOOKUP('Données projet'!$B$11,Paramètres!$A$1:$I$89,5,0)</f>
        <v>1.9508661353029313E-13</v>
      </c>
      <c r="BF88" s="14">
        <f t="shared" si="91"/>
        <v>2.711421636700695E-12</v>
      </c>
      <c r="BG88" s="22">
        <f t="shared" si="61"/>
        <v>5.0621685358189711E-12</v>
      </c>
      <c r="BH88" s="62">
        <f t="shared" si="62"/>
        <v>293.33333333333837</v>
      </c>
      <c r="BI88" s="62">
        <f ca="1">AVERAGE(OFFSET($BH$3,0,0,'Données projet'!$E$11+1,1))-AVERAGE(OFFSET($H$3,0,0,'Données projet'!$E$11+1,1))</f>
        <v>258.09881752732008</v>
      </c>
      <c r="BJ88" s="62">
        <f t="shared" si="92"/>
        <v>214.72899476643335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1.3619945614569384</v>
      </c>
      <c r="BR88" s="23">
        <f>EXP(-LN(2)/2)*BR87+(1-EXP(-LN(2)/2))/(LN(2)/2)*BL88*BO88*VLOOKUP('Données projet'!$B$11,Paramètres!$A$1:$I$89,3,0)*0.475*44/12</f>
        <v>2.2933021698135528E-8</v>
      </c>
      <c r="BS88" s="24">
        <f t="shared" si="63"/>
        <v>1.3619945843899601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5.4</v>
      </c>
      <c r="N89" s="14">
        <f>IF('Données projet'!$A$36&gt;35,N88+M89-V88,IF(A89&lt;'Données projet'!$A$36,$K$205^A89,IF(A89='Données projet'!$A$36,'Données projet'!$B$36,N88+M89-V88)))</f>
        <v>253.40000000000015</v>
      </c>
      <c r="O89" s="14">
        <f>N89*VLOOKUP('Données projet'!$B$9,Paramètres!$A$1:$I$89,3,0)*VLOOKUP('Données projet'!$B$9,Paramètres!$A$1:$I$89,5,0)</f>
        <v>229.27632000000011</v>
      </c>
      <c r="P89" s="14">
        <f t="shared" si="87"/>
        <v>56.126176307517476</v>
      </c>
      <c r="Q89" s="22">
        <f t="shared" si="54"/>
        <v>497.07601440225977</v>
      </c>
      <c r="R89" s="62">
        <f t="shared" si="55"/>
        <v>790.40934773559309</v>
      </c>
      <c r="S89" s="62">
        <f ca="1">AVERAGE(OFFSET($R$3,0,0,'Données projet'!$E$9+1,1))-AVERAGE(OFFSET($H$3,0,0,'Données projet'!$E$9+1,1))</f>
        <v>371.75294069149942</v>
      </c>
      <c r="T89" s="62">
        <f t="shared" si="88"/>
        <v>233.32640143610547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>
        <f>AI89*VLOOKUP('Données projet'!$B$10,Paramètres!$A$1:$I$89,3,0)*VLOOKUP('Données projet'!$B$10,Paramètres!$A$1:$I$89,5,0)</f>
        <v>0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405.09126081846171</v>
      </c>
      <c r="AO89" s="62">
        <f t="shared" si="90"/>
        <v>534.22295841722166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0.7937107828434069</v>
      </c>
      <c r="AV89" s="23">
        <f>EXP(-LN(2)/25)*AV88+(1-EXP(-LN(2)/25))/(LN(2)/25)*Calculateur!AQ89*Calculateur!AS89*VLOOKUP('Données projet'!$B$10,Paramètres!$A$1:$I$89,3,0)*0.475*44/12</f>
        <v>1.8452941403323382</v>
      </c>
      <c r="AW89" s="23">
        <f>EXP(-LN(2)/2)*AW88+(1-EXP(-LN(2)/2))/(LN(2)/2)*AQ89*AT89*VLOOKUP('Données projet'!$B$10,Paramètres!$A$1:$I$89,3,0)*0.475*44/12</f>
        <v>1.3782093842752504E-9</v>
      </c>
      <c r="AX89" s="23">
        <f t="shared" si="60"/>
        <v>2.6390049245539546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3.4106051316484809E-13</v>
      </c>
      <c r="BE89" s="14">
        <f>BD89*VLOOKUP('Données projet'!$B$11,Paramètres!$A$1:$I$89,3,0)*VLOOKUP('Données projet'!$B$11,Paramètres!$A$1:$I$89,5,0)</f>
        <v>1.9508661353029313E-13</v>
      </c>
      <c r="BF89" s="14">
        <f t="shared" si="91"/>
        <v>2.711421636700695E-12</v>
      </c>
      <c r="BG89" s="22">
        <f t="shared" si="61"/>
        <v>5.0621685358189711E-12</v>
      </c>
      <c r="BH89" s="62">
        <f t="shared" si="62"/>
        <v>293.33333333333837</v>
      </c>
      <c r="BI89" s="62">
        <f ca="1">AVERAGE(OFFSET($BH$3,0,0,'Données projet'!$E$11+1,1))-AVERAGE(OFFSET($H$3,0,0,'Données projet'!$E$11+1,1))</f>
        <v>258.09881752732008</v>
      </c>
      <c r="BJ89" s="62">
        <f t="shared" si="92"/>
        <v>214.72899476643335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1.3247507485497174</v>
      </c>
      <c r="BR89" s="23">
        <f>EXP(-LN(2)/2)*BR88+(1-EXP(-LN(2)/2))/(LN(2)/2)*BL89*BO89*VLOOKUP('Données projet'!$B$11,Paramètres!$A$1:$I$89,3,0)*0.475*44/12</f>
        <v>1.6216095155849865E-8</v>
      </c>
      <c r="BS89" s="24">
        <f t="shared" si="63"/>
        <v>1.3247507647658125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5.4</v>
      </c>
      <c r="N90" s="14">
        <f>IF('Données projet'!$A$36&gt;35,N89+M90-V89,IF(A90&lt;'Données projet'!$A$36,$K$205^A90,IF(A90='Données projet'!$A$36,'Données projet'!$B$36,N89+M90-V89)))</f>
        <v>258.80000000000013</v>
      </c>
      <c r="O90" s="14">
        <f>N90*VLOOKUP('Données projet'!$B$9,Paramètres!$A$1:$I$89,3,0)*VLOOKUP('Données projet'!$B$9,Paramètres!$A$1:$I$89,5,0)</f>
        <v>234.16224000000011</v>
      </c>
      <c r="P90" s="14">
        <f t="shared" si="87"/>
        <v>57.181713578143096</v>
      </c>
      <c r="Q90" s="22">
        <f t="shared" si="54"/>
        <v>507.42405248193273</v>
      </c>
      <c r="R90" s="62">
        <f t="shared" si="55"/>
        <v>800.75738581526605</v>
      </c>
      <c r="S90" s="62">
        <f ca="1">AVERAGE(OFFSET($R$3,0,0,'Données projet'!$E$9+1,1))-AVERAGE(OFFSET($H$3,0,0,'Données projet'!$E$9+1,1))</f>
        <v>371.75294069149942</v>
      </c>
      <c r="T90" s="62">
        <f t="shared" si="88"/>
        <v>233.32640143610547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>
        <f>AI90*VLOOKUP('Données projet'!$B$10,Paramètres!$A$1:$I$89,3,0)*VLOOKUP('Données projet'!$B$10,Paramètres!$A$1:$I$89,5,0)</f>
        <v>0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405.09126081846171</v>
      </c>
      <c r="AO90" s="62">
        <f t="shared" si="90"/>
        <v>534.22295841722166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0.7781465985076228</v>
      </c>
      <c r="AV90" s="23">
        <f>EXP(-LN(2)/25)*AV89+(1-EXP(-LN(2)/25))/(LN(2)/25)*Calculateur!AQ90*Calculateur!AS90*VLOOKUP('Données projet'!$B$10,Paramètres!$A$1:$I$89,3,0)*0.475*44/12</f>
        <v>1.794834475025149</v>
      </c>
      <c r="AW90" s="23">
        <f>EXP(-LN(2)/2)*AW89+(1-EXP(-LN(2)/2))/(LN(2)/2)*AQ90*AT90*VLOOKUP('Données projet'!$B$10,Paramètres!$A$1:$I$89,3,0)*0.475*44/12</f>
        <v>9.7454120151596584E-10</v>
      </c>
      <c r="AX90" s="23">
        <f t="shared" si="60"/>
        <v>2.5729810745073132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3.4106051316484809E-13</v>
      </c>
      <c r="BE90" s="14">
        <f>BD90*VLOOKUP('Données projet'!$B$11,Paramètres!$A$1:$I$89,3,0)*VLOOKUP('Données projet'!$B$11,Paramètres!$A$1:$I$89,5,0)</f>
        <v>1.9508661353029313E-13</v>
      </c>
      <c r="BF90" s="14">
        <f t="shared" si="91"/>
        <v>2.711421636700695E-12</v>
      </c>
      <c r="BG90" s="22">
        <f t="shared" si="61"/>
        <v>5.0621685358189711E-12</v>
      </c>
      <c r="BH90" s="62">
        <f t="shared" si="62"/>
        <v>293.33333333333837</v>
      </c>
      <c r="BI90" s="62">
        <f ca="1">AVERAGE(OFFSET($BH$3,0,0,'Données projet'!$E$11+1,1))-AVERAGE(OFFSET($H$3,0,0,'Données projet'!$E$11+1,1))</f>
        <v>258.09881752732008</v>
      </c>
      <c r="BJ90" s="62">
        <f t="shared" si="92"/>
        <v>214.72899476643335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1.2885253696650112</v>
      </c>
      <c r="BR90" s="23">
        <f>EXP(-LN(2)/2)*BR89+(1-EXP(-LN(2)/2))/(LN(2)/2)*BL90*BO90*VLOOKUP('Données projet'!$B$11,Paramètres!$A$1:$I$89,3,0)*0.475*44/12</f>
        <v>1.1466510849067764E-8</v>
      </c>
      <c r="BS90" s="24">
        <f t="shared" si="63"/>
        <v>1.288525381131522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5.4</v>
      </c>
      <c r="N91" s="14">
        <f>IF('Données projet'!$A$36&gt;35,N90+M91-V90,IF(A91&lt;'Données projet'!$A$36,$K$205^A91,IF(A91='Données projet'!$A$36,'Données projet'!$B$36,N90+M91-V90)))</f>
        <v>264.2000000000001</v>
      </c>
      <c r="O91" s="14">
        <f>N91*VLOOKUP('Données projet'!$B$9,Paramètres!$A$1:$I$89,3,0)*VLOOKUP('Données projet'!$B$9,Paramètres!$A$1:$I$89,5,0)</f>
        <v>239.04816000000008</v>
      </c>
      <c r="P91" s="14">
        <f t="shared" si="87"/>
        <v>58.234690128947342</v>
      </c>
      <c r="Q91" s="22">
        <f t="shared" si="54"/>
        <v>517.76763064125009</v>
      </c>
      <c r="R91" s="62">
        <f t="shared" si="55"/>
        <v>811.10096397458346</v>
      </c>
      <c r="S91" s="62">
        <f ca="1">AVERAGE(OFFSET($R$3,0,0,'Données projet'!$E$9+1,1))-AVERAGE(OFFSET($H$3,0,0,'Données projet'!$E$9+1,1))</f>
        <v>371.75294069149942</v>
      </c>
      <c r="T91" s="62">
        <f t="shared" si="88"/>
        <v>233.32640143610547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>
        <f>AI91*VLOOKUP('Données projet'!$B$10,Paramètres!$A$1:$I$89,3,0)*VLOOKUP('Données projet'!$B$10,Paramètres!$A$1:$I$89,5,0)</f>
        <v>0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405.09126081846171</v>
      </c>
      <c r="AO91" s="62">
        <f t="shared" si="90"/>
        <v>534.22295841722166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0.76288761833344831</v>
      </c>
      <c r="AV91" s="23">
        <f>EXP(-LN(2)/25)*AV90+(1-EXP(-LN(2)/25))/(LN(2)/25)*Calculateur!AQ91*Calculateur!AS91*VLOOKUP('Données projet'!$B$10,Paramètres!$A$1:$I$89,3,0)*0.475*44/12</f>
        <v>1.7457546319193435</v>
      </c>
      <c r="AW91" s="23">
        <f>EXP(-LN(2)/2)*AW90+(1-EXP(-LN(2)/2))/(LN(2)/2)*AQ91*AT91*VLOOKUP('Données projet'!$B$10,Paramètres!$A$1:$I$89,3,0)*0.475*44/12</f>
        <v>6.891046921376252E-10</v>
      </c>
      <c r="AX91" s="23">
        <f t="shared" si="60"/>
        <v>2.5086422509418966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3.4106051316484809E-13</v>
      </c>
      <c r="BE91" s="14">
        <f>BD91*VLOOKUP('Données projet'!$B$11,Paramètres!$A$1:$I$89,3,0)*VLOOKUP('Données projet'!$B$11,Paramètres!$A$1:$I$89,5,0)</f>
        <v>1.9508661353029313E-13</v>
      </c>
      <c r="BF91" s="14">
        <f t="shared" si="91"/>
        <v>2.711421636700695E-12</v>
      </c>
      <c r="BG91" s="22">
        <f t="shared" si="61"/>
        <v>5.0621685358189711E-12</v>
      </c>
      <c r="BH91" s="62">
        <f t="shared" si="62"/>
        <v>293.33333333333837</v>
      </c>
      <c r="BI91" s="62">
        <f ca="1">AVERAGE(OFFSET($BH$3,0,0,'Données projet'!$E$11+1,1))-AVERAGE(OFFSET($H$3,0,0,'Données projet'!$E$11+1,1))</f>
        <v>258.09881752732008</v>
      </c>
      <c r="BJ91" s="62">
        <f t="shared" si="92"/>
        <v>214.72899476643335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1.2532905756709172</v>
      </c>
      <c r="BR91" s="23">
        <f>EXP(-LN(2)/2)*BR90+(1-EXP(-LN(2)/2))/(LN(2)/2)*BL91*BO91*VLOOKUP('Données projet'!$B$11,Paramètres!$A$1:$I$89,3,0)*0.475*44/12</f>
        <v>8.1080475779249326E-9</v>
      </c>
      <c r="BS91" s="24">
        <f t="shared" si="63"/>
        <v>1.2532905837789647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5.4</v>
      </c>
      <c r="N92" s="14">
        <f>IF('Données projet'!$A$36&gt;35,N91+M92-V91,IF(A92&lt;'Données projet'!$A$36,$K$205^A92,IF(A92='Données projet'!$A$36,'Données projet'!$B$36,N91+M92-V91)))</f>
        <v>269.60000000000008</v>
      </c>
      <c r="O92" s="14">
        <f>N92*VLOOKUP('Données projet'!$B$9,Paramètres!$A$1:$I$89,3,0)*VLOOKUP('Données projet'!$B$9,Paramètres!$A$1:$I$89,5,0)</f>
        <v>243.93408000000005</v>
      </c>
      <c r="P92" s="14">
        <f t="shared" si="87"/>
        <v>59.28516432961765</v>
      </c>
      <c r="Q92" s="22">
        <f t="shared" si="54"/>
        <v>528.10685054075077</v>
      </c>
      <c r="R92" s="62">
        <f t="shared" si="55"/>
        <v>821.44018387408414</v>
      </c>
      <c r="S92" s="62">
        <f ca="1">AVERAGE(OFFSET($R$3,0,0,'Données projet'!$E$9+1,1))-AVERAGE(OFFSET($H$3,0,0,'Données projet'!$E$9+1,1))</f>
        <v>371.75294069149942</v>
      </c>
      <c r="T92" s="62">
        <f t="shared" si="88"/>
        <v>233.32640143610547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>
        <f>AI92*VLOOKUP('Données projet'!$B$10,Paramètres!$A$1:$I$89,3,0)*VLOOKUP('Données projet'!$B$10,Paramètres!$A$1:$I$89,5,0)</f>
        <v>0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405.09126081846171</v>
      </c>
      <c r="AO92" s="62">
        <f t="shared" si="90"/>
        <v>534.22295841722166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0.74792785745343049</v>
      </c>
      <c r="AV92" s="23">
        <f>EXP(-LN(2)/25)*AV91+(1-EXP(-LN(2)/25))/(LN(2)/25)*Calculateur!AQ92*Calculateur!AS92*VLOOKUP('Données projet'!$B$10,Paramètres!$A$1:$I$89,3,0)*0.475*44/12</f>
        <v>1.698016879704263</v>
      </c>
      <c r="AW92" s="23">
        <f>EXP(-LN(2)/2)*AW91+(1-EXP(-LN(2)/2))/(LN(2)/2)*AQ92*AT92*VLOOKUP('Données projet'!$B$10,Paramètres!$A$1:$I$89,3,0)*0.475*44/12</f>
        <v>4.8727060075798292E-10</v>
      </c>
      <c r="AX92" s="23">
        <f t="shared" si="60"/>
        <v>2.4459447376449641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3.4106051316484809E-13</v>
      </c>
      <c r="BE92" s="14">
        <f>BD92*VLOOKUP('Données projet'!$B$11,Paramètres!$A$1:$I$89,3,0)*VLOOKUP('Données projet'!$B$11,Paramètres!$A$1:$I$89,5,0)</f>
        <v>1.9508661353029313E-13</v>
      </c>
      <c r="BF92" s="14">
        <f t="shared" si="91"/>
        <v>2.711421636700695E-12</v>
      </c>
      <c r="BG92" s="22">
        <f t="shared" si="61"/>
        <v>5.0621685358189711E-12</v>
      </c>
      <c r="BH92" s="62">
        <f t="shared" si="62"/>
        <v>293.33333333333837</v>
      </c>
      <c r="BI92" s="62">
        <f ca="1">AVERAGE(OFFSET($BH$3,0,0,'Données projet'!$E$11+1,1))-AVERAGE(OFFSET($H$3,0,0,'Données projet'!$E$11+1,1))</f>
        <v>258.09881752732008</v>
      </c>
      <c r="BJ92" s="62">
        <f t="shared" si="92"/>
        <v>214.72899476643335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1.2190192789715091</v>
      </c>
      <c r="BR92" s="23">
        <f>EXP(-LN(2)/2)*BR91+(1-EXP(-LN(2)/2))/(LN(2)/2)*BL92*BO92*VLOOKUP('Données projet'!$B$11,Paramètres!$A$1:$I$89,3,0)*0.475*44/12</f>
        <v>5.733255424533882E-9</v>
      </c>
      <c r="BS92" s="24">
        <f t="shared" si="63"/>
        <v>1.2190192847047645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275</v>
      </c>
      <c r="L93" s="13">
        <f>VLOOKUP(A93,'Données projet'!$A$35:$I$55,9,0)</f>
        <v>5.4</v>
      </c>
      <c r="M93" s="13">
        <f t="array" ref="M93">INDEX(L:L,MIN(IF(ISNUMBER(L93:L289),ROW(L93:L289),"")))</f>
        <v>5.4</v>
      </c>
      <c r="N93" s="14">
        <f>IF('Données projet'!$A$36&gt;35,N92+M93-V92,IF(A93&lt;'Données projet'!$A$36,$K$205^A93,IF(A93='Données projet'!$A$36,'Données projet'!$B$36,N92+M93-V92)))</f>
        <v>275.00000000000006</v>
      </c>
      <c r="O93" s="14">
        <f>N93*VLOOKUP('Données projet'!$B$9,Paramètres!$A$1:$I$89,3,0)*VLOOKUP('Données projet'!$B$9,Paramètres!$A$1:$I$89,5,0)</f>
        <v>248.82000000000005</v>
      </c>
      <c r="P93" s="14">
        <f t="shared" si="87"/>
        <v>60.333192077890068</v>
      </c>
      <c r="Q93" s="22">
        <f t="shared" si="54"/>
        <v>538.44180953565865</v>
      </c>
      <c r="R93" s="62">
        <f t="shared" si="55"/>
        <v>831.77514286899191</v>
      </c>
      <c r="S93" s="62">
        <f ca="1">AVERAGE(OFFSET($R$3,0,0,'Données projet'!$E$9+1,1))-AVERAGE(OFFSET($H$3,0,0,'Données projet'!$E$9+1,1))</f>
        <v>371.75294069149942</v>
      </c>
      <c r="T93" s="62">
        <f t="shared" si="88"/>
        <v>233.32640143610547</v>
      </c>
      <c r="U93" s="16">
        <f>IF(ISNA(VLOOKUP(A93,'Données projet'!$A$35:$I$55,3,0)),0,VLOOKUP(A93,'Données projet'!$A$35:$I$55,3,0))</f>
        <v>14</v>
      </c>
      <c r="V93" s="16">
        <f>IF(ISNA(VLOOKUP(A93,'Données projet'!$A$35:$I$55,4,0)),0,VLOOKUP(A93,'Données projet'!$A$35:$I$55,4,0))</f>
        <v>21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>
        <f>AI93*VLOOKUP('Données projet'!$B$10,Paramètres!$A$1:$I$89,3,0)*VLOOKUP('Données projet'!$B$10,Paramètres!$A$1:$I$89,5,0)</f>
        <v>0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405.09126081846171</v>
      </c>
      <c r="AO93" s="62">
        <f t="shared" si="90"/>
        <v>534.22295841722166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0.73326144835971663</v>
      </c>
      <c r="AV93" s="23">
        <f>EXP(-LN(2)/25)*AV92+(1-EXP(-LN(2)/25))/(LN(2)/25)*Calculateur!AQ93*Calculateur!AS93*VLOOKUP('Données projet'!$B$10,Paramètres!$A$1:$I$89,3,0)*0.475*44/12</f>
        <v>1.6515845188339231</v>
      </c>
      <c r="AW93" s="23">
        <f>EXP(-LN(2)/2)*AW92+(1-EXP(-LN(2)/2))/(LN(2)/2)*AQ93*AT93*VLOOKUP('Données projet'!$B$10,Paramètres!$A$1:$I$89,3,0)*0.475*44/12</f>
        <v>3.445523460688126E-10</v>
      </c>
      <c r="AX93" s="23">
        <f t="shared" si="60"/>
        <v>2.3848459675381921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3.4106051316484809E-13</v>
      </c>
      <c r="BE93" s="14">
        <f>BD93*VLOOKUP('Données projet'!$B$11,Paramètres!$A$1:$I$89,3,0)*VLOOKUP('Données projet'!$B$11,Paramètres!$A$1:$I$89,5,0)</f>
        <v>1.9508661353029313E-13</v>
      </c>
      <c r="BF93" s="14">
        <f t="shared" si="91"/>
        <v>2.711421636700695E-12</v>
      </c>
      <c r="BG93" s="22">
        <f t="shared" si="61"/>
        <v>5.0621685358189711E-12</v>
      </c>
      <c r="BH93" s="62">
        <f t="shared" si="62"/>
        <v>293.33333333333837</v>
      </c>
      <c r="BI93" s="62">
        <f ca="1">AVERAGE(OFFSET($BH$3,0,0,'Données projet'!$E$11+1,1))-AVERAGE(OFFSET($H$3,0,0,'Données projet'!$E$11+1,1))</f>
        <v>258.09881752732008</v>
      </c>
      <c r="BJ93" s="62">
        <f t="shared" si="92"/>
        <v>214.72899476643335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1.1856851326825955</v>
      </c>
      <c r="BR93" s="23">
        <f>EXP(-LN(2)/2)*BR92+(1-EXP(-LN(2)/2))/(LN(2)/2)*BL93*BO93*VLOOKUP('Données projet'!$B$11,Paramètres!$A$1:$I$89,3,0)*0.475*44/12</f>
        <v>4.0540237889624663E-9</v>
      </c>
      <c r="BS93" s="24">
        <f t="shared" si="63"/>
        <v>1.1856851367366192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5</v>
      </c>
      <c r="N94" s="14">
        <f>IF('Données projet'!$A$36&gt;35,N93+M94-V93,IF(A94&lt;'Données projet'!$A$36,$K$205^A94,IF(A94='Données projet'!$A$36,'Données projet'!$B$36,N93+M94-V93)))</f>
        <v>259.00000000000006</v>
      </c>
      <c r="O94" s="14">
        <f>N94*VLOOKUP('Données projet'!$B$9,Paramètres!$A$1:$I$89,3,0)*VLOOKUP('Données projet'!$B$9,Paramètres!$A$1:$I$89,5,0)</f>
        <v>234.34320000000005</v>
      </c>
      <c r="P94" s="14">
        <f t="shared" si="87"/>
        <v>57.220758006491664</v>
      </c>
      <c r="Q94" s="22">
        <f t="shared" si="54"/>
        <v>507.80722686130639</v>
      </c>
      <c r="R94" s="62">
        <f t="shared" si="55"/>
        <v>801.14056019463965</v>
      </c>
      <c r="S94" s="62">
        <f ca="1">AVERAGE(OFFSET($R$3,0,0,'Données projet'!$E$9+1,1))-AVERAGE(OFFSET($H$3,0,0,'Données projet'!$E$9+1,1))</f>
        <v>371.75294069149942</v>
      </c>
      <c r="T94" s="62">
        <f t="shared" si="88"/>
        <v>233.32640143610547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>
        <f>AI94*VLOOKUP('Données projet'!$B$10,Paramètres!$A$1:$I$89,3,0)*VLOOKUP('Données projet'!$B$10,Paramètres!$A$1:$I$89,5,0)</f>
        <v>0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405.09126081846171</v>
      </c>
      <c r="AO94" s="62">
        <f t="shared" si="90"/>
        <v>534.22295841722166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0.71888263860270429</v>
      </c>
      <c r="AV94" s="23">
        <f>EXP(-LN(2)/25)*AV93+(1-EXP(-LN(2)/25))/(LN(2)/25)*Calculateur!AQ94*Calculateur!AS94*VLOOKUP('Données projet'!$B$10,Paramètres!$A$1:$I$89,3,0)*0.475*44/12</f>
        <v>1.6064218533133543</v>
      </c>
      <c r="AW94" s="23">
        <f>EXP(-LN(2)/2)*AW93+(1-EXP(-LN(2)/2))/(LN(2)/2)*AQ94*AT94*VLOOKUP('Données projet'!$B$10,Paramètres!$A$1:$I$89,3,0)*0.475*44/12</f>
        <v>2.4363530037899146E-10</v>
      </c>
      <c r="AX94" s="23">
        <f t="shared" si="60"/>
        <v>2.3253044921596939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3.4106051316484809E-13</v>
      </c>
      <c r="BE94" s="14">
        <f>BD94*VLOOKUP('Données projet'!$B$11,Paramètres!$A$1:$I$89,3,0)*VLOOKUP('Données projet'!$B$11,Paramètres!$A$1:$I$89,5,0)</f>
        <v>1.9508661353029313E-13</v>
      </c>
      <c r="BF94" s="14">
        <f t="shared" si="91"/>
        <v>2.711421636700695E-12</v>
      </c>
      <c r="BG94" s="22">
        <f t="shared" si="61"/>
        <v>5.0621685358189711E-12</v>
      </c>
      <c r="BH94" s="62">
        <f t="shared" si="62"/>
        <v>293.33333333333837</v>
      </c>
      <c r="BI94" s="62">
        <f ca="1">AVERAGE(OFFSET($BH$3,0,0,'Données projet'!$E$11+1,1))-AVERAGE(OFFSET($H$3,0,0,'Données projet'!$E$11+1,1))</f>
        <v>258.09881752732008</v>
      </c>
      <c r="BJ94" s="62">
        <f t="shared" si="92"/>
        <v>214.72899476643335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1.1532625103769187</v>
      </c>
      <c r="BR94" s="23">
        <f>EXP(-LN(2)/2)*BR93+(1-EXP(-LN(2)/2))/(LN(2)/2)*BL94*BO94*VLOOKUP('Données projet'!$B$11,Paramètres!$A$1:$I$89,3,0)*0.475*44/12</f>
        <v>2.866627712266941E-9</v>
      </c>
      <c r="BS94" s="24">
        <f t="shared" si="63"/>
        <v>1.1532625132435463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5</v>
      </c>
      <c r="N95" s="14">
        <f>IF('Données projet'!$A$36&gt;35,N94+M95-V94,IF(A95&lt;'Données projet'!$A$36,$K$205^A95,IF(A95='Données projet'!$A$36,'Données projet'!$B$36,N94+M95-V94)))</f>
        <v>264.00000000000006</v>
      </c>
      <c r="O95" s="14">
        <f>N95*VLOOKUP('Données projet'!$B$9,Paramètres!$A$1:$I$89,3,0)*VLOOKUP('Données projet'!$B$9,Paramètres!$A$1:$I$89,5,0)</f>
        <v>238.86720000000005</v>
      </c>
      <c r="P95" s="14">
        <f t="shared" si="87"/>
        <v>58.195735973104156</v>
      </c>
      <c r="Q95" s="22">
        <f t="shared" si="54"/>
        <v>517.3846134864898</v>
      </c>
      <c r="R95" s="62">
        <f t="shared" si="55"/>
        <v>810.71794681982306</v>
      </c>
      <c r="S95" s="62">
        <f ca="1">AVERAGE(OFFSET($R$3,0,0,'Données projet'!$E$9+1,1))-AVERAGE(OFFSET($H$3,0,0,'Données projet'!$E$9+1,1))</f>
        <v>371.75294069149942</v>
      </c>
      <c r="T95" s="62">
        <f t="shared" si="88"/>
        <v>233.32640143610547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>
        <f>AI95*VLOOKUP('Données projet'!$B$10,Paramètres!$A$1:$I$89,3,0)*VLOOKUP('Données projet'!$B$10,Paramètres!$A$1:$I$89,5,0)</f>
        <v>0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405.09126081846171</v>
      </c>
      <c r="AO95" s="62">
        <f t="shared" si="90"/>
        <v>534.22295841722166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0.70478578853481899</v>
      </c>
      <c r="AV95" s="23">
        <f>EXP(-LN(2)/25)*AV94+(1-EXP(-LN(2)/25))/(LN(2)/25)*Calculateur!AQ95*Calculateur!AS95*VLOOKUP('Données projet'!$B$10,Paramètres!$A$1:$I$89,3,0)*0.475*44/12</f>
        <v>1.5624941632564469</v>
      </c>
      <c r="AW95" s="23">
        <f>EXP(-LN(2)/2)*AW94+(1-EXP(-LN(2)/2))/(LN(2)/2)*AQ95*AT95*VLOOKUP('Données projet'!$B$10,Paramètres!$A$1:$I$89,3,0)*0.475*44/12</f>
        <v>1.722761730344063E-10</v>
      </c>
      <c r="AX95" s="23">
        <f t="shared" si="60"/>
        <v>2.2672799519635416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3.4106051316484809E-13</v>
      </c>
      <c r="BE95" s="14">
        <f>BD95*VLOOKUP('Données projet'!$B$11,Paramètres!$A$1:$I$89,3,0)*VLOOKUP('Données projet'!$B$11,Paramètres!$A$1:$I$89,5,0)</f>
        <v>1.9508661353029313E-13</v>
      </c>
      <c r="BF95" s="14">
        <f t="shared" si="91"/>
        <v>2.711421636700695E-12</v>
      </c>
      <c r="BG95" s="22">
        <f t="shared" si="61"/>
        <v>5.0621685358189711E-12</v>
      </c>
      <c r="BH95" s="62">
        <f t="shared" si="62"/>
        <v>293.33333333333837</v>
      </c>
      <c r="BI95" s="62">
        <f ca="1">AVERAGE(OFFSET($BH$3,0,0,'Données projet'!$E$11+1,1))-AVERAGE(OFFSET($H$3,0,0,'Données projet'!$E$11+1,1))</f>
        <v>258.09881752732008</v>
      </c>
      <c r="BJ95" s="62">
        <f t="shared" si="92"/>
        <v>214.72899476643335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1.1217264863832224</v>
      </c>
      <c r="BR95" s="23">
        <f>EXP(-LN(2)/2)*BR94+(1-EXP(-LN(2)/2))/(LN(2)/2)*BL95*BO95*VLOOKUP('Données projet'!$B$11,Paramètres!$A$1:$I$89,3,0)*0.475*44/12</f>
        <v>2.0270118944812331E-9</v>
      </c>
      <c r="BS95" s="24">
        <f t="shared" si="63"/>
        <v>1.1217264884102343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5</v>
      </c>
      <c r="N96" s="14">
        <f>IF('Données projet'!$A$36&gt;35,N95+M96-V95,IF(A96&lt;'Données projet'!$A$36,$K$205^A96,IF(A96='Données projet'!$A$36,'Données projet'!$B$36,N95+M96-V95)))</f>
        <v>269.00000000000006</v>
      </c>
      <c r="O96" s="14">
        <f>N96*VLOOKUP('Données projet'!$B$9,Paramètres!$A$1:$I$89,3,0)*VLOOKUP('Données projet'!$B$9,Paramètres!$A$1:$I$89,5,0)</f>
        <v>243.39120000000003</v>
      </c>
      <c r="P96" s="14">
        <f t="shared" si="87"/>
        <v>59.168566788241527</v>
      </c>
      <c r="Q96" s="22">
        <f t="shared" si="54"/>
        <v>526.95826048952074</v>
      </c>
      <c r="R96" s="62">
        <f t="shared" si="55"/>
        <v>820.29159382285411</v>
      </c>
      <c r="S96" s="62">
        <f ca="1">AVERAGE(OFFSET($R$3,0,0,'Données projet'!$E$9+1,1))-AVERAGE(OFFSET($H$3,0,0,'Données projet'!$E$9+1,1))</f>
        <v>371.75294069149942</v>
      </c>
      <c r="T96" s="62">
        <f t="shared" si="88"/>
        <v>233.32640143610547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>
        <f>AI96*VLOOKUP('Données projet'!$B$10,Paramètres!$A$1:$I$89,3,0)*VLOOKUP('Données projet'!$B$10,Paramètres!$A$1:$I$89,5,0)</f>
        <v>0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405.09126081846171</v>
      </c>
      <c r="AO96" s="62">
        <f t="shared" si="90"/>
        <v>534.22295841722166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0.69096536909853534</v>
      </c>
      <c r="AV96" s="23">
        <f>EXP(-LN(2)/25)*AV95+(1-EXP(-LN(2)/25))/(LN(2)/25)*Calculateur!AQ96*Calculateur!AS96*VLOOKUP('Données projet'!$B$10,Paramètres!$A$1:$I$89,3,0)*0.475*44/12</f>
        <v>1.5197676781942024</v>
      </c>
      <c r="AW96" s="23">
        <f>EXP(-LN(2)/2)*AW95+(1-EXP(-LN(2)/2))/(LN(2)/2)*AQ96*AT96*VLOOKUP('Données projet'!$B$10,Paramètres!$A$1:$I$89,3,0)*0.475*44/12</f>
        <v>1.2181765018949573E-10</v>
      </c>
      <c r="AX96" s="23">
        <f t="shared" si="60"/>
        <v>2.2107330474145557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3.4106051316484809E-13</v>
      </c>
      <c r="BE96" s="14">
        <f>BD96*VLOOKUP('Données projet'!$B$11,Paramètres!$A$1:$I$89,3,0)*VLOOKUP('Données projet'!$B$11,Paramètres!$A$1:$I$89,5,0)</f>
        <v>1.9508661353029313E-13</v>
      </c>
      <c r="BF96" s="14">
        <f t="shared" si="91"/>
        <v>2.711421636700695E-12</v>
      </c>
      <c r="BG96" s="22">
        <f t="shared" si="61"/>
        <v>5.0621685358189711E-12</v>
      </c>
      <c r="BH96" s="62">
        <f t="shared" si="62"/>
        <v>293.33333333333837</v>
      </c>
      <c r="BI96" s="62">
        <f ca="1">AVERAGE(OFFSET($BH$3,0,0,'Données projet'!$E$11+1,1))-AVERAGE(OFFSET($H$3,0,0,'Données projet'!$E$11+1,1))</f>
        <v>258.09881752732008</v>
      </c>
      <c r="BJ96" s="62">
        <f t="shared" si="92"/>
        <v>214.72899476643335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1.091052816624041</v>
      </c>
      <c r="BR96" s="23">
        <f>EXP(-LN(2)/2)*BR95+(1-EXP(-LN(2)/2))/(LN(2)/2)*BL96*BO96*VLOOKUP('Données projet'!$B$11,Paramètres!$A$1:$I$89,3,0)*0.475*44/12</f>
        <v>1.4333138561334705E-9</v>
      </c>
      <c r="BS96" s="24">
        <f t="shared" si="63"/>
        <v>1.0910528180573549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5</v>
      </c>
      <c r="N97" s="14">
        <f>IF('Données projet'!$A$36&gt;35,N96+M97-V96,IF(A97&lt;'Données projet'!$A$36,$K$205^A97,IF(A97='Données projet'!$A$36,'Données projet'!$B$36,N96+M97-V96)))</f>
        <v>274.00000000000006</v>
      </c>
      <c r="O97" s="14">
        <f>N97*VLOOKUP('Données projet'!$B$9,Paramètres!$A$1:$I$89,3,0)*VLOOKUP('Données projet'!$B$9,Paramètres!$A$1:$I$89,5,0)</f>
        <v>247.91520000000003</v>
      </c>
      <c r="P97" s="14">
        <f t="shared" si="87"/>
        <v>60.139294964297406</v>
      </c>
      <c r="Q97" s="22">
        <f t="shared" si="54"/>
        <v>536.52824539615131</v>
      </c>
      <c r="R97" s="62">
        <f t="shared" si="55"/>
        <v>829.86157872948456</v>
      </c>
      <c r="S97" s="62">
        <f ca="1">AVERAGE(OFFSET($R$3,0,0,'Données projet'!$E$9+1,1))-AVERAGE(OFFSET($H$3,0,0,'Données projet'!$E$9+1,1))</f>
        <v>371.75294069149942</v>
      </c>
      <c r="T97" s="62">
        <f t="shared" si="88"/>
        <v>233.32640143610547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>
        <f>AI97*VLOOKUP('Données projet'!$B$10,Paramètres!$A$1:$I$89,3,0)*VLOOKUP('Données projet'!$B$10,Paramètres!$A$1:$I$89,5,0)</f>
        <v>0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405.09126081846171</v>
      </c>
      <c r="AO97" s="62">
        <f t="shared" si="90"/>
        <v>534.22295841722166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0.67741595965777379</v>
      </c>
      <c r="AV97" s="23">
        <f>EXP(-LN(2)/25)*AV96+(1-EXP(-LN(2)/25))/(LN(2)/25)*Calculateur!AQ97*Calculateur!AS97*VLOOKUP('Données projet'!$B$10,Paramètres!$A$1:$I$89,3,0)*0.475*44/12</f>
        <v>1.4782095511128732</v>
      </c>
      <c r="AW97" s="23">
        <f>EXP(-LN(2)/2)*AW96+(1-EXP(-LN(2)/2))/(LN(2)/2)*AQ97*AT97*VLOOKUP('Données projet'!$B$10,Paramètres!$A$1:$I$89,3,0)*0.475*44/12</f>
        <v>8.613808651720315E-11</v>
      </c>
      <c r="AX97" s="23">
        <f t="shared" si="60"/>
        <v>2.155625510856785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3.4106051316484809E-13</v>
      </c>
      <c r="BE97" s="14">
        <f>BD97*VLOOKUP('Données projet'!$B$11,Paramètres!$A$1:$I$89,3,0)*VLOOKUP('Données projet'!$B$11,Paramètres!$A$1:$I$89,5,0)</f>
        <v>1.9508661353029313E-13</v>
      </c>
      <c r="BF97" s="14">
        <f t="shared" si="91"/>
        <v>2.711421636700695E-12</v>
      </c>
      <c r="BG97" s="22">
        <f t="shared" si="61"/>
        <v>5.0621685358189711E-12</v>
      </c>
      <c r="BH97" s="62">
        <f t="shared" si="62"/>
        <v>293.33333333333837</v>
      </c>
      <c r="BI97" s="62">
        <f ca="1">AVERAGE(OFFSET($BH$3,0,0,'Données projet'!$E$11+1,1))-AVERAGE(OFFSET($H$3,0,0,'Données projet'!$E$11+1,1))</f>
        <v>258.09881752732008</v>
      </c>
      <c r="BJ97" s="62">
        <f t="shared" si="92"/>
        <v>214.72899476643335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1.0612179199774825</v>
      </c>
      <c r="BR97" s="23">
        <f>EXP(-LN(2)/2)*BR96+(1-EXP(-LN(2)/2))/(LN(2)/2)*BL97*BO97*VLOOKUP('Données projet'!$B$11,Paramètres!$A$1:$I$89,3,0)*0.475*44/12</f>
        <v>1.0135059472406166E-9</v>
      </c>
      <c r="BS97" s="24">
        <f t="shared" si="63"/>
        <v>1.0612179209909884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279</v>
      </c>
      <c r="L98" s="13">
        <f>VLOOKUP(A98,'Données projet'!$A$35:$I$55,9,0)</f>
        <v>5</v>
      </c>
      <c r="M98" s="13">
        <f t="array" ref="M98">INDEX(L:L,MIN(IF(ISNUMBER(L98:L294),ROW(L98:L294),"")))</f>
        <v>5</v>
      </c>
      <c r="N98" s="14">
        <f>IF('Données projet'!$A$36&gt;35,N97+M98-V97,IF(A98&lt;'Données projet'!$A$36,$K$205^A98,IF(A98='Données projet'!$A$36,'Données projet'!$B$36,N97+M98-V97)))</f>
        <v>279.00000000000006</v>
      </c>
      <c r="O98" s="14">
        <f>N98*VLOOKUP('Données projet'!$B$9,Paramètres!$A$1:$I$89,3,0)*VLOOKUP('Données projet'!$B$9,Paramètres!$A$1:$I$89,5,0)</f>
        <v>252.43920000000006</v>
      </c>
      <c r="P98" s="14">
        <f t="shared" si="87"/>
        <v>61.107963296116274</v>
      </c>
      <c r="Q98" s="22">
        <f t="shared" si="54"/>
        <v>546.09464274073594</v>
      </c>
      <c r="R98" s="62">
        <f t="shared" si="55"/>
        <v>839.42797607406919</v>
      </c>
      <c r="S98" s="62">
        <f ca="1">AVERAGE(OFFSET($R$3,0,0,'Données projet'!$E$9+1,1))-AVERAGE(OFFSET($H$3,0,0,'Données projet'!$E$9+1,1))</f>
        <v>371.75294069149942</v>
      </c>
      <c r="T98" s="62">
        <f t="shared" si="88"/>
        <v>233.32640143610547</v>
      </c>
      <c r="U98" s="16">
        <f>IF(ISNA(VLOOKUP(A98,'Données projet'!$A$35:$I$55,3,0)),0,VLOOKUP(A98,'Données projet'!$A$35:$I$55,3,0))</f>
        <v>15</v>
      </c>
      <c r="V98" s="16">
        <f>IF(ISNA(VLOOKUP(A98,'Données projet'!$A$35:$I$55,4,0)),0,VLOOKUP(A98,'Données projet'!$A$35:$I$55,4,0))</f>
        <v>21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>
        <f>AI98*VLOOKUP('Données projet'!$B$10,Paramètres!$A$1:$I$89,3,0)*VLOOKUP('Données projet'!$B$10,Paramètres!$A$1:$I$89,5,0)</f>
        <v>0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405.09126081846171</v>
      </c>
      <c r="AO98" s="62">
        <f t="shared" si="90"/>
        <v>534.22295841722166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0.66413224587182185</v>
      </c>
      <c r="AV98" s="23">
        <f>EXP(-LN(2)/25)*AV97+(1-EXP(-LN(2)/25))/(LN(2)/25)*Calculateur!AQ98*Calculateur!AS98*VLOOKUP('Données projet'!$B$10,Paramètres!$A$1:$I$89,3,0)*0.475*44/12</f>
        <v>1.43778783320203</v>
      </c>
      <c r="AW98" s="23">
        <f>EXP(-LN(2)/2)*AW97+(1-EXP(-LN(2)/2))/(LN(2)/2)*AQ98*AT98*VLOOKUP('Données projet'!$B$10,Paramètres!$A$1:$I$89,3,0)*0.475*44/12</f>
        <v>6.0908825094747865E-11</v>
      </c>
      <c r="AX98" s="23">
        <f t="shared" si="60"/>
        <v>2.1019200791347603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3.4106051316484809E-13</v>
      </c>
      <c r="BE98" s="14">
        <f>BD98*VLOOKUP('Données projet'!$B$11,Paramètres!$A$1:$I$89,3,0)*VLOOKUP('Données projet'!$B$11,Paramètres!$A$1:$I$89,5,0)</f>
        <v>1.9508661353029313E-13</v>
      </c>
      <c r="BF98" s="14">
        <f t="shared" si="91"/>
        <v>2.711421636700695E-12</v>
      </c>
      <c r="BG98" s="22">
        <f t="shared" si="61"/>
        <v>5.0621685358189711E-12</v>
      </c>
      <c r="BH98" s="62">
        <f t="shared" si="62"/>
        <v>293.33333333333837</v>
      </c>
      <c r="BI98" s="62">
        <f ca="1">AVERAGE(OFFSET($BH$3,0,0,'Données projet'!$E$11+1,1))-AVERAGE(OFFSET($H$3,0,0,'Données projet'!$E$11+1,1))</f>
        <v>258.09881752732008</v>
      </c>
      <c r="BJ98" s="62">
        <f t="shared" si="92"/>
        <v>214.72899476643335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1.0321988601486733</v>
      </c>
      <c r="BR98" s="23">
        <f>EXP(-LN(2)/2)*BR97+(1-EXP(-LN(2)/2))/(LN(2)/2)*BL98*BO98*VLOOKUP('Données projet'!$B$11,Paramètres!$A$1:$I$89,3,0)*0.475*44/12</f>
        <v>7.1665692806673525E-10</v>
      </c>
      <c r="BS98" s="24">
        <f t="shared" si="63"/>
        <v>1.0321988608653303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4.8</v>
      </c>
      <c r="N99" s="14">
        <f>IF('Données projet'!$A$36&gt;35,N98+M99-V98,IF(A99&lt;'Données projet'!$A$36,$K$205^A99,IF(A99='Données projet'!$A$36,'Données projet'!$B$36,N98+M99-V98)))</f>
        <v>262.80000000000007</v>
      </c>
      <c r="O99" s="14">
        <f>N99*VLOOKUP('Données projet'!$B$9,Paramètres!$A$1:$I$89,3,0)*VLOOKUP('Données projet'!$B$9,Paramètres!$A$1:$I$89,5,0)</f>
        <v>237.78144000000006</v>
      </c>
      <c r="P99" s="14">
        <f t="shared" si="87"/>
        <v>57.96193879691095</v>
      </c>
      <c r="Q99" s="22">
        <f t="shared" ref="Q99:Q130" si="107">(O99+P99)*0.475*44/12</f>
        <v>515.08638473795338</v>
      </c>
      <c r="R99" s="62">
        <f t="shared" si="55"/>
        <v>808.41971807128675</v>
      </c>
      <c r="S99" s="62">
        <f ca="1">AVERAGE(OFFSET($R$3,0,0,'Données projet'!$E$9+1,1))-AVERAGE(OFFSET($H$3,0,0,'Données projet'!$E$9+1,1))</f>
        <v>371.75294069149942</v>
      </c>
      <c r="T99" s="62">
        <f t="shared" si="88"/>
        <v>233.32640143610547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>
        <f>AI99*VLOOKUP('Données projet'!$B$10,Paramètres!$A$1:$I$89,3,0)*VLOOKUP('Données projet'!$B$10,Paramètres!$A$1:$I$89,5,0)</f>
        <v>0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405.09126081846171</v>
      </c>
      <c r="AO99" s="62">
        <f t="shared" si="90"/>
        <v>534.22295841722166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0.65110901761094697</v>
      </c>
      <c r="AV99" s="23">
        <f>EXP(-LN(2)/25)*AV98+(1-EXP(-LN(2)/25))/(LN(2)/25)*Calculateur!AQ99*Calculateur!AS99*VLOOKUP('Données projet'!$B$10,Paramètres!$A$1:$I$89,3,0)*0.475*44/12</f>
        <v>1.3984714492931445</v>
      </c>
      <c r="AW99" s="23">
        <f>EXP(-LN(2)/2)*AW98+(1-EXP(-LN(2)/2))/(LN(2)/2)*AQ99*AT99*VLOOKUP('Données projet'!$B$10,Paramètres!$A$1:$I$89,3,0)*0.475*44/12</f>
        <v>4.3069043258601575E-11</v>
      </c>
      <c r="AX99" s="23">
        <f t="shared" si="60"/>
        <v>2.0495804669471607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3.4106051316484809E-13</v>
      </c>
      <c r="BE99" s="14">
        <f>BD99*VLOOKUP('Données projet'!$B$11,Paramètres!$A$1:$I$89,3,0)*VLOOKUP('Données projet'!$B$11,Paramètres!$A$1:$I$89,5,0)</f>
        <v>1.9508661353029313E-13</v>
      </c>
      <c r="BF99" s="14">
        <f t="shared" si="91"/>
        <v>2.711421636700695E-12</v>
      </c>
      <c r="BG99" s="22">
        <f t="shared" si="61"/>
        <v>5.0621685358189711E-12</v>
      </c>
      <c r="BH99" s="62">
        <f t="shared" si="62"/>
        <v>293.33333333333837</v>
      </c>
      <c r="BI99" s="62">
        <f ca="1">AVERAGE(OFFSET($BH$3,0,0,'Données projet'!$E$11+1,1))-AVERAGE(OFFSET($H$3,0,0,'Données projet'!$E$11+1,1))</f>
        <v>258.09881752732008</v>
      </c>
      <c r="BJ99" s="62">
        <f t="shared" si="92"/>
        <v>214.72899476643335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1.003973328036929</v>
      </c>
      <c r="BR99" s="23">
        <f>EXP(-LN(2)/2)*BR98+(1-EXP(-LN(2)/2))/(LN(2)/2)*BL99*BO99*VLOOKUP('Données projet'!$B$11,Paramètres!$A$1:$I$89,3,0)*0.475*44/12</f>
        <v>5.0675297362030828E-10</v>
      </c>
      <c r="BS99" s="24">
        <f t="shared" si="63"/>
        <v>1.003973328543682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4.8</v>
      </c>
      <c r="N100" s="14">
        <f>IF('Données projet'!$A$36&gt;35,N99+M100-V99,IF(A100&lt;'Données projet'!$A$36,$K$205^A100,IF(A100='Données projet'!$A$36,'Données projet'!$B$36,N99+M100-V99)))</f>
        <v>267.60000000000008</v>
      </c>
      <c r="O100" s="14">
        <f>N100*VLOOKUP('Données projet'!$B$9,Paramètres!$A$1:$I$89,3,0)*VLOOKUP('Données projet'!$B$9,Paramètres!$A$1:$I$89,5,0)</f>
        <v>242.12448000000006</v>
      </c>
      <c r="P100" s="14">
        <f t="shared" si="87"/>
        <v>58.896387987806008</v>
      </c>
      <c r="Q100" s="22">
        <f t="shared" si="107"/>
        <v>524.2780117454289</v>
      </c>
      <c r="R100" s="62">
        <f t="shared" si="55"/>
        <v>817.61134507876227</v>
      </c>
      <c r="S100" s="62">
        <f ca="1">AVERAGE(OFFSET($R$3,0,0,'Données projet'!$E$9+1,1))-AVERAGE(OFFSET($H$3,0,0,'Données projet'!$E$9+1,1))</f>
        <v>371.75294069149942</v>
      </c>
      <c r="T100" s="62">
        <f t="shared" si="88"/>
        <v>233.32640143610547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>
        <f>AI100*VLOOKUP('Données projet'!$B$10,Paramètres!$A$1:$I$89,3,0)*VLOOKUP('Données projet'!$B$10,Paramètres!$A$1:$I$89,5,0)</f>
        <v>0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405.09126081846171</v>
      </c>
      <c r="AO100" s="62">
        <f t="shared" si="90"/>
        <v>534.22295841722166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0.63834116691288301</v>
      </c>
      <c r="AV100" s="23">
        <f>EXP(-LN(2)/25)*AV99+(1-EXP(-LN(2)/25))/(LN(2)/25)*Calculateur!AQ100*Calculateur!AS100*VLOOKUP('Données projet'!$B$10,Paramètres!$A$1:$I$89,3,0)*0.475*44/12</f>
        <v>1.3602301739698062</v>
      </c>
      <c r="AW100" s="23">
        <f>EXP(-LN(2)/2)*AW99+(1-EXP(-LN(2)/2))/(LN(2)/2)*AQ100*AT100*VLOOKUP('Données projet'!$B$10,Paramètres!$A$1:$I$89,3,0)*0.475*44/12</f>
        <v>3.0454412547373933E-11</v>
      </c>
      <c r="AX100" s="23">
        <f t="shared" si="60"/>
        <v>1.9985713409131436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3.4106051316484809E-13</v>
      </c>
      <c r="BE100" s="14">
        <f>BD100*VLOOKUP('Données projet'!$B$11,Paramètres!$A$1:$I$89,3,0)*VLOOKUP('Données projet'!$B$11,Paramètres!$A$1:$I$89,5,0)</f>
        <v>1.9508661353029313E-13</v>
      </c>
      <c r="BF100" s="14">
        <f t="shared" si="91"/>
        <v>2.711421636700695E-12</v>
      </c>
      <c r="BG100" s="22">
        <f t="shared" si="61"/>
        <v>5.0621685358189711E-12</v>
      </c>
      <c r="BH100" s="62">
        <f t="shared" si="62"/>
        <v>293.33333333333837</v>
      </c>
      <c r="BI100" s="62">
        <f ca="1">AVERAGE(OFFSET($BH$3,0,0,'Données projet'!$E$11+1,1))-AVERAGE(OFFSET($H$3,0,0,'Données projet'!$E$11+1,1))</f>
        <v>258.09881752732008</v>
      </c>
      <c r="BJ100" s="62">
        <f t="shared" si="92"/>
        <v>214.72899476643335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0.97651962458509645</v>
      </c>
      <c r="BR100" s="23">
        <f>EXP(-LN(2)/2)*BR99+(1-EXP(-LN(2)/2))/(LN(2)/2)*BL100*BO100*VLOOKUP('Données projet'!$B$11,Paramètres!$A$1:$I$89,3,0)*0.475*44/12</f>
        <v>3.5832846403336762E-10</v>
      </c>
      <c r="BS100" s="24">
        <f t="shared" si="63"/>
        <v>0.97651962494342492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4.8</v>
      </c>
      <c r="N101" s="14">
        <f>IF('Données projet'!$A$36&gt;35,N100+M101-V100,IF(A101&lt;'Données projet'!$A$36,$K$205^A101,IF(A101='Données projet'!$A$36,'Données projet'!$B$36,N100+M101-V100)))</f>
        <v>272.40000000000009</v>
      </c>
      <c r="O101" s="14">
        <f>N101*VLOOKUP('Données projet'!$B$9,Paramètres!$A$1:$I$89,3,0)*VLOOKUP('Données projet'!$B$9,Paramètres!$A$1:$I$89,5,0)</f>
        <v>246.46752000000009</v>
      </c>
      <c r="P101" s="14">
        <f t="shared" si="87"/>
        <v>59.828888074217033</v>
      </c>
      <c r="Q101" s="22">
        <f t="shared" si="107"/>
        <v>533.4662440625948</v>
      </c>
      <c r="R101" s="62">
        <f t="shared" si="55"/>
        <v>826.79957739592805</v>
      </c>
      <c r="S101" s="62">
        <f ca="1">AVERAGE(OFFSET($R$3,0,0,'Données projet'!$E$9+1,1))-AVERAGE(OFFSET($H$3,0,0,'Données projet'!$E$9+1,1))</f>
        <v>371.75294069149942</v>
      </c>
      <c r="T101" s="62">
        <f t="shared" si="88"/>
        <v>233.32640143610547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>
        <f>AI101*VLOOKUP('Données projet'!$B$10,Paramètres!$A$1:$I$89,3,0)*VLOOKUP('Données projet'!$B$10,Paramètres!$A$1:$I$89,5,0)</f>
        <v>0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405.09126081846171</v>
      </c>
      <c r="AO101" s="62">
        <f t="shared" si="90"/>
        <v>534.22295841722166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0.62582368597938809</v>
      </c>
      <c r="AV101" s="23">
        <f>EXP(-LN(2)/25)*AV100+(1-EXP(-LN(2)/25))/(LN(2)/25)*Calculateur!AQ101*Calculateur!AS101*VLOOKUP('Données projet'!$B$10,Paramètres!$A$1:$I$89,3,0)*0.475*44/12</f>
        <v>1.3230346083312059</v>
      </c>
      <c r="AW101" s="23">
        <f>EXP(-LN(2)/2)*AW100+(1-EXP(-LN(2)/2))/(LN(2)/2)*AQ101*AT101*VLOOKUP('Données projet'!$B$10,Paramètres!$A$1:$I$89,3,0)*0.475*44/12</f>
        <v>2.1534521629300787E-11</v>
      </c>
      <c r="AX101" s="23">
        <f t="shared" si="60"/>
        <v>1.9488582943321286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3.4106051316484809E-13</v>
      </c>
      <c r="BE101" s="14">
        <f>BD101*VLOOKUP('Données projet'!$B$11,Paramètres!$A$1:$I$89,3,0)*VLOOKUP('Données projet'!$B$11,Paramètres!$A$1:$I$89,5,0)</f>
        <v>1.9508661353029313E-13</v>
      </c>
      <c r="BF101" s="14">
        <f t="shared" si="91"/>
        <v>2.711421636700695E-12</v>
      </c>
      <c r="BG101" s="22">
        <f t="shared" si="61"/>
        <v>5.0621685358189711E-12</v>
      </c>
      <c r="BH101" s="62">
        <f t="shared" si="62"/>
        <v>293.33333333333837</v>
      </c>
      <c r="BI101" s="62">
        <f ca="1">AVERAGE(OFFSET($BH$3,0,0,'Données projet'!$E$11+1,1))-AVERAGE(OFFSET($H$3,0,0,'Données projet'!$E$11+1,1))</f>
        <v>258.09881752732008</v>
      </c>
      <c r="BJ101" s="62">
        <f t="shared" si="92"/>
        <v>214.72899476643335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0.9498166440978818</v>
      </c>
      <c r="BR101" s="23">
        <f>EXP(-LN(2)/2)*BR100+(1-EXP(-LN(2)/2))/(LN(2)/2)*BL101*BO101*VLOOKUP('Données projet'!$B$11,Paramètres!$A$1:$I$89,3,0)*0.475*44/12</f>
        <v>2.5337648681015414E-10</v>
      </c>
      <c r="BS101" s="24">
        <f t="shared" si="63"/>
        <v>0.94981664435125834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4.8</v>
      </c>
      <c r="N102" s="14">
        <f>IF('Données projet'!$A$36&gt;35,N101+M102-V101,IF(A102&lt;'Données projet'!$A$36,$K$205^A102,IF(A102='Données projet'!$A$36,'Données projet'!$B$36,N101+M102-V101)))</f>
        <v>277.2000000000001</v>
      </c>
      <c r="O102" s="14">
        <f>N102*VLOOKUP('Données projet'!$B$9,Paramètres!$A$1:$I$89,3,0)*VLOOKUP('Données projet'!$B$9,Paramètres!$A$1:$I$89,5,0)</f>
        <v>250.81056000000007</v>
      </c>
      <c r="P102" s="14">
        <f t="shared" si="87"/>
        <v>60.75947736410874</v>
      </c>
      <c r="Q102" s="22">
        <f t="shared" si="107"/>
        <v>542.65114840915612</v>
      </c>
      <c r="R102" s="62">
        <f t="shared" si="55"/>
        <v>835.98448174248938</v>
      </c>
      <c r="S102" s="62">
        <f ca="1">AVERAGE(OFFSET($R$3,0,0,'Données projet'!$E$9+1,1))-AVERAGE(OFFSET($H$3,0,0,'Données projet'!$E$9+1,1))</f>
        <v>371.75294069149942</v>
      </c>
      <c r="T102" s="62">
        <f t="shared" si="88"/>
        <v>233.32640143610547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>
        <f>AI102*VLOOKUP('Données projet'!$B$10,Paramètres!$A$1:$I$89,3,0)*VLOOKUP('Données projet'!$B$10,Paramètres!$A$1:$I$89,5,0)</f>
        <v>0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405.09126081846171</v>
      </c>
      <c r="AO102" s="62">
        <f t="shared" si="90"/>
        <v>534.22295841722166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0.61355166521208948</v>
      </c>
      <c r="AV102" s="23">
        <f>EXP(-LN(2)/25)*AV101+(1-EXP(-LN(2)/25))/(LN(2)/25)*Calculateur!AQ102*Calculateur!AS102*VLOOKUP('Données projet'!$B$10,Paramètres!$A$1:$I$89,3,0)*0.475*44/12</f>
        <v>1.2868561573910229</v>
      </c>
      <c r="AW102" s="23">
        <f>EXP(-LN(2)/2)*AW101+(1-EXP(-LN(2)/2))/(LN(2)/2)*AQ102*AT102*VLOOKUP('Données projet'!$B$10,Paramètres!$A$1:$I$89,3,0)*0.475*44/12</f>
        <v>1.5227206273686966E-11</v>
      </c>
      <c r="AX102" s="23">
        <f t="shared" si="60"/>
        <v>1.9004078226183394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3.4106051316484809E-13</v>
      </c>
      <c r="BE102" s="14">
        <f>BD102*VLOOKUP('Données projet'!$B$11,Paramètres!$A$1:$I$89,3,0)*VLOOKUP('Données projet'!$B$11,Paramètres!$A$1:$I$89,5,0)</f>
        <v>1.9508661353029313E-13</v>
      </c>
      <c r="BF102" s="14">
        <f t="shared" si="91"/>
        <v>2.711421636700695E-12</v>
      </c>
      <c r="BG102" s="22">
        <f t="shared" si="61"/>
        <v>5.0621685358189711E-12</v>
      </c>
      <c r="BH102" s="62">
        <f t="shared" si="62"/>
        <v>293.33333333333837</v>
      </c>
      <c r="BI102" s="62">
        <f ca="1">AVERAGE(OFFSET($BH$3,0,0,'Données projet'!$E$11+1,1))-AVERAGE(OFFSET($H$3,0,0,'Données projet'!$E$11+1,1))</f>
        <v>258.09881752732008</v>
      </c>
      <c r="BJ102" s="62">
        <f t="shared" si="92"/>
        <v>214.72899476643335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0.92384385801633873</v>
      </c>
      <c r="BR102" s="23">
        <f>EXP(-LN(2)/2)*BR101+(1-EXP(-LN(2)/2))/(LN(2)/2)*BL102*BO102*VLOOKUP('Données projet'!$B$11,Paramètres!$A$1:$I$89,3,0)*0.475*44/12</f>
        <v>1.7916423201668381E-10</v>
      </c>
      <c r="BS102" s="24">
        <f t="shared" si="63"/>
        <v>0.92384385819550296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282</v>
      </c>
      <c r="L103" s="13">
        <f>VLOOKUP(A103,'Données projet'!$A$35:$I$55,9,0)</f>
        <v>4.8</v>
      </c>
      <c r="M103" s="13">
        <f t="array" ref="M103">INDEX(L:L,MIN(IF(ISNUMBER(L103:L299),ROW(L103:L299),"")))</f>
        <v>4.8</v>
      </c>
      <c r="N103" s="14">
        <f>IF('Données projet'!$A$36&gt;35,N102+M103-V102,IF(A103&lt;'Données projet'!$A$36,$K$205^A103,IF(A103='Données projet'!$A$36,'Données projet'!$B$36,N102+M103-V102)))</f>
        <v>282.00000000000011</v>
      </c>
      <c r="O103" s="14">
        <f>N103*VLOOKUP('Données projet'!$B$9,Paramètres!$A$1:$I$89,3,0)*VLOOKUP('Données projet'!$B$9,Paramètres!$A$1:$I$89,5,0)</f>
        <v>255.1536000000001</v>
      </c>
      <c r="P103" s="14">
        <f t="shared" si="87"/>
        <v>61.688192762754426</v>
      </c>
      <c r="Q103" s="22">
        <f t="shared" si="107"/>
        <v>551.83278906179737</v>
      </c>
      <c r="R103" s="62">
        <f t="shared" si="55"/>
        <v>845.16612239513074</v>
      </c>
      <c r="S103" s="62">
        <f ca="1">AVERAGE(OFFSET($R$3,0,0,'Données projet'!$E$9+1,1))-AVERAGE(OFFSET($H$3,0,0,'Données projet'!$E$9+1,1))</f>
        <v>371.75294069149942</v>
      </c>
      <c r="T103" s="62">
        <f t="shared" si="88"/>
        <v>233.32640143610547</v>
      </c>
      <c r="U103" s="16">
        <f>IF(ISNA(VLOOKUP(A103,'Données projet'!$A$35:$I$55,3,0)),0,VLOOKUP(A103,'Données projet'!$A$35:$I$55,3,0))</f>
        <v>16</v>
      </c>
      <c r="V103" s="16">
        <f>IF(ISNA(VLOOKUP(A103,'Données projet'!$A$35:$I$55,4,0)),0,VLOOKUP(A103,'Données projet'!$A$35:$I$55,4,0))</f>
        <v>21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>
        <f>AI103*VLOOKUP('Données projet'!$B$10,Paramètres!$A$1:$I$89,3,0)*VLOOKUP('Données projet'!$B$10,Paramètres!$A$1:$I$89,5,0)</f>
        <v>0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405.09126081846171</v>
      </c>
      <c r="AO103" s="62">
        <f t="shared" si="90"/>
        <v>534.22295841722166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0.60152029128684403</v>
      </c>
      <c r="AV103" s="23">
        <f>EXP(-LN(2)/25)*AV102+(1-EXP(-LN(2)/25))/(LN(2)/25)*Calculateur!AQ103*Calculateur!AS103*VLOOKUP('Données projet'!$B$10,Paramètres!$A$1:$I$89,3,0)*0.475*44/12</f>
        <v>1.2516670080943413</v>
      </c>
      <c r="AW103" s="23">
        <f>EXP(-LN(2)/2)*AW102+(1-EXP(-LN(2)/2))/(LN(2)/2)*AQ103*AT103*VLOOKUP('Données projet'!$B$10,Paramètres!$A$1:$I$89,3,0)*0.475*44/12</f>
        <v>1.0767260814650394E-11</v>
      </c>
      <c r="AX103" s="23">
        <f t="shared" si="60"/>
        <v>1.8531872993919525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3.4106051316484809E-13</v>
      </c>
      <c r="BE103" s="14">
        <f>BD103*VLOOKUP('Données projet'!$B$11,Paramètres!$A$1:$I$89,3,0)*VLOOKUP('Données projet'!$B$11,Paramètres!$A$1:$I$89,5,0)</f>
        <v>1.9508661353029313E-13</v>
      </c>
      <c r="BF103" s="14">
        <f t="shared" si="91"/>
        <v>2.711421636700695E-12</v>
      </c>
      <c r="BG103" s="22">
        <f t="shared" si="61"/>
        <v>5.0621685358189711E-12</v>
      </c>
      <c r="BH103" s="62">
        <f t="shared" si="62"/>
        <v>293.33333333333837</v>
      </c>
      <c r="BI103" s="62">
        <f ca="1">AVERAGE(OFFSET($BH$3,0,0,'Données projet'!$E$11+1,1))-AVERAGE(OFFSET($H$3,0,0,'Données projet'!$E$11+1,1))</f>
        <v>258.09881752732008</v>
      </c>
      <c r="BJ103" s="62">
        <f t="shared" si="92"/>
        <v>214.72899476643335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0.8985812991360449</v>
      </c>
      <c r="BR103" s="23">
        <f>EXP(-LN(2)/2)*BR102+(1-EXP(-LN(2)/2))/(LN(2)/2)*BL103*BO103*VLOOKUP('Données projet'!$B$11,Paramètres!$A$1:$I$89,3,0)*0.475*44/12</f>
        <v>1.2668824340507707E-10</v>
      </c>
      <c r="BS103" s="24">
        <f t="shared" si="63"/>
        <v>0.89858129926273311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4.4000000000000004</v>
      </c>
      <c r="N104" s="14">
        <f>IF('Données projet'!$A$36&gt;35,N103+M104-V103,IF(A104&lt;'Données projet'!$A$36,$K$205^A104,IF(A104='Données projet'!$A$36,'Données projet'!$B$36,N103+M104-V103)))</f>
        <v>265.40000000000009</v>
      </c>
      <c r="O104" s="14">
        <f>N104*VLOOKUP('Données projet'!$B$9,Paramètres!$A$1:$I$89,3,0)*VLOOKUP('Données projet'!$B$9,Paramètres!$A$1:$I$89,5,0)</f>
        <v>240.13392000000007</v>
      </c>
      <c r="P104" s="14">
        <f t="shared" si="87"/>
        <v>58.468343087048616</v>
      </c>
      <c r="Q104" s="22">
        <f t="shared" si="107"/>
        <v>520.06560820994309</v>
      </c>
      <c r="R104" s="62">
        <f t="shared" si="55"/>
        <v>813.39894154327635</v>
      </c>
      <c r="S104" s="62">
        <f ca="1">AVERAGE(OFFSET($R$3,0,0,'Données projet'!$E$9+1,1))-AVERAGE(OFFSET($H$3,0,0,'Données projet'!$E$9+1,1))</f>
        <v>371.75294069149942</v>
      </c>
      <c r="T104" s="62">
        <f t="shared" si="88"/>
        <v>233.32640143610547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>
        <f>AI104*VLOOKUP('Données projet'!$B$10,Paramètres!$A$1:$I$89,3,0)*VLOOKUP('Données projet'!$B$10,Paramètres!$A$1:$I$89,5,0)</f>
        <v>0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405.09126081846171</v>
      </c>
      <c r="AO104" s="62">
        <f t="shared" si="90"/>
        <v>534.22295841722166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0.58972484526585922</v>
      </c>
      <c r="AV104" s="23">
        <f>EXP(-LN(2)/25)*AV103+(1-EXP(-LN(2)/25))/(LN(2)/25)*Calculateur!AQ104*Calculateur!AS104*VLOOKUP('Données projet'!$B$10,Paramètres!$A$1:$I$89,3,0)*0.475*44/12</f>
        <v>1.2174401079356942</v>
      </c>
      <c r="AW104" s="23">
        <f>EXP(-LN(2)/2)*AW103+(1-EXP(-LN(2)/2))/(LN(2)/2)*AQ104*AT104*VLOOKUP('Données projet'!$B$10,Paramètres!$A$1:$I$89,3,0)*0.475*44/12</f>
        <v>7.6136031368434831E-12</v>
      </c>
      <c r="AX104" s="23">
        <f t="shared" si="60"/>
        <v>1.8071649532091671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3.4106051316484809E-13</v>
      </c>
      <c r="BE104" s="14">
        <f>BD104*VLOOKUP('Données projet'!$B$11,Paramètres!$A$1:$I$89,3,0)*VLOOKUP('Données projet'!$B$11,Paramètres!$A$1:$I$89,5,0)</f>
        <v>1.9508661353029313E-13</v>
      </c>
      <c r="BF104" s="14">
        <f t="shared" si="91"/>
        <v>2.711421636700695E-12</v>
      </c>
      <c r="BG104" s="22">
        <f t="shared" si="61"/>
        <v>5.0621685358189711E-12</v>
      </c>
      <c r="BH104" s="62">
        <f t="shared" si="62"/>
        <v>293.33333333333837</v>
      </c>
      <c r="BI104" s="62">
        <f ca="1">AVERAGE(OFFSET($BH$3,0,0,'Données projet'!$E$11+1,1))-AVERAGE(OFFSET($H$3,0,0,'Données projet'!$E$11+1,1))</f>
        <v>258.09881752732008</v>
      </c>
      <c r="BJ104" s="62">
        <f t="shared" si="92"/>
        <v>214.72899476643335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0.87400954625683291</v>
      </c>
      <c r="BR104" s="23">
        <f>EXP(-LN(2)/2)*BR103+(1-EXP(-LN(2)/2))/(LN(2)/2)*BL104*BO104*VLOOKUP('Données projet'!$B$11,Paramètres!$A$1:$I$89,3,0)*0.475*44/12</f>
        <v>8.9582116008341906E-11</v>
      </c>
      <c r="BS104" s="24">
        <f t="shared" si="63"/>
        <v>0.87400954634641503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4.4000000000000004</v>
      </c>
      <c r="N105" s="14">
        <f>IF('Données projet'!$A$36&gt;35,N104+M105-V104,IF(A105&lt;'Données projet'!$A$36,$K$205^A105,IF(A105='Données projet'!$A$36,'Données projet'!$B$36,N104+M105-V104)))</f>
        <v>269.80000000000007</v>
      </c>
      <c r="O105" s="14">
        <f>N105*VLOOKUP('Données projet'!$B$9,Paramètres!$A$1:$I$89,3,0)*VLOOKUP('Données projet'!$B$9,Paramètres!$A$1:$I$89,5,0)</f>
        <v>244.11504000000008</v>
      </c>
      <c r="P105" s="14">
        <f t="shared" si="87"/>
        <v>59.324023461759062</v>
      </c>
      <c r="Q105" s="22">
        <f t="shared" si="107"/>
        <v>528.48970219589717</v>
      </c>
      <c r="R105" s="62">
        <f t="shared" si="55"/>
        <v>821.82303552923054</v>
      </c>
      <c r="S105" s="62">
        <f ca="1">AVERAGE(OFFSET($R$3,0,0,'Données projet'!$E$9+1,1))-AVERAGE(OFFSET($H$3,0,0,'Données projet'!$E$9+1,1))</f>
        <v>371.75294069149942</v>
      </c>
      <c r="T105" s="62">
        <f t="shared" si="88"/>
        <v>233.32640143610547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>
        <f>AI105*VLOOKUP('Données projet'!$B$10,Paramètres!$A$1:$I$89,3,0)*VLOOKUP('Données projet'!$B$10,Paramètres!$A$1:$I$89,5,0)</f>
        <v>0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405.09126081846171</v>
      </c>
      <c r="AO105" s="62">
        <f t="shared" si="90"/>
        <v>534.22295841722166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0.57816070074683423</v>
      </c>
      <c r="AV105" s="23">
        <f>EXP(-LN(2)/25)*AV104+(1-EXP(-LN(2)/25))/(LN(2)/25)*Calculateur!AQ105*Calculateur!AS105*VLOOKUP('Données projet'!$B$10,Paramètres!$A$1:$I$89,3,0)*0.475*44/12</f>
        <v>1.1841491441617999</v>
      </c>
      <c r="AW105" s="23">
        <f>EXP(-LN(2)/2)*AW104+(1-EXP(-LN(2)/2))/(LN(2)/2)*AQ105*AT105*VLOOKUP('Données projet'!$B$10,Paramètres!$A$1:$I$89,3,0)*0.475*44/12</f>
        <v>5.3836304073251969E-12</v>
      </c>
      <c r="AX105" s="23">
        <f t="shared" si="60"/>
        <v>1.762309844914018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3.4106051316484809E-13</v>
      </c>
      <c r="BE105" s="14">
        <f>BD105*VLOOKUP('Données projet'!$B$11,Paramètres!$A$1:$I$89,3,0)*VLOOKUP('Données projet'!$B$11,Paramètres!$A$1:$I$89,5,0)</f>
        <v>1.9508661353029313E-13</v>
      </c>
      <c r="BF105" s="14">
        <f t="shared" si="91"/>
        <v>2.711421636700695E-12</v>
      </c>
      <c r="BG105" s="22">
        <f t="shared" si="61"/>
        <v>5.0621685358189711E-12</v>
      </c>
      <c r="BH105" s="62">
        <f t="shared" si="62"/>
        <v>293.33333333333837</v>
      </c>
      <c r="BI105" s="62">
        <f ca="1">AVERAGE(OFFSET($BH$3,0,0,'Données projet'!$E$11+1,1))-AVERAGE(OFFSET($H$3,0,0,'Données projet'!$E$11+1,1))</f>
        <v>258.09881752732008</v>
      </c>
      <c r="BJ105" s="62">
        <f t="shared" si="92"/>
        <v>214.72899476643335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0.85010970925227536</v>
      </c>
      <c r="BR105" s="23">
        <f>EXP(-LN(2)/2)*BR104+(1-EXP(-LN(2)/2))/(LN(2)/2)*BL105*BO105*VLOOKUP('Données projet'!$B$11,Paramètres!$A$1:$I$89,3,0)*0.475*44/12</f>
        <v>6.3344121702538536E-11</v>
      </c>
      <c r="BS105" s="24">
        <f t="shared" si="63"/>
        <v>0.85010970931561947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4.4000000000000004</v>
      </c>
      <c r="N106" s="14">
        <f>IF('Données projet'!$A$36&gt;35,N105+M106-V105,IF(A106&lt;'Données projet'!$A$36,$K$205^A106,IF(A106='Données projet'!$A$36,'Données projet'!$B$36,N105+M106-V105)))</f>
        <v>274.20000000000005</v>
      </c>
      <c r="O106" s="14">
        <f>N106*VLOOKUP('Données projet'!$B$9,Paramètres!$A$1:$I$89,3,0)*VLOOKUP('Données projet'!$B$9,Paramètres!$A$1:$I$89,5,0)</f>
        <v>248.09616</v>
      </c>
      <c r="P106" s="14">
        <f t="shared" si="87"/>
        <v>60.178080967364686</v>
      </c>
      <c r="Q106" s="22">
        <f t="shared" si="107"/>
        <v>536.91096968482668</v>
      </c>
      <c r="R106" s="62">
        <f t="shared" si="55"/>
        <v>830.24430301816005</v>
      </c>
      <c r="S106" s="62">
        <f ca="1">AVERAGE(OFFSET($R$3,0,0,'Données projet'!$E$9+1,1))-AVERAGE(OFFSET($H$3,0,0,'Données projet'!$E$9+1,1))</f>
        <v>371.75294069149942</v>
      </c>
      <c r="T106" s="62">
        <f t="shared" si="88"/>
        <v>233.32640143610547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>
        <f>AI106*VLOOKUP('Données projet'!$B$10,Paramètres!$A$1:$I$89,3,0)*VLOOKUP('Données projet'!$B$10,Paramètres!$A$1:$I$89,5,0)</f>
        <v>0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405.09126081846171</v>
      </c>
      <c r="AO106" s="62">
        <f t="shared" si="90"/>
        <v>534.22295841722166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0.56682332204839569</v>
      </c>
      <c r="AV106" s="23">
        <f>EXP(-LN(2)/25)*AV105+(1-EXP(-LN(2)/25))/(LN(2)/25)*Calculateur!AQ106*Calculateur!AS106*VLOOKUP('Données projet'!$B$10,Paramètres!$A$1:$I$89,3,0)*0.475*44/12</f>
        <v>1.1517685235429984</v>
      </c>
      <c r="AW106" s="23">
        <f>EXP(-LN(2)/2)*AW105+(1-EXP(-LN(2)/2))/(LN(2)/2)*AQ106*AT106*VLOOKUP('Données projet'!$B$10,Paramètres!$A$1:$I$89,3,0)*0.475*44/12</f>
        <v>3.8068015684217416E-12</v>
      </c>
      <c r="AX106" s="23">
        <f t="shared" si="60"/>
        <v>1.718591845595201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3.4106051316484809E-13</v>
      </c>
      <c r="BE106" s="14">
        <f>BD106*VLOOKUP('Données projet'!$B$11,Paramètres!$A$1:$I$89,3,0)*VLOOKUP('Données projet'!$B$11,Paramètres!$A$1:$I$89,5,0)</f>
        <v>1.9508661353029313E-13</v>
      </c>
      <c r="BF106" s="14">
        <f t="shared" si="91"/>
        <v>2.711421636700695E-12</v>
      </c>
      <c r="BG106" s="22">
        <f t="shared" si="61"/>
        <v>5.0621685358189711E-12</v>
      </c>
      <c r="BH106" s="62">
        <f t="shared" si="62"/>
        <v>293.33333333333837</v>
      </c>
      <c r="BI106" s="62">
        <f ca="1">AVERAGE(OFFSET($BH$3,0,0,'Données projet'!$E$11+1,1))-AVERAGE(OFFSET($H$3,0,0,'Données projet'!$E$11+1,1))</f>
        <v>258.09881752732008</v>
      </c>
      <c r="BJ106" s="62">
        <f t="shared" si="92"/>
        <v>214.72899476643335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0.82686341454744527</v>
      </c>
      <c r="BR106" s="23">
        <f>EXP(-LN(2)/2)*BR105+(1-EXP(-LN(2)/2))/(LN(2)/2)*BL106*BO106*VLOOKUP('Données projet'!$B$11,Paramètres!$A$1:$I$89,3,0)*0.475*44/12</f>
        <v>4.4791058004170953E-11</v>
      </c>
      <c r="BS106" s="24">
        <f t="shared" si="63"/>
        <v>0.82686341459223633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4.4000000000000004</v>
      </c>
      <c r="N107" s="14">
        <f>IF('Données projet'!$A$36&gt;35,N106+M107-V106,IF(A107&lt;'Données projet'!$A$36,$K$205^A107,IF(A107='Données projet'!$A$36,'Données projet'!$B$36,N106+M107-V106)))</f>
        <v>278.60000000000002</v>
      </c>
      <c r="O107" s="14">
        <f>N107*VLOOKUP('Données projet'!$B$9,Paramètres!$A$1:$I$89,3,0)*VLOOKUP('Données projet'!$B$9,Paramètres!$A$1:$I$89,5,0)</f>
        <v>252.07728</v>
      </c>
      <c r="P107" s="14">
        <f t="shared" si="87"/>
        <v>61.030544652154987</v>
      </c>
      <c r="Q107" s="22">
        <f t="shared" si="107"/>
        <v>545.32946126916988</v>
      </c>
      <c r="R107" s="62">
        <f t="shared" si="55"/>
        <v>838.66279460250325</v>
      </c>
      <c r="S107" s="62">
        <f ca="1">AVERAGE(OFFSET($R$3,0,0,'Données projet'!$E$9+1,1))-AVERAGE(OFFSET($H$3,0,0,'Données projet'!$E$9+1,1))</f>
        <v>371.75294069149942</v>
      </c>
      <c r="T107" s="62">
        <f t="shared" si="88"/>
        <v>233.32640143610547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>
        <f>AI107*VLOOKUP('Données projet'!$B$10,Paramètres!$A$1:$I$89,3,0)*VLOOKUP('Données projet'!$B$10,Paramètres!$A$1:$I$89,5,0)</f>
        <v>0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405.09126081846171</v>
      </c>
      <c r="AO107" s="62">
        <f t="shared" si="90"/>
        <v>534.22295841722166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0.55570826243111526</v>
      </c>
      <c r="AV107" s="23">
        <f>EXP(-LN(2)/25)*AV106+(1-EXP(-LN(2)/25))/(LN(2)/25)*Calculateur!AQ107*Calculateur!AS107*VLOOKUP('Données projet'!$B$10,Paramètres!$A$1:$I$89,3,0)*0.475*44/12</f>
        <v>1.1202733526978408</v>
      </c>
      <c r="AW107" s="23">
        <f>EXP(-LN(2)/2)*AW106+(1-EXP(-LN(2)/2))/(LN(2)/2)*AQ107*AT107*VLOOKUP('Données projet'!$B$10,Paramètres!$A$1:$I$89,3,0)*0.475*44/12</f>
        <v>2.6918152036625984E-12</v>
      </c>
      <c r="AX107" s="23">
        <f t="shared" si="60"/>
        <v>1.6759816151316478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3.4106051316484809E-13</v>
      </c>
      <c r="BE107" s="14">
        <f>BD107*VLOOKUP('Données projet'!$B$11,Paramètres!$A$1:$I$89,3,0)*VLOOKUP('Données projet'!$B$11,Paramètres!$A$1:$I$89,5,0)</f>
        <v>1.9508661353029313E-13</v>
      </c>
      <c r="BF107" s="14">
        <f t="shared" si="91"/>
        <v>2.711421636700695E-12</v>
      </c>
      <c r="BG107" s="22">
        <f t="shared" si="61"/>
        <v>5.0621685358189711E-12</v>
      </c>
      <c r="BH107" s="62">
        <f t="shared" si="62"/>
        <v>293.33333333333837</v>
      </c>
      <c r="BI107" s="62">
        <f ca="1">AVERAGE(OFFSET($BH$3,0,0,'Données projet'!$E$11+1,1))-AVERAGE(OFFSET($H$3,0,0,'Données projet'!$E$11+1,1))</f>
        <v>258.09881752732008</v>
      </c>
      <c r="BJ107" s="62">
        <f t="shared" si="92"/>
        <v>214.72899476643335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0.80425279099378821</v>
      </c>
      <c r="BR107" s="23">
        <f>EXP(-LN(2)/2)*BR106+(1-EXP(-LN(2)/2))/(LN(2)/2)*BL107*BO107*VLOOKUP('Données projet'!$B$11,Paramètres!$A$1:$I$89,3,0)*0.475*44/12</f>
        <v>3.1672060851269268E-11</v>
      </c>
      <c r="BS107" s="24">
        <f t="shared" si="63"/>
        <v>0.80425279102546032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283</v>
      </c>
      <c r="L108" s="13">
        <f>VLOOKUP(A108,'Données projet'!$A$35:$I$55,9,0)</f>
        <v>4.4000000000000004</v>
      </c>
      <c r="M108" s="13">
        <f t="array" ref="M108">INDEX(L:L,MIN(IF(ISNUMBER(L108:L304),ROW(L108:L304),"")))</f>
        <v>4.4000000000000004</v>
      </c>
      <c r="N108" s="14">
        <f>IF('Données projet'!$A$36&gt;35,N107+M108-V107,IF(A108&lt;'Données projet'!$A$36,$K$205^A108,IF(A108='Données projet'!$A$36,'Données projet'!$B$36,N107+M108-V107)))</f>
        <v>283</v>
      </c>
      <c r="O108" s="14">
        <f>N108*VLOOKUP('Données projet'!$B$9,Paramètres!$A$1:$I$89,3,0)*VLOOKUP('Données projet'!$B$9,Paramètres!$A$1:$I$89,5,0)</f>
        <v>256.05840000000001</v>
      </c>
      <c r="P108" s="14">
        <f t="shared" si="87"/>
        <v>61.881442594256484</v>
      </c>
      <c r="Q108" s="22">
        <f t="shared" si="107"/>
        <v>553.74522585166335</v>
      </c>
      <c r="R108" s="62">
        <f t="shared" si="55"/>
        <v>847.07855918499672</v>
      </c>
      <c r="S108" s="62">
        <f ca="1">AVERAGE(OFFSET($R$3,0,0,'Données projet'!$E$9+1,1))-AVERAGE(OFFSET($H$3,0,0,'Données projet'!$E$9+1,1))</f>
        <v>371.75294069149942</v>
      </c>
      <c r="T108" s="62">
        <f t="shared" si="88"/>
        <v>233.32640143610547</v>
      </c>
      <c r="U108" s="16">
        <f>IF(ISNA(VLOOKUP(A108,'Données projet'!$A$35:$I$55,3,0)),0,VLOOKUP(A108,'Données projet'!$A$35:$I$55,3,0))</f>
        <v>17</v>
      </c>
      <c r="V108" s="16">
        <f>IF(ISNA(VLOOKUP(A108,'Données projet'!$A$35:$I$55,4,0)),0,VLOOKUP(A108,'Données projet'!$A$35:$I$55,4,0))</f>
        <v>20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>
        <f>AI108*VLOOKUP('Données projet'!$B$10,Paramètres!$A$1:$I$89,3,0)*VLOOKUP('Données projet'!$B$10,Paramètres!$A$1:$I$89,5,0)</f>
        <v>0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405.09126081846171</v>
      </c>
      <c r="AO108" s="62">
        <f t="shared" si="90"/>
        <v>534.22295841722166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0.54481116235341276</v>
      </c>
      <c r="AV108" s="23">
        <f>EXP(-LN(2)/25)*AV107+(1-EXP(-LN(2)/25))/(LN(2)/25)*Calculateur!AQ108*Calculateur!AS108*VLOOKUP('Données projet'!$B$10,Paramètres!$A$1:$I$89,3,0)*0.475*44/12</f>
        <v>1.089639418955703</v>
      </c>
      <c r="AW108" s="23">
        <f>EXP(-LN(2)/2)*AW107+(1-EXP(-LN(2)/2))/(LN(2)/2)*AQ108*AT108*VLOOKUP('Données projet'!$B$10,Paramètres!$A$1:$I$89,3,0)*0.475*44/12</f>
        <v>1.9034007842108708E-12</v>
      </c>
      <c r="AX108" s="23">
        <f t="shared" si="60"/>
        <v>1.6344505813110191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3.4106051316484809E-13</v>
      </c>
      <c r="BE108" s="14">
        <f>BD108*VLOOKUP('Données projet'!$B$11,Paramètres!$A$1:$I$89,3,0)*VLOOKUP('Données projet'!$B$11,Paramètres!$A$1:$I$89,5,0)</f>
        <v>1.9508661353029313E-13</v>
      </c>
      <c r="BF108" s="14">
        <f t="shared" si="91"/>
        <v>2.711421636700695E-12</v>
      </c>
      <c r="BG108" s="22">
        <f t="shared" si="61"/>
        <v>5.0621685358189711E-12</v>
      </c>
      <c r="BH108" s="62">
        <f t="shared" si="62"/>
        <v>293.33333333333837</v>
      </c>
      <c r="BI108" s="62">
        <f ca="1">AVERAGE(OFFSET($BH$3,0,0,'Données projet'!$E$11+1,1))-AVERAGE(OFFSET($H$3,0,0,'Données projet'!$E$11+1,1))</f>
        <v>258.09881752732008</v>
      </c>
      <c r="BJ108" s="62">
        <f t="shared" si="92"/>
        <v>214.72899476643335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0.78226045613024697</v>
      </c>
      <c r="BR108" s="23">
        <f>EXP(-LN(2)/2)*BR107+(1-EXP(-LN(2)/2))/(LN(2)/2)*BL108*BO108*VLOOKUP('Données projet'!$B$11,Paramètres!$A$1:$I$89,3,0)*0.475*44/12</f>
        <v>2.2395529002085476E-11</v>
      </c>
      <c r="BS108" s="24">
        <f t="shared" si="63"/>
        <v>0.7822604561526425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4</v>
      </c>
      <c r="N109" s="14">
        <f>IF('Données projet'!$A$36&gt;35,N108+M109-V108,IF(A109&lt;'Données projet'!$A$36,$K$205^A109,IF(A109='Données projet'!$A$36,'Données projet'!$B$36,N108+M109-V108)))</f>
        <v>267</v>
      </c>
      <c r="O109" s="14">
        <f>N109*VLOOKUP('Données projet'!$B$9,Paramètres!$A$1:$I$89,3,0)*VLOOKUP('Données projet'!$B$9,Paramètres!$A$1:$I$89,5,0)</f>
        <v>241.58159999999998</v>
      </c>
      <c r="P109" s="14">
        <f t="shared" si="87"/>
        <v>58.779689232021951</v>
      </c>
      <c r="Q109" s="22">
        <f t="shared" si="107"/>
        <v>523.12924541243819</v>
      </c>
      <c r="R109" s="62">
        <f t="shared" si="55"/>
        <v>816.46257874577145</v>
      </c>
      <c r="S109" s="62">
        <f ca="1">AVERAGE(OFFSET($R$3,0,0,'Données projet'!$E$9+1,1))-AVERAGE(OFFSET($H$3,0,0,'Données projet'!$E$9+1,1))</f>
        <v>371.75294069149942</v>
      </c>
      <c r="T109" s="62">
        <f t="shared" si="88"/>
        <v>233.32640143610547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>
        <f>AI109*VLOOKUP('Données projet'!$B$10,Paramètres!$A$1:$I$89,3,0)*VLOOKUP('Données projet'!$B$10,Paramètres!$A$1:$I$89,5,0)</f>
        <v>0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405.09126081846171</v>
      </c>
      <c r="AO109" s="62">
        <f t="shared" si="90"/>
        <v>534.22295841722166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0.53412774776165928</v>
      </c>
      <c r="AV109" s="23">
        <f>EXP(-LN(2)/25)*AV108+(1-EXP(-LN(2)/25))/(LN(2)/25)*Calculateur!AQ109*Calculateur!AS109*VLOOKUP('Données projet'!$B$10,Paramètres!$A$1:$I$89,3,0)*0.475*44/12</f>
        <v>1.0598431717427128</v>
      </c>
      <c r="AW109" s="23">
        <f>EXP(-LN(2)/2)*AW108+(1-EXP(-LN(2)/2))/(LN(2)/2)*AQ109*AT109*VLOOKUP('Données projet'!$B$10,Paramètres!$A$1:$I$89,3,0)*0.475*44/12</f>
        <v>1.3459076018312992E-12</v>
      </c>
      <c r="AX109" s="23">
        <f t="shared" si="60"/>
        <v>1.5939709195057179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3.4106051316484809E-13</v>
      </c>
      <c r="BE109" s="14">
        <f>BD109*VLOOKUP('Données projet'!$B$11,Paramètres!$A$1:$I$89,3,0)*VLOOKUP('Données projet'!$B$11,Paramètres!$A$1:$I$89,5,0)</f>
        <v>1.9508661353029313E-13</v>
      </c>
      <c r="BF109" s="14">
        <f t="shared" si="91"/>
        <v>2.711421636700695E-12</v>
      </c>
      <c r="BG109" s="22">
        <f t="shared" si="61"/>
        <v>5.0621685358189711E-12</v>
      </c>
      <c r="BH109" s="62">
        <f t="shared" si="62"/>
        <v>293.33333333333837</v>
      </c>
      <c r="BI109" s="62">
        <f ca="1">AVERAGE(OFFSET($BH$3,0,0,'Données projet'!$E$11+1,1))-AVERAGE(OFFSET($H$3,0,0,'Données projet'!$E$11+1,1))</f>
        <v>258.09881752732008</v>
      </c>
      <c r="BJ109" s="62">
        <f t="shared" si="92"/>
        <v>214.72899476643335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0.76086950282007582</v>
      </c>
      <c r="BR109" s="23">
        <f>EXP(-LN(2)/2)*BR108+(1-EXP(-LN(2)/2))/(LN(2)/2)*BL109*BO109*VLOOKUP('Données projet'!$B$11,Paramètres!$A$1:$I$89,3,0)*0.475*44/12</f>
        <v>1.5836030425634634E-11</v>
      </c>
      <c r="BS109" s="24">
        <f t="shared" si="63"/>
        <v>0.76086950283591182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4</v>
      </c>
      <c r="N110" s="14">
        <f>IF('Données projet'!$A$36&gt;35,N109+M110-V109,IF(A110&lt;'Données projet'!$A$36,$K$205^A110,IF(A110='Données projet'!$A$36,'Données projet'!$B$36,N109+M110-V109)))</f>
        <v>271</v>
      </c>
      <c r="O110" s="14">
        <f>N110*VLOOKUP('Données projet'!$B$9,Paramètres!$A$1:$I$89,3,0)*VLOOKUP('Données projet'!$B$9,Paramètres!$A$1:$I$89,5,0)</f>
        <v>245.20079999999999</v>
      </c>
      <c r="P110" s="14">
        <f t="shared" si="87"/>
        <v>59.557107941433735</v>
      </c>
      <c r="Q110" s="22">
        <f t="shared" si="107"/>
        <v>530.78668966466364</v>
      </c>
      <c r="R110" s="62">
        <f t="shared" si="55"/>
        <v>824.12002299799701</v>
      </c>
      <c r="S110" s="62">
        <f ca="1">AVERAGE(OFFSET($R$3,0,0,'Données projet'!$E$9+1,1))-AVERAGE(OFFSET($H$3,0,0,'Données projet'!$E$9+1,1))</f>
        <v>371.75294069149942</v>
      </c>
      <c r="T110" s="62">
        <f t="shared" si="88"/>
        <v>233.32640143610547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>
        <f>AI110*VLOOKUP('Données projet'!$B$10,Paramètres!$A$1:$I$89,3,0)*VLOOKUP('Données projet'!$B$10,Paramètres!$A$1:$I$89,5,0)</f>
        <v>0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405.09126081846171</v>
      </c>
      <c r="AO110" s="62">
        <f t="shared" si="90"/>
        <v>534.22295841722166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0.52365382841381058</v>
      </c>
      <c r="AV110" s="23">
        <f>EXP(-LN(2)/25)*AV109+(1-EXP(-LN(2)/25))/(LN(2)/25)*Calculateur!AQ110*Calculateur!AS110*VLOOKUP('Données projet'!$B$10,Paramètres!$A$1:$I$89,3,0)*0.475*44/12</f>
        <v>1.0308617044766781</v>
      </c>
      <c r="AW110" s="23">
        <f>EXP(-LN(2)/2)*AW109+(1-EXP(-LN(2)/2))/(LN(2)/2)*AQ110*AT110*VLOOKUP('Données projet'!$B$10,Paramètres!$A$1:$I$89,3,0)*0.475*44/12</f>
        <v>9.5170039210543539E-13</v>
      </c>
      <c r="AX110" s="23">
        <f t="shared" si="60"/>
        <v>1.5545155328914404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3.4106051316484809E-13</v>
      </c>
      <c r="BE110" s="14">
        <f>BD110*VLOOKUP('Données projet'!$B$11,Paramètres!$A$1:$I$89,3,0)*VLOOKUP('Données projet'!$B$11,Paramètres!$A$1:$I$89,5,0)</f>
        <v>1.9508661353029313E-13</v>
      </c>
      <c r="BF110" s="14">
        <f t="shared" si="91"/>
        <v>2.711421636700695E-12</v>
      </c>
      <c r="BG110" s="22">
        <f t="shared" si="61"/>
        <v>5.0621685358189711E-12</v>
      </c>
      <c r="BH110" s="62">
        <f t="shared" si="62"/>
        <v>293.33333333333837</v>
      </c>
      <c r="BI110" s="62">
        <f ca="1">AVERAGE(OFFSET($BH$3,0,0,'Données projet'!$E$11+1,1))-AVERAGE(OFFSET($H$3,0,0,'Données projet'!$E$11+1,1))</f>
        <v>258.09881752732008</v>
      </c>
      <c r="BJ110" s="62">
        <f t="shared" si="92"/>
        <v>214.72899476643335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0.74006348625307272</v>
      </c>
      <c r="BR110" s="23">
        <f>EXP(-LN(2)/2)*BR109+(1-EXP(-LN(2)/2))/(LN(2)/2)*BL110*BO110*VLOOKUP('Données projet'!$B$11,Paramètres!$A$1:$I$89,3,0)*0.475*44/12</f>
        <v>1.1197764501042738E-11</v>
      </c>
      <c r="BS110" s="24">
        <f t="shared" si="63"/>
        <v>0.74006348626427043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4</v>
      </c>
      <c r="N111" s="14">
        <f>IF('Données projet'!$A$36&gt;35,N110+M111-V110,IF(A111&lt;'Données projet'!$A$36,$K$205^A111,IF(A111='Données projet'!$A$36,'Données projet'!$B$36,N110+M111-V110)))</f>
        <v>275</v>
      </c>
      <c r="O111" s="14">
        <f>N111*VLOOKUP('Données projet'!$B$9,Paramètres!$A$1:$I$89,3,0)*VLOOKUP('Données projet'!$B$9,Paramètres!$A$1:$I$89,5,0)</f>
        <v>248.82000000000002</v>
      </c>
      <c r="P111" s="14">
        <f t="shared" si="87"/>
        <v>60.333192077890068</v>
      </c>
      <c r="Q111" s="22">
        <f t="shared" si="107"/>
        <v>538.44180953565854</v>
      </c>
      <c r="R111" s="62">
        <f t="shared" si="55"/>
        <v>831.77514286899191</v>
      </c>
      <c r="S111" s="62">
        <f ca="1">AVERAGE(OFFSET($R$3,0,0,'Données projet'!$E$9+1,1))-AVERAGE(OFFSET($H$3,0,0,'Données projet'!$E$9+1,1))</f>
        <v>371.75294069149942</v>
      </c>
      <c r="T111" s="62">
        <f t="shared" si="88"/>
        <v>233.32640143610547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>
        <f>AI111*VLOOKUP('Données projet'!$B$10,Paramètres!$A$1:$I$89,3,0)*VLOOKUP('Données projet'!$B$10,Paramètres!$A$1:$I$89,5,0)</f>
        <v>0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405.09126081846171</v>
      </c>
      <c r="AO111" s="62">
        <f t="shared" si="90"/>
        <v>534.22295841722166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0.51338529623591322</v>
      </c>
      <c r="AV111" s="23">
        <f>EXP(-LN(2)/25)*AV110+(1-EXP(-LN(2)/25))/(LN(2)/25)*Calculateur!AQ111*Calculateur!AS111*VLOOKUP('Données projet'!$B$10,Paramètres!$A$1:$I$89,3,0)*0.475*44/12</f>
        <v>1.0026727369571025</v>
      </c>
      <c r="AW111" s="23">
        <f>EXP(-LN(2)/2)*AW110+(1-EXP(-LN(2)/2))/(LN(2)/2)*AQ111*AT111*VLOOKUP('Données projet'!$B$10,Paramètres!$A$1:$I$89,3,0)*0.475*44/12</f>
        <v>6.7295380091564961E-13</v>
      </c>
      <c r="AX111" s="23">
        <f t="shared" si="60"/>
        <v>1.5160580331936886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3.4106051316484809E-13</v>
      </c>
      <c r="BE111" s="14">
        <f>BD111*VLOOKUP('Données projet'!$B$11,Paramètres!$A$1:$I$89,3,0)*VLOOKUP('Données projet'!$B$11,Paramètres!$A$1:$I$89,5,0)</f>
        <v>1.9508661353029313E-13</v>
      </c>
      <c r="BF111" s="14">
        <f t="shared" si="91"/>
        <v>2.711421636700695E-12</v>
      </c>
      <c r="BG111" s="22">
        <f t="shared" si="61"/>
        <v>5.0621685358189711E-12</v>
      </c>
      <c r="BH111" s="62">
        <f t="shared" si="62"/>
        <v>293.33333333333837</v>
      </c>
      <c r="BI111" s="62">
        <f ca="1">AVERAGE(OFFSET($BH$3,0,0,'Données projet'!$E$11+1,1))-AVERAGE(OFFSET($H$3,0,0,'Données projet'!$E$11+1,1))</f>
        <v>258.09881752732008</v>
      </c>
      <c r="BJ111" s="62">
        <f t="shared" si="92"/>
        <v>214.72899476643335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0.7198264113032351</v>
      </c>
      <c r="BR111" s="23">
        <f>EXP(-LN(2)/2)*BR110+(1-EXP(-LN(2)/2))/(LN(2)/2)*BL111*BO111*VLOOKUP('Données projet'!$B$11,Paramètres!$A$1:$I$89,3,0)*0.475*44/12</f>
        <v>7.9180152128173169E-12</v>
      </c>
      <c r="BS111" s="24">
        <f t="shared" si="63"/>
        <v>0.7198264113111531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4</v>
      </c>
      <c r="N112" s="14">
        <f>IF('Données projet'!$A$36&gt;35,N111+M112-V111,IF(A112&lt;'Données projet'!$A$36,$K$205^A112,IF(A112='Données projet'!$A$36,'Données projet'!$B$36,N111+M112-V111)))</f>
        <v>279</v>
      </c>
      <c r="O112" s="14">
        <f>N112*VLOOKUP('Données projet'!$B$9,Paramètres!$A$1:$I$89,3,0)*VLOOKUP('Données projet'!$B$9,Paramètres!$A$1:$I$89,5,0)</f>
        <v>252.4392</v>
      </c>
      <c r="P112" s="14">
        <f t="shared" si="87"/>
        <v>61.107963296116218</v>
      </c>
      <c r="Q112" s="22">
        <f t="shared" si="107"/>
        <v>546.09464274073571</v>
      </c>
      <c r="R112" s="62">
        <f t="shared" si="55"/>
        <v>839.42797607406897</v>
      </c>
      <c r="S112" s="62">
        <f ca="1">AVERAGE(OFFSET($R$3,0,0,'Données projet'!$E$9+1,1))-AVERAGE(OFFSET($H$3,0,0,'Données projet'!$E$9+1,1))</f>
        <v>371.75294069149942</v>
      </c>
      <c r="T112" s="62">
        <f t="shared" si="88"/>
        <v>233.32640143610547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>
        <f>AI112*VLOOKUP('Données projet'!$B$10,Paramètres!$A$1:$I$89,3,0)*VLOOKUP('Données projet'!$B$10,Paramètres!$A$1:$I$89,5,0)</f>
        <v>0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405.09126081846171</v>
      </c>
      <c r="AO112" s="62">
        <f t="shared" si="90"/>
        <v>534.22295841722166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0.50331812371083828</v>
      </c>
      <c r="AV112" s="23">
        <f>EXP(-LN(2)/25)*AV111+(1-EXP(-LN(2)/25))/(LN(2)/25)*Calculateur!AQ112*Calculateur!AS112*VLOOKUP('Données projet'!$B$10,Paramètres!$A$1:$I$89,3,0)*0.475*44/12</f>
        <v>0.97525459823674288</v>
      </c>
      <c r="AW112" s="23">
        <f>EXP(-LN(2)/2)*AW111+(1-EXP(-LN(2)/2))/(LN(2)/2)*AQ112*AT112*VLOOKUP('Données projet'!$B$10,Paramètres!$A$1:$I$89,3,0)*0.475*44/12</f>
        <v>4.758501960527177E-13</v>
      </c>
      <c r="AX112" s="23">
        <f t="shared" si="60"/>
        <v>1.4785727219480569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3.4106051316484809E-13</v>
      </c>
      <c r="BE112" s="14">
        <f>BD112*VLOOKUP('Données projet'!$B$11,Paramètres!$A$1:$I$89,3,0)*VLOOKUP('Données projet'!$B$11,Paramètres!$A$1:$I$89,5,0)</f>
        <v>1.9508661353029313E-13</v>
      </c>
      <c r="BF112" s="14">
        <f t="shared" si="91"/>
        <v>2.711421636700695E-12</v>
      </c>
      <c r="BG112" s="22">
        <f t="shared" si="61"/>
        <v>5.0621685358189711E-12</v>
      </c>
      <c r="BH112" s="62">
        <f t="shared" si="62"/>
        <v>293.33333333333837</v>
      </c>
      <c r="BI112" s="62">
        <f ca="1">AVERAGE(OFFSET($BH$3,0,0,'Données projet'!$E$11+1,1))-AVERAGE(OFFSET($H$3,0,0,'Données projet'!$E$11+1,1))</f>
        <v>258.09881752732008</v>
      </c>
      <c r="BJ112" s="62">
        <f t="shared" si="92"/>
        <v>214.72899476643335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0.70014272023212232</v>
      </c>
      <c r="BR112" s="23">
        <f>EXP(-LN(2)/2)*BR111+(1-EXP(-LN(2)/2))/(LN(2)/2)*BL112*BO112*VLOOKUP('Données projet'!$B$11,Paramètres!$A$1:$I$89,3,0)*0.475*44/12</f>
        <v>5.5988822505213691E-12</v>
      </c>
      <c r="BS112" s="24">
        <f t="shared" si="63"/>
        <v>0.70014272023772117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283</v>
      </c>
      <c r="L113" s="13">
        <f>VLOOKUP(A113,'Données projet'!$A$35:$I$55,9,0)</f>
        <v>4</v>
      </c>
      <c r="M113" s="13">
        <f t="array" ref="M113">INDEX(L:L,MIN(IF(ISNUMBER(L113:L309),ROW(L113:L309),"")))</f>
        <v>4</v>
      </c>
      <c r="N113" s="14">
        <f>IF('Données projet'!$A$36&gt;35,N112+M113-V112,IF(A113&lt;'Données projet'!$A$36,$K$205^A113,IF(A113='Données projet'!$A$36,'Données projet'!$B$36,N112+M113-V112)))</f>
        <v>283</v>
      </c>
      <c r="O113" s="14">
        <f>N113*VLOOKUP('Données projet'!$B$9,Paramètres!$A$1:$I$89,3,0)*VLOOKUP('Données projet'!$B$9,Paramètres!$A$1:$I$89,5,0)</f>
        <v>256.05840000000001</v>
      </c>
      <c r="P113" s="14">
        <f t="shared" si="87"/>
        <v>61.881442594256484</v>
      </c>
      <c r="Q113" s="22">
        <f t="shared" si="107"/>
        <v>553.74522585166335</v>
      </c>
      <c r="R113" s="62">
        <f t="shared" si="55"/>
        <v>847.07855918499672</v>
      </c>
      <c r="S113" s="62">
        <f ca="1">AVERAGE(OFFSET($R$3,0,0,'Données projet'!$E$9+1,1))-AVERAGE(OFFSET($H$3,0,0,'Données projet'!$E$9+1,1))</f>
        <v>371.75294069149942</v>
      </c>
      <c r="T113" s="62">
        <f t="shared" si="88"/>
        <v>233.32640143610547</v>
      </c>
      <c r="U113" s="16">
        <f>IF(ISNA(VLOOKUP(A113,'Données projet'!$A$35:$I$55,3,0)),0,VLOOKUP(A113,'Données projet'!$A$35:$I$55,3,0))</f>
        <v>18</v>
      </c>
      <c r="V113" s="16">
        <f>IF(ISNA(VLOOKUP(A113,'Données projet'!$A$35:$I$55,4,0)),0,VLOOKUP(A113,'Données projet'!$A$35:$I$55,4,0))</f>
        <v>19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>
        <f>AI113*VLOOKUP('Données projet'!$B$10,Paramètres!$A$1:$I$89,3,0)*VLOOKUP('Données projet'!$B$10,Paramètres!$A$1:$I$89,5,0)</f>
        <v>0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405.09126081846171</v>
      </c>
      <c r="AO113" s="62">
        <f t="shared" si="90"/>
        <v>534.22295841722166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0.49344836229861111</v>
      </c>
      <c r="AV113" s="23">
        <f>EXP(-LN(2)/25)*AV112+(1-EXP(-LN(2)/25))/(LN(2)/25)*Calculateur!AQ113*Calculateur!AS113*VLOOKUP('Données projet'!$B$10,Paramètres!$A$1:$I$89,3,0)*0.475*44/12</f>
        <v>0.94858620996154874</v>
      </c>
      <c r="AW113" s="23">
        <f>EXP(-LN(2)/2)*AW112+(1-EXP(-LN(2)/2))/(LN(2)/2)*AQ113*AT113*VLOOKUP('Données projet'!$B$10,Paramètres!$A$1:$I$89,3,0)*0.475*44/12</f>
        <v>3.364769004578248E-13</v>
      </c>
      <c r="AX113" s="23">
        <f t="shared" si="60"/>
        <v>1.4420345722604961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3.4106051316484809E-13</v>
      </c>
      <c r="BE113" s="14">
        <f>BD113*VLOOKUP('Données projet'!$B$11,Paramètres!$A$1:$I$89,3,0)*VLOOKUP('Données projet'!$B$11,Paramètres!$A$1:$I$89,5,0)</f>
        <v>1.9508661353029313E-13</v>
      </c>
      <c r="BF113" s="14">
        <f t="shared" si="91"/>
        <v>2.711421636700695E-12</v>
      </c>
      <c r="BG113" s="22">
        <f t="shared" si="61"/>
        <v>5.0621685358189711E-12</v>
      </c>
      <c r="BH113" s="62">
        <f t="shared" si="62"/>
        <v>293.33333333333837</v>
      </c>
      <c r="BI113" s="62">
        <f ca="1">AVERAGE(OFFSET($BH$3,0,0,'Données projet'!$E$11+1,1))-AVERAGE(OFFSET($H$3,0,0,'Données projet'!$E$11+1,1))</f>
        <v>258.09881752732008</v>
      </c>
      <c r="BJ113" s="62">
        <f t="shared" si="92"/>
        <v>214.72899476643335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0.68099728072846943</v>
      </c>
      <c r="BR113" s="23">
        <f>EXP(-LN(2)/2)*BR112+(1-EXP(-LN(2)/2))/(LN(2)/2)*BL113*BO113*VLOOKUP('Données projet'!$B$11,Paramètres!$A$1:$I$89,3,0)*0.475*44/12</f>
        <v>3.9590076064086585E-12</v>
      </c>
      <c r="BS113" s="24">
        <f t="shared" si="63"/>
        <v>0.68099728073242849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3.8</v>
      </c>
      <c r="N114" s="14">
        <f>IF('Données projet'!$A$36&gt;35,N113+M114-V113,IF(A114&lt;'Données projet'!$A$36,$K$205^A114,IF(A114='Données projet'!$A$36,'Données projet'!$B$36,N113+M114-V113)))</f>
        <v>267.8</v>
      </c>
      <c r="O114" s="14">
        <f>N114*VLOOKUP('Données projet'!$B$9,Paramètres!$A$1:$I$89,3,0)*VLOOKUP('Données projet'!$B$9,Paramètres!$A$1:$I$89,5,0)</f>
        <v>242.30543999999998</v>
      </c>
      <c r="P114" s="14">
        <f t="shared" si="87"/>
        <v>58.935280802002701</v>
      </c>
      <c r="Q114" s="22">
        <f t="shared" si="107"/>
        <v>524.66092206348787</v>
      </c>
      <c r="R114" s="62">
        <f t="shared" si="55"/>
        <v>817.99425539682125</v>
      </c>
      <c r="S114" s="62">
        <f ca="1">AVERAGE(OFFSET($R$3,0,0,'Données projet'!$E$9+1,1))-AVERAGE(OFFSET($H$3,0,0,'Données projet'!$E$9+1,1))</f>
        <v>371.75294069149942</v>
      </c>
      <c r="T114" s="62">
        <f t="shared" si="88"/>
        <v>233.32640143610547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>
        <f>AI114*VLOOKUP('Données projet'!$B$10,Paramètres!$A$1:$I$89,3,0)*VLOOKUP('Données projet'!$B$10,Paramètres!$A$1:$I$89,5,0)</f>
        <v>0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405.09126081846171</v>
      </c>
      <c r="AO114" s="62">
        <f t="shared" si="90"/>
        <v>534.22295841722166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0.48377214088771764</v>
      </c>
      <c r="AV114" s="23">
        <f>EXP(-LN(2)/25)*AV113+(1-EXP(-LN(2)/25))/(LN(2)/25)*Calculateur!AQ114*Calculateur!AS114*VLOOKUP('Données projet'!$B$10,Paramètres!$A$1:$I$89,3,0)*0.475*44/12</f>
        <v>0.92264707016616943</v>
      </c>
      <c r="AW114" s="23">
        <f>EXP(-LN(2)/2)*AW113+(1-EXP(-LN(2)/2))/(LN(2)/2)*AQ114*AT114*VLOOKUP('Données projet'!$B$10,Paramètres!$A$1:$I$89,3,0)*0.475*44/12</f>
        <v>2.3792509802635885E-13</v>
      </c>
      <c r="AX114" s="23">
        <f t="shared" si="60"/>
        <v>1.4064192110541252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3.4106051316484809E-13</v>
      </c>
      <c r="BE114" s="14">
        <f>BD114*VLOOKUP('Données projet'!$B$11,Paramètres!$A$1:$I$89,3,0)*VLOOKUP('Données projet'!$B$11,Paramètres!$A$1:$I$89,5,0)</f>
        <v>1.9508661353029313E-13</v>
      </c>
      <c r="BF114" s="14">
        <f t="shared" si="91"/>
        <v>2.711421636700695E-12</v>
      </c>
      <c r="BG114" s="22">
        <f t="shared" si="61"/>
        <v>5.0621685358189711E-12</v>
      </c>
      <c r="BH114" s="62">
        <f t="shared" si="62"/>
        <v>293.33333333333837</v>
      </c>
      <c r="BI114" s="62">
        <f ca="1">AVERAGE(OFFSET($BH$3,0,0,'Données projet'!$E$11+1,1))-AVERAGE(OFFSET($H$3,0,0,'Données projet'!$E$11+1,1))</f>
        <v>258.09881752732008</v>
      </c>
      <c r="BJ114" s="62">
        <f t="shared" si="92"/>
        <v>214.72899476643335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0.66237537427485893</v>
      </c>
      <c r="BR114" s="23">
        <f>EXP(-LN(2)/2)*BR113+(1-EXP(-LN(2)/2))/(LN(2)/2)*BL114*BO114*VLOOKUP('Données projet'!$B$11,Paramètres!$A$1:$I$89,3,0)*0.475*44/12</f>
        <v>2.7994411252606846E-12</v>
      </c>
      <c r="BS114" s="24">
        <f t="shared" si="63"/>
        <v>0.66237537427765836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3.8</v>
      </c>
      <c r="N115" s="14">
        <f>IF('Données projet'!$A$36&gt;35,N114+M115-V114,IF(A115&lt;'Données projet'!$A$36,$K$205^A115,IF(A115='Données projet'!$A$36,'Données projet'!$B$36,N114+M115-V114)))</f>
        <v>271.60000000000002</v>
      </c>
      <c r="O115" s="14">
        <f>N115*VLOOKUP('Données projet'!$B$9,Paramètres!$A$1:$I$89,3,0)*VLOOKUP('Données projet'!$B$9,Paramètres!$A$1:$I$89,5,0)</f>
        <v>245.74367999999998</v>
      </c>
      <c r="P115" s="14">
        <f t="shared" si="87"/>
        <v>59.673605104126452</v>
      </c>
      <c r="Q115" s="22">
        <f t="shared" si="107"/>
        <v>531.93510488968684</v>
      </c>
      <c r="R115" s="62">
        <f t="shared" si="55"/>
        <v>825.26843822302021</v>
      </c>
      <c r="S115" s="62">
        <f ca="1">AVERAGE(OFFSET($R$3,0,0,'Données projet'!$E$9+1,1))-AVERAGE(OFFSET($H$3,0,0,'Données projet'!$E$9+1,1))</f>
        <v>371.75294069149942</v>
      </c>
      <c r="T115" s="62">
        <f t="shared" si="88"/>
        <v>233.32640143610547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>
        <f>AI115*VLOOKUP('Données projet'!$B$10,Paramètres!$A$1:$I$89,3,0)*VLOOKUP('Données projet'!$B$10,Paramètres!$A$1:$I$89,5,0)</f>
        <v>0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405.09126081846171</v>
      </c>
      <c r="AO115" s="62">
        <f t="shared" si="90"/>
        <v>534.22295841722166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0.47428566427677948</v>
      </c>
      <c r="AV115" s="23">
        <f>EXP(-LN(2)/25)*AV114+(1-EXP(-LN(2)/25))/(LN(2)/25)*Calculateur!AQ115*Calculateur!AS115*VLOOKUP('Données projet'!$B$10,Paramètres!$A$1:$I$89,3,0)*0.475*44/12</f>
        <v>0.89741723751257485</v>
      </c>
      <c r="AW115" s="23">
        <f>EXP(-LN(2)/2)*AW114+(1-EXP(-LN(2)/2))/(LN(2)/2)*AQ115*AT115*VLOOKUP('Données projet'!$B$10,Paramètres!$A$1:$I$89,3,0)*0.475*44/12</f>
        <v>1.682384502289124E-13</v>
      </c>
      <c r="AX115" s="23">
        <f t="shared" si="60"/>
        <v>1.3717029017895226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3.4106051316484809E-13</v>
      </c>
      <c r="BE115" s="14">
        <f>BD115*VLOOKUP('Données projet'!$B$11,Paramètres!$A$1:$I$89,3,0)*VLOOKUP('Données projet'!$B$11,Paramètres!$A$1:$I$89,5,0)</f>
        <v>1.9508661353029313E-13</v>
      </c>
      <c r="BF115" s="14">
        <f t="shared" si="91"/>
        <v>2.711421636700695E-12</v>
      </c>
      <c r="BG115" s="22">
        <f t="shared" si="61"/>
        <v>5.0621685358189711E-12</v>
      </c>
      <c r="BH115" s="62">
        <f t="shared" si="62"/>
        <v>293.33333333333837</v>
      </c>
      <c r="BI115" s="62">
        <f ca="1">AVERAGE(OFFSET($BH$3,0,0,'Données projet'!$E$11+1,1))-AVERAGE(OFFSET($H$3,0,0,'Données projet'!$E$11+1,1))</f>
        <v>258.09881752732008</v>
      </c>
      <c r="BJ115" s="62">
        <f t="shared" si="92"/>
        <v>214.72899476643335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0.64426268483250582</v>
      </c>
      <c r="BR115" s="23">
        <f>EXP(-LN(2)/2)*BR114+(1-EXP(-LN(2)/2))/(LN(2)/2)*BL115*BO115*VLOOKUP('Données projet'!$B$11,Paramètres!$A$1:$I$89,3,0)*0.475*44/12</f>
        <v>1.9795038032043292E-12</v>
      </c>
      <c r="BS115" s="24">
        <f t="shared" si="63"/>
        <v>0.64426268483448534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3.8</v>
      </c>
      <c r="N116" s="14">
        <f>IF('Données projet'!$A$36&gt;35,N115+M116-V115,IF(A116&lt;'Données projet'!$A$36,$K$205^A116,IF(A116='Données projet'!$A$36,'Données projet'!$B$36,N115+M116-V115)))</f>
        <v>275.40000000000003</v>
      </c>
      <c r="O116" s="14">
        <f>N116*VLOOKUP('Données projet'!$B$9,Paramètres!$A$1:$I$89,3,0)*VLOOKUP('Données projet'!$B$9,Paramètres!$A$1:$I$89,5,0)</f>
        <v>249.18192000000002</v>
      </c>
      <c r="P116" s="14">
        <f t="shared" si="87"/>
        <v>60.410727929515595</v>
      </c>
      <c r="Q116" s="22">
        <f t="shared" si="107"/>
        <v>539.20719514390646</v>
      </c>
      <c r="R116" s="62">
        <f t="shared" si="55"/>
        <v>832.54052847723983</v>
      </c>
      <c r="S116" s="62">
        <f ca="1">AVERAGE(OFFSET($R$3,0,0,'Données projet'!$E$9+1,1))-AVERAGE(OFFSET($H$3,0,0,'Données projet'!$E$9+1,1))</f>
        <v>371.75294069149942</v>
      </c>
      <c r="T116" s="62">
        <f t="shared" si="88"/>
        <v>233.32640143610547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>
        <f>AI116*VLOOKUP('Données projet'!$B$10,Paramètres!$A$1:$I$89,3,0)*VLOOKUP('Données projet'!$B$10,Paramètres!$A$1:$I$89,5,0)</f>
        <v>0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405.09126081846171</v>
      </c>
      <c r="AO116" s="62">
        <f t="shared" si="90"/>
        <v>534.22295841722166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0.46498521168600243</v>
      </c>
      <c r="AV116" s="23">
        <f>EXP(-LN(2)/25)*AV115+(1-EXP(-LN(2)/25))/(LN(2)/25)*Calculateur!AQ116*Calculateur!AS116*VLOOKUP('Données projet'!$B$10,Paramètres!$A$1:$I$89,3,0)*0.475*44/12</f>
        <v>0.872877315959672</v>
      </c>
      <c r="AW116" s="23">
        <f>EXP(-LN(2)/2)*AW115+(1-EXP(-LN(2)/2))/(LN(2)/2)*AQ116*AT116*VLOOKUP('Données projet'!$B$10,Paramètres!$A$1:$I$89,3,0)*0.475*44/12</f>
        <v>1.1896254901317942E-13</v>
      </c>
      <c r="AX116" s="23">
        <f t="shared" si="60"/>
        <v>1.3378625276457934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3.4106051316484809E-13</v>
      </c>
      <c r="BE116" s="14">
        <f>BD116*VLOOKUP('Données projet'!$B$11,Paramètres!$A$1:$I$89,3,0)*VLOOKUP('Données projet'!$B$11,Paramètres!$A$1:$I$89,5,0)</f>
        <v>1.9508661353029313E-13</v>
      </c>
      <c r="BF116" s="14">
        <f t="shared" si="91"/>
        <v>2.711421636700695E-12</v>
      </c>
      <c r="BG116" s="22">
        <f t="shared" si="61"/>
        <v>5.0621685358189711E-12</v>
      </c>
      <c r="BH116" s="62">
        <f t="shared" si="62"/>
        <v>293.33333333333837</v>
      </c>
      <c r="BI116" s="62">
        <f ca="1">AVERAGE(OFFSET($BH$3,0,0,'Données projet'!$E$11+1,1))-AVERAGE(OFFSET($H$3,0,0,'Données projet'!$E$11+1,1))</f>
        <v>258.09881752732008</v>
      </c>
      <c r="BJ116" s="62">
        <f t="shared" si="92"/>
        <v>214.72899476643335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0.62664528783545881</v>
      </c>
      <c r="BR116" s="23">
        <f>EXP(-LN(2)/2)*BR115+(1-EXP(-LN(2)/2))/(LN(2)/2)*BL116*BO116*VLOOKUP('Données projet'!$B$11,Paramètres!$A$1:$I$89,3,0)*0.475*44/12</f>
        <v>1.3997205626303423E-12</v>
      </c>
      <c r="BS116" s="24">
        <f t="shared" si="63"/>
        <v>0.62664528783685858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3.8</v>
      </c>
      <c r="N117" s="14">
        <f>IF('Données projet'!$A$36&gt;35,N116+M117-V116,IF(A117&lt;'Données projet'!$A$36,$K$205^A117,IF(A117='Données projet'!$A$36,'Données projet'!$B$36,N116+M117-V116)))</f>
        <v>279.20000000000005</v>
      </c>
      <c r="O117" s="14">
        <f>N117*VLOOKUP('Données projet'!$B$9,Paramètres!$A$1:$I$89,3,0)*VLOOKUP('Données projet'!$B$9,Paramètres!$A$1:$I$89,5,0)</f>
        <v>252.62016000000003</v>
      </c>
      <c r="P117" s="14">
        <f t="shared" si="87"/>
        <v>61.14666777229877</v>
      </c>
      <c r="Q117" s="22">
        <f t="shared" si="107"/>
        <v>546.47722503675379</v>
      </c>
      <c r="R117" s="62">
        <f t="shared" si="55"/>
        <v>839.81055837008716</v>
      </c>
      <c r="S117" s="62">
        <f ca="1">AVERAGE(OFFSET($R$3,0,0,'Données projet'!$E$9+1,1))-AVERAGE(OFFSET($H$3,0,0,'Données projet'!$E$9+1,1))</f>
        <v>371.75294069149942</v>
      </c>
      <c r="T117" s="62">
        <f t="shared" si="88"/>
        <v>233.32640143610547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>
        <f>AI117*VLOOKUP('Données projet'!$B$10,Paramètres!$A$1:$I$89,3,0)*VLOOKUP('Données projet'!$B$10,Paramètres!$A$1:$I$89,5,0)</f>
        <v>0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405.09126081846171</v>
      </c>
      <c r="AO117" s="62">
        <f t="shared" si="90"/>
        <v>534.22295841722166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0.45586713529781459</v>
      </c>
      <c r="AV117" s="23">
        <f>EXP(-LN(2)/25)*AV116+(1-EXP(-LN(2)/25))/(LN(2)/25)*Calculateur!AQ117*Calculateur!AS117*VLOOKUP('Données projet'!$B$10,Paramètres!$A$1:$I$89,3,0)*0.475*44/12</f>
        <v>0.8490084398521317</v>
      </c>
      <c r="AW117" s="23">
        <f>EXP(-LN(2)/2)*AW116+(1-EXP(-LN(2)/2))/(LN(2)/2)*AQ117*AT117*VLOOKUP('Données projet'!$B$10,Paramètres!$A$1:$I$89,3,0)*0.475*44/12</f>
        <v>8.4119225114456201E-14</v>
      </c>
      <c r="AX117" s="23">
        <f t="shared" si="60"/>
        <v>1.3048755751500305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3.4106051316484809E-13</v>
      </c>
      <c r="BE117" s="14">
        <f>BD117*VLOOKUP('Données projet'!$B$11,Paramètres!$A$1:$I$89,3,0)*VLOOKUP('Données projet'!$B$11,Paramètres!$A$1:$I$89,5,0)</f>
        <v>1.9508661353029313E-13</v>
      </c>
      <c r="BF117" s="14">
        <f t="shared" si="91"/>
        <v>2.711421636700695E-12</v>
      </c>
      <c r="BG117" s="22">
        <f t="shared" si="61"/>
        <v>5.0621685358189711E-12</v>
      </c>
      <c r="BH117" s="62">
        <f t="shared" si="62"/>
        <v>293.33333333333837</v>
      </c>
      <c r="BI117" s="62">
        <f ca="1">AVERAGE(OFFSET($BH$3,0,0,'Données projet'!$E$11+1,1))-AVERAGE(OFFSET($H$3,0,0,'Données projet'!$E$11+1,1))</f>
        <v>258.09881752732008</v>
      </c>
      <c r="BJ117" s="62">
        <f t="shared" si="92"/>
        <v>214.72899476643335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0.60950963948575476</v>
      </c>
      <c r="BR117" s="23">
        <f>EXP(-LN(2)/2)*BR116+(1-EXP(-LN(2)/2))/(LN(2)/2)*BL117*BO117*VLOOKUP('Données projet'!$B$11,Paramètres!$A$1:$I$89,3,0)*0.475*44/12</f>
        <v>9.8975190160216462E-13</v>
      </c>
      <c r="BS117" s="24">
        <f t="shared" si="63"/>
        <v>0.60950963948674453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>
        <f>VLOOKUP(A118,'Données projet'!$A$35:$I$55,2,0)</f>
        <v>283</v>
      </c>
      <c r="L118" s="13">
        <f>VLOOKUP(A118,'Données projet'!$A$35:$I$55,9,0)</f>
        <v>3.8</v>
      </c>
      <c r="M118" s="13">
        <f t="array" ref="M118">INDEX(L:L,MIN(IF(ISNUMBER(L118:L314),ROW(L118:L314),"")))</f>
        <v>3.8</v>
      </c>
      <c r="N118" s="14">
        <f>IF('Données projet'!$A$36&gt;35,N117+M118-V117,IF(A118&lt;'Données projet'!$A$36,$K$205^A118,IF(A118='Données projet'!$A$36,'Données projet'!$B$36,N117+M118-V117)))</f>
        <v>283.00000000000006</v>
      </c>
      <c r="O118" s="14">
        <f>N118*VLOOKUP('Données projet'!$B$9,Paramètres!$A$1:$I$89,3,0)*VLOOKUP('Données projet'!$B$9,Paramètres!$A$1:$I$89,5,0)</f>
        <v>256.05840000000001</v>
      </c>
      <c r="P118" s="14">
        <f t="shared" si="87"/>
        <v>61.881442594256484</v>
      </c>
      <c r="Q118" s="22">
        <f t="shared" si="107"/>
        <v>553.74522585166335</v>
      </c>
      <c r="R118" s="62">
        <f t="shared" si="55"/>
        <v>847.07855918499672</v>
      </c>
      <c r="S118" s="62">
        <f ca="1">AVERAGE(OFFSET($R$3,0,0,'Données projet'!$E$9+1,1))-AVERAGE(OFFSET($H$3,0,0,'Données projet'!$E$9+1,1))</f>
        <v>371.75294069149942</v>
      </c>
      <c r="T118" s="62">
        <f t="shared" si="88"/>
        <v>233.32640143610547</v>
      </c>
      <c r="U118" s="16">
        <f>IF(ISNA(VLOOKUP(A118,'Données projet'!$A$35:$I$55,3,0)),0,VLOOKUP(A118,'Données projet'!$A$35:$I$55,3,0))</f>
        <v>19</v>
      </c>
      <c r="V118" s="16">
        <f>IF(ISNA(VLOOKUP(A118,'Données projet'!$A$35:$I$55,4,0)),0,VLOOKUP(A118,'Données projet'!$A$35:$I$55,4,0))</f>
        <v>18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>
        <f>AI118*VLOOKUP('Données projet'!$B$10,Paramètres!$A$1:$I$89,3,0)*VLOOKUP('Données projet'!$B$10,Paramètres!$A$1:$I$89,5,0)</f>
        <v>0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405.09126081846171</v>
      </c>
      <c r="AO118" s="62">
        <f t="shared" si="90"/>
        <v>534.22295841722166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0.44692785882612168</v>
      </c>
      <c r="AV118" s="23">
        <f>EXP(-LN(2)/25)*AV117+(1-EXP(-LN(2)/25))/(LN(2)/25)*Calculateur!AQ118*Calculateur!AS118*VLOOKUP('Données projet'!$B$10,Paramètres!$A$1:$I$89,3,0)*0.475*44/12</f>
        <v>0.82579225941696177</v>
      </c>
      <c r="AW118" s="23">
        <f>EXP(-LN(2)/2)*AW117+(1-EXP(-LN(2)/2))/(LN(2)/2)*AQ118*AT118*VLOOKUP('Données projet'!$B$10,Paramètres!$A$1:$I$89,3,0)*0.475*44/12</f>
        <v>5.9481274506589712E-14</v>
      </c>
      <c r="AX118" s="23">
        <f t="shared" si="60"/>
        <v>1.2727201182431429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3.4106051316484809E-13</v>
      </c>
      <c r="BE118" s="14">
        <f>BD118*VLOOKUP('Données projet'!$B$11,Paramètres!$A$1:$I$89,3,0)*VLOOKUP('Données projet'!$B$11,Paramètres!$A$1:$I$89,5,0)</f>
        <v>1.9508661353029313E-13</v>
      </c>
      <c r="BF118" s="14">
        <f t="shared" si="91"/>
        <v>2.711421636700695E-12</v>
      </c>
      <c r="BG118" s="22">
        <f t="shared" si="61"/>
        <v>5.0621685358189711E-12</v>
      </c>
      <c r="BH118" s="62">
        <f t="shared" si="62"/>
        <v>293.33333333333837</v>
      </c>
      <c r="BI118" s="62">
        <f ca="1">AVERAGE(OFFSET($BH$3,0,0,'Données projet'!$E$11+1,1))-AVERAGE(OFFSET($H$3,0,0,'Données projet'!$E$11+1,1))</f>
        <v>258.09881752732008</v>
      </c>
      <c r="BJ118" s="62">
        <f t="shared" si="92"/>
        <v>214.72899476643335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0.59284256634129795</v>
      </c>
      <c r="BR118" s="23">
        <f>EXP(-LN(2)/2)*BR117+(1-EXP(-LN(2)/2))/(LN(2)/2)*BL118*BO118*VLOOKUP('Données projet'!$B$11,Paramètres!$A$1:$I$89,3,0)*0.475*44/12</f>
        <v>6.9986028131517114E-13</v>
      </c>
      <c r="BS118" s="24">
        <f t="shared" si="63"/>
        <v>0.59284256634199783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3.6</v>
      </c>
      <c r="N119" s="14">
        <f>IF('Données projet'!$A$36&gt;35,N118+M119-V118,IF(A119&lt;'Données projet'!$A$36,$K$205^A119,IF(A119='Données projet'!$A$36,'Données projet'!$B$36,N118+M119-V118)))</f>
        <v>268.60000000000008</v>
      </c>
      <c r="O119" s="14">
        <f>N119*VLOOKUP('Données projet'!$B$9,Paramètres!$A$1:$I$89,3,0)*VLOOKUP('Données projet'!$B$9,Paramètres!$A$1:$I$89,5,0)</f>
        <v>243.02928000000006</v>
      </c>
      <c r="P119" s="14">
        <f t="shared" si="87"/>
        <v>59.090818278663519</v>
      </c>
      <c r="Q119" s="22">
        <f t="shared" si="107"/>
        <v>526.1925045020057</v>
      </c>
      <c r="R119" s="62">
        <f t="shared" si="55"/>
        <v>819.52583783533896</v>
      </c>
      <c r="S119" s="62">
        <f ca="1">AVERAGE(OFFSET($R$3,0,0,'Données projet'!$E$9+1,1))-AVERAGE(OFFSET($H$3,0,0,'Données projet'!$E$9+1,1))</f>
        <v>371.75294069149942</v>
      </c>
      <c r="T119" s="62">
        <f t="shared" si="88"/>
        <v>233.32640143610547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projet'!$B$10,Paramètres!$A$1:$I$89,3,0)*VLOOKUP('Données projet'!$B$10,Paramètres!$A$1:$I$89,5,0)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405.09126081846171</v>
      </c>
      <c r="AO119" s="62">
        <f t="shared" si="90"/>
        <v>534.22295841722166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0.4381638761136184</v>
      </c>
      <c r="AV119" s="23">
        <f>EXP(-LN(2)/25)*AV118+(1-EXP(-LN(2)/25))/(LN(2)/25)*Calculateur!AQ119*Calculateur!AS119*VLOOKUP('Données projet'!$B$10,Paramètres!$A$1:$I$89,3,0)*0.475*44/12</f>
        <v>0.80321092665667737</v>
      </c>
      <c r="AW119" s="23">
        <f>EXP(-LN(2)/2)*AW118+(1-EXP(-LN(2)/2))/(LN(2)/2)*AQ119*AT119*VLOOKUP('Données projet'!$B$10,Paramètres!$A$1:$I$89,3,0)*0.475*44/12</f>
        <v>4.20596125572281E-14</v>
      </c>
      <c r="AX119" s="23">
        <f t="shared" si="60"/>
        <v>1.2413748027703377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3.4106051316484809E-13</v>
      </c>
      <c r="BE119" s="14">
        <f>BD119*VLOOKUP('Données projet'!$B$11,Paramètres!$A$1:$I$89,3,0)*VLOOKUP('Données projet'!$B$11,Paramètres!$A$1:$I$89,5,0)</f>
        <v>1.9508661353029313E-13</v>
      </c>
      <c r="BF119" s="14">
        <f t="shared" si="91"/>
        <v>2.711421636700695E-12</v>
      </c>
      <c r="BG119" s="22">
        <f t="shared" si="61"/>
        <v>5.0621685358189711E-12</v>
      </c>
      <c r="BH119" s="62">
        <f t="shared" si="62"/>
        <v>293.33333333333837</v>
      </c>
      <c r="BI119" s="62">
        <f ca="1">AVERAGE(OFFSET($BH$3,0,0,'Données projet'!$E$11+1,1))-AVERAGE(OFFSET($H$3,0,0,'Données projet'!$E$11+1,1))</f>
        <v>258.09881752732008</v>
      </c>
      <c r="BJ119" s="62">
        <f t="shared" si="92"/>
        <v>214.72899476643335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0.57663125518845959</v>
      </c>
      <c r="BR119" s="23">
        <f>EXP(-LN(2)/2)*BR118+(1-EXP(-LN(2)/2))/(LN(2)/2)*BL119*BO119*VLOOKUP('Données projet'!$B$11,Paramètres!$A$1:$I$89,3,0)*0.475*44/12</f>
        <v>4.9487595080108231E-13</v>
      </c>
      <c r="BS119" s="24">
        <f t="shared" si="63"/>
        <v>0.57663125518895442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3.6</v>
      </c>
      <c r="N120" s="14">
        <f>IF('Données projet'!$A$36&gt;35,N119+M120-V119,IF(A120&lt;'Données projet'!$A$36,$K$205^A120,IF(A120='Données projet'!$A$36,'Données projet'!$B$36,N119+M120-V119)))</f>
        <v>272.2000000000001</v>
      </c>
      <c r="O120" s="14">
        <f>N120*VLOOKUP('Données projet'!$B$9,Paramètres!$A$1:$I$89,3,0)*VLOOKUP('Données projet'!$B$9,Paramètres!$A$1:$I$89,5,0)</f>
        <v>246.28656000000009</v>
      </c>
      <c r="P120" s="14">
        <f t="shared" si="87"/>
        <v>59.790072314231324</v>
      </c>
      <c r="Q120" s="22">
        <f t="shared" si="107"/>
        <v>533.08346794728629</v>
      </c>
      <c r="R120" s="62">
        <f t="shared" si="55"/>
        <v>826.41680128061967</v>
      </c>
      <c r="S120" s="62">
        <f ca="1">AVERAGE(OFFSET($R$3,0,0,'Données projet'!$E$9+1,1))-AVERAGE(OFFSET($H$3,0,0,'Données projet'!$E$9+1,1))</f>
        <v>371.75294069149942</v>
      </c>
      <c r="T120" s="62">
        <f t="shared" si="88"/>
        <v>233.32640143610547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projet'!$B$10,Paramètres!$A$1:$I$89,3,0)*VLOOKUP('Données projet'!$B$10,Paramètres!$A$1:$I$89,5,0)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405.09126081846171</v>
      </c>
      <c r="AO120" s="62">
        <f t="shared" si="90"/>
        <v>534.22295841722166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0.42957174975660567</v>
      </c>
      <c r="AV120" s="23">
        <f>EXP(-LN(2)/25)*AV119+(1-EXP(-LN(2)/25))/(LN(2)/25)*Calculateur!AQ120*Calculateur!AS120*VLOOKUP('Données projet'!$B$10,Paramètres!$A$1:$I$89,3,0)*0.475*44/12</f>
        <v>0.78124708162822365</v>
      </c>
      <c r="AW120" s="23">
        <f>EXP(-LN(2)/2)*AW119+(1-EXP(-LN(2)/2))/(LN(2)/2)*AQ120*AT120*VLOOKUP('Données projet'!$B$10,Paramètres!$A$1:$I$89,3,0)*0.475*44/12</f>
        <v>2.9740637253294856E-14</v>
      </c>
      <c r="AX120" s="23">
        <f t="shared" si="60"/>
        <v>1.2108188313848591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3.4106051316484809E-13</v>
      </c>
      <c r="BE120" s="14">
        <f>BD120*VLOOKUP('Données projet'!$B$11,Paramètres!$A$1:$I$89,3,0)*VLOOKUP('Données projet'!$B$11,Paramètres!$A$1:$I$89,5,0)</f>
        <v>1.9508661353029313E-13</v>
      </c>
      <c r="BF120" s="14">
        <f t="shared" si="91"/>
        <v>2.711421636700695E-12</v>
      </c>
      <c r="BG120" s="22">
        <f t="shared" si="61"/>
        <v>5.0621685358189711E-12</v>
      </c>
      <c r="BH120" s="62">
        <f t="shared" si="62"/>
        <v>293.33333333333837</v>
      </c>
      <c r="BI120" s="62">
        <f ca="1">AVERAGE(OFFSET($BH$3,0,0,'Données projet'!$E$11+1,1))-AVERAGE(OFFSET($H$3,0,0,'Données projet'!$E$11+1,1))</f>
        <v>258.09881752732008</v>
      </c>
      <c r="BJ120" s="62">
        <f t="shared" si="92"/>
        <v>214.72899476643335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0.5608632431916114</v>
      </c>
      <c r="BR120" s="23">
        <f>EXP(-LN(2)/2)*BR119+(1-EXP(-LN(2)/2))/(LN(2)/2)*BL120*BO120*VLOOKUP('Données projet'!$B$11,Paramètres!$A$1:$I$89,3,0)*0.475*44/12</f>
        <v>3.4993014065758557E-13</v>
      </c>
      <c r="BS120" s="24">
        <f t="shared" si="63"/>
        <v>0.56086324319196135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3.6</v>
      </c>
      <c r="N121" s="14">
        <f>IF('Données projet'!$A$36&gt;35,N120+M121-V120,IF(A121&lt;'Données projet'!$A$36,$K$205^A121,IF(A121='Données projet'!$A$36,'Données projet'!$B$36,N120+M121-V120)))</f>
        <v>275.80000000000013</v>
      </c>
      <c r="O121" s="14">
        <f>N121*VLOOKUP('Données projet'!$B$9,Paramètres!$A$1:$I$89,3,0)*VLOOKUP('Données projet'!$B$9,Paramètres!$A$1:$I$89,5,0)</f>
        <v>249.5438400000001</v>
      </c>
      <c r="P121" s="14">
        <f t="shared" si="87"/>
        <v>60.488250673786602</v>
      </c>
      <c r="Q121" s="22">
        <f t="shared" si="107"/>
        <v>539.97255792351177</v>
      </c>
      <c r="R121" s="62">
        <f t="shared" si="55"/>
        <v>833.30589125684514</v>
      </c>
      <c r="S121" s="62">
        <f ca="1">AVERAGE(OFFSET($R$3,0,0,'Données projet'!$E$9+1,1))-AVERAGE(OFFSET($H$3,0,0,'Données projet'!$E$9+1,1))</f>
        <v>371.75294069149942</v>
      </c>
      <c r="T121" s="62">
        <f t="shared" si="88"/>
        <v>233.32640143610547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projet'!$B$10,Paramètres!$A$1:$I$89,3,0)*VLOOKUP('Données projet'!$B$10,Paramètres!$A$1:$I$89,5,0)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405.09126081846171</v>
      </c>
      <c r="AO121" s="62">
        <f t="shared" si="90"/>
        <v>534.22295841722166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0.42114810975677436</v>
      </c>
      <c r="AV121" s="23">
        <f>EXP(-LN(2)/25)*AV120+(1-EXP(-LN(2)/25))/(LN(2)/25)*Calculateur!AQ121*Calculateur!AS121*VLOOKUP('Données projet'!$B$10,Paramètres!$A$1:$I$89,3,0)*0.475*44/12</f>
        <v>0.75988383909710144</v>
      </c>
      <c r="AW121" s="23">
        <f>EXP(-LN(2)/2)*AW120+(1-EXP(-LN(2)/2))/(LN(2)/2)*AQ121*AT121*VLOOKUP('Données projet'!$B$10,Paramètres!$A$1:$I$89,3,0)*0.475*44/12</f>
        <v>2.102980627861405E-14</v>
      </c>
      <c r="AX121" s="23">
        <f t="shared" si="60"/>
        <v>1.181031948853897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3.4106051316484809E-13</v>
      </c>
      <c r="BE121" s="14">
        <f>BD121*VLOOKUP('Données projet'!$B$11,Paramètres!$A$1:$I$89,3,0)*VLOOKUP('Données projet'!$B$11,Paramètres!$A$1:$I$89,5,0)</f>
        <v>1.9508661353029313E-13</v>
      </c>
      <c r="BF121" s="14">
        <f t="shared" si="91"/>
        <v>2.711421636700695E-12</v>
      </c>
      <c r="BG121" s="22">
        <f t="shared" si="61"/>
        <v>5.0621685358189711E-12</v>
      </c>
      <c r="BH121" s="62">
        <f t="shared" si="62"/>
        <v>293.33333333333837</v>
      </c>
      <c r="BI121" s="62">
        <f ca="1">AVERAGE(OFFSET($BH$3,0,0,'Données projet'!$E$11+1,1))-AVERAGE(OFFSET($H$3,0,0,'Données projet'!$E$11+1,1))</f>
        <v>258.09881752732008</v>
      </c>
      <c r="BJ121" s="62">
        <f t="shared" si="92"/>
        <v>214.72899476643335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0.54552640831202071</v>
      </c>
      <c r="BR121" s="23">
        <f>EXP(-LN(2)/2)*BR120+(1-EXP(-LN(2)/2))/(LN(2)/2)*BL121*BO121*VLOOKUP('Données projet'!$B$11,Paramètres!$A$1:$I$89,3,0)*0.475*44/12</f>
        <v>2.4743797540054115E-13</v>
      </c>
      <c r="BS121" s="24">
        <f t="shared" si="63"/>
        <v>0.54552640831226817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3.6</v>
      </c>
      <c r="N122" s="14">
        <f>IF('Données projet'!$A$36&gt;35,N121+M122-V121,IF(A122&lt;'Données projet'!$A$36,$K$205^A122,IF(A122='Données projet'!$A$36,'Données projet'!$B$36,N121+M122-V121)))</f>
        <v>279.40000000000015</v>
      </c>
      <c r="O122" s="14">
        <f>N122*VLOOKUP('Données projet'!$B$9,Paramètres!$A$1:$I$89,3,0)*VLOOKUP('Données projet'!$B$9,Paramètres!$A$1:$I$89,5,0)</f>
        <v>252.80112000000014</v>
      </c>
      <c r="P122" s="14">
        <f t="shared" si="87"/>
        <v>61.185369021394266</v>
      </c>
      <c r="Q122" s="22">
        <f t="shared" si="107"/>
        <v>546.85980171226186</v>
      </c>
      <c r="R122" s="62">
        <f t="shared" si="55"/>
        <v>840.19313504559523</v>
      </c>
      <c r="S122" s="62">
        <f ca="1">AVERAGE(OFFSET($R$3,0,0,'Données projet'!$E$9+1,1))-AVERAGE(OFFSET($H$3,0,0,'Données projet'!$E$9+1,1))</f>
        <v>371.75294069149942</v>
      </c>
      <c r="T122" s="62">
        <f t="shared" si="88"/>
        <v>233.32640143610547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projet'!$B$10,Paramètres!$A$1:$I$89,3,0)*VLOOKUP('Données projet'!$B$10,Paramètres!$A$1:$I$89,5,0)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405.09126081846171</v>
      </c>
      <c r="AO122" s="62">
        <f t="shared" si="90"/>
        <v>534.22295841722166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0.41288965219942669</v>
      </c>
      <c r="AV122" s="23">
        <f>EXP(-LN(2)/25)*AV121+(1-EXP(-LN(2)/25))/(LN(2)/25)*Calculateur!AQ122*Calculateur!AS122*VLOOKUP('Données projet'!$B$10,Paramètres!$A$1:$I$89,3,0)*0.475*44/12</f>
        <v>0.73910477555643683</v>
      </c>
      <c r="AW122" s="23">
        <f>EXP(-LN(2)/2)*AW121+(1-EXP(-LN(2)/2))/(LN(2)/2)*AQ122*AT122*VLOOKUP('Données projet'!$B$10,Paramètres!$A$1:$I$89,3,0)*0.475*44/12</f>
        <v>1.4870318626647428E-14</v>
      </c>
      <c r="AX122" s="23">
        <f t="shared" si="60"/>
        <v>1.1519944277558785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3.4106051316484809E-13</v>
      </c>
      <c r="BE122" s="14">
        <f>BD122*VLOOKUP('Données projet'!$B$11,Paramètres!$A$1:$I$89,3,0)*VLOOKUP('Données projet'!$B$11,Paramètres!$A$1:$I$89,5,0)</f>
        <v>1.9508661353029313E-13</v>
      </c>
      <c r="BF122" s="14">
        <f t="shared" si="91"/>
        <v>2.711421636700695E-12</v>
      </c>
      <c r="BG122" s="22">
        <f t="shared" si="61"/>
        <v>5.0621685358189711E-12</v>
      </c>
      <c r="BH122" s="62">
        <f t="shared" si="62"/>
        <v>293.33333333333837</v>
      </c>
      <c r="BI122" s="62">
        <f ca="1">AVERAGE(OFFSET($BH$3,0,0,'Données projet'!$E$11+1,1))-AVERAGE(OFFSET($H$3,0,0,'Données projet'!$E$11+1,1))</f>
        <v>258.09881752732008</v>
      </c>
      <c r="BJ122" s="62">
        <f t="shared" si="92"/>
        <v>214.72899476643335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0.53060895998874147</v>
      </c>
      <c r="BR122" s="23">
        <f>EXP(-LN(2)/2)*BR121+(1-EXP(-LN(2)/2))/(LN(2)/2)*BL122*BO122*VLOOKUP('Données projet'!$B$11,Paramètres!$A$1:$I$89,3,0)*0.475*44/12</f>
        <v>1.7496507032879278E-13</v>
      </c>
      <c r="BS122" s="24">
        <f t="shared" si="63"/>
        <v>0.53060895998891644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>
        <f>VLOOKUP(A123,'Données projet'!$A$35:$I$55,2,0)</f>
        <v>283</v>
      </c>
      <c r="L123" s="13">
        <f>VLOOKUP(A123,'Données projet'!$A$35:$I$55,9,0)</f>
        <v>3.6</v>
      </c>
      <c r="M123" s="13">
        <f t="array" ref="M123">INDEX(L:L,MIN(IF(ISNUMBER(L123:L319),ROW(L123:L319),"")))</f>
        <v>3.6</v>
      </c>
      <c r="N123" s="14">
        <f>IF('Données projet'!$A$36&gt;35,N122+M123-V122,IF(A123&lt;'Données projet'!$A$36,$K$205^A123,IF(A123='Données projet'!$A$36,'Données projet'!$B$36,N122+M123-V122)))</f>
        <v>283.00000000000017</v>
      </c>
      <c r="O123" s="14">
        <f>N123*VLOOKUP('Données projet'!$B$9,Paramètres!$A$1:$I$89,3,0)*VLOOKUP('Données projet'!$B$9,Paramètres!$A$1:$I$89,5,0)</f>
        <v>256.05840000000018</v>
      </c>
      <c r="P123" s="14">
        <f t="shared" si="87"/>
        <v>61.881442594256541</v>
      </c>
      <c r="Q123" s="22">
        <f t="shared" si="107"/>
        <v>553.7452258516638</v>
      </c>
      <c r="R123" s="62">
        <f t="shared" si="55"/>
        <v>847.07855918499718</v>
      </c>
      <c r="S123" s="62">
        <f ca="1">AVERAGE(OFFSET($R$3,0,0,'Données projet'!$E$9+1,1))-AVERAGE(OFFSET($H$3,0,0,'Données projet'!$E$9+1,1))</f>
        <v>371.75294069149942</v>
      </c>
      <c r="T123" s="62">
        <f t="shared" si="88"/>
        <v>233.32640143610547</v>
      </c>
      <c r="U123" s="16">
        <f>IF(ISNA(VLOOKUP(A123,'Données projet'!$A$35:$I$55,3,0)),0,VLOOKUP(A123,'Données projet'!$A$35:$I$55,3,0))</f>
        <v>20</v>
      </c>
      <c r="V123" s="16">
        <f>IF(ISNA(VLOOKUP(A123,'Données projet'!$A$35:$I$55,4,0)),0,VLOOKUP(A123,'Données projet'!$A$35:$I$55,4,0))</f>
        <v>283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projet'!$B$10,Paramètres!$A$1:$I$89,3,0)*VLOOKUP('Données projet'!$B$10,Paramètres!$A$1:$I$89,5,0)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405.09126081846171</v>
      </c>
      <c r="AO123" s="62">
        <f t="shared" si="90"/>
        <v>534.22295841722166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0.40479313795761684</v>
      </c>
      <c r="AV123" s="23">
        <f>EXP(-LN(2)/25)*AV122+(1-EXP(-LN(2)/25))/(LN(2)/25)*Calculateur!AQ123*Calculateur!AS123*VLOOKUP('Données projet'!$B$10,Paramètres!$A$1:$I$89,3,0)*0.475*44/12</f>
        <v>0.7188939166010152</v>
      </c>
      <c r="AW123" s="23">
        <f>EXP(-LN(2)/2)*AW122+(1-EXP(-LN(2)/2))/(LN(2)/2)*AQ123*AT123*VLOOKUP('Données projet'!$B$10,Paramètres!$A$1:$I$89,3,0)*0.475*44/12</f>
        <v>1.0514903139307025E-14</v>
      </c>
      <c r="AX123" s="23">
        <f t="shared" si="60"/>
        <v>1.1236870545586426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3.4106051316484809E-13</v>
      </c>
      <c r="BE123" s="14">
        <f>BD123*VLOOKUP('Données projet'!$B$11,Paramètres!$A$1:$I$89,3,0)*VLOOKUP('Données projet'!$B$11,Paramètres!$A$1:$I$89,5,0)</f>
        <v>1.9508661353029313E-13</v>
      </c>
      <c r="BF123" s="14">
        <f t="shared" si="91"/>
        <v>2.711421636700695E-12</v>
      </c>
      <c r="BG123" s="22">
        <f t="shared" si="61"/>
        <v>5.0621685358189711E-12</v>
      </c>
      <c r="BH123" s="62">
        <f t="shared" si="62"/>
        <v>293.33333333333837</v>
      </c>
      <c r="BI123" s="62">
        <f ca="1">AVERAGE(OFFSET($BH$3,0,0,'Données projet'!$E$11+1,1))-AVERAGE(OFFSET($H$3,0,0,'Données projet'!$E$11+1,1))</f>
        <v>258.09881752732008</v>
      </c>
      <c r="BJ123" s="62">
        <f t="shared" si="92"/>
        <v>214.72899476643335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0.5160994300743369</v>
      </c>
      <c r="BR123" s="23">
        <f>EXP(-LN(2)/2)*BR122+(1-EXP(-LN(2)/2))/(LN(2)/2)*BL123*BO123*VLOOKUP('Données projet'!$B$11,Paramètres!$A$1:$I$89,3,0)*0.475*44/12</f>
        <v>1.2371898770027058E-13</v>
      </c>
      <c r="BS123" s="24">
        <f t="shared" si="63"/>
        <v>0.51609943007446057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1.7053025658242404E-13</v>
      </c>
      <c r="O124" s="14">
        <f>N124*VLOOKUP('Données projet'!$B$9,Paramètres!$A$1:$I$89,3,0)*VLOOKUP('Données projet'!$B$9,Paramètres!$A$1:$I$89,5,0)</f>
        <v>1.5429577615577727E-13</v>
      </c>
      <c r="P124" s="14">
        <f t="shared" si="87"/>
        <v>2.2038482767263348E-12</v>
      </c>
      <c r="Q124" s="22">
        <f t="shared" si="107"/>
        <v>4.107100892103012E-12</v>
      </c>
      <c r="R124" s="62">
        <f t="shared" si="55"/>
        <v>293.33333333333741</v>
      </c>
      <c r="S124" s="62">
        <f ca="1">AVERAGE(OFFSET($R$3,0,0,'Données projet'!$E$9+1,1))-AVERAGE(OFFSET($H$3,0,0,'Données projet'!$E$9+1,1))</f>
        <v>371.75294069149942</v>
      </c>
      <c r="T124" s="62">
        <f t="shared" si="88"/>
        <v>233.32640143610547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projet'!$B$10,Paramètres!$A$1:$I$89,3,0)*VLOOKUP('Données projet'!$B$10,Paramètres!$A$1:$I$89,5,0)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405.09126081846171</v>
      </c>
      <c r="AO124" s="62">
        <f t="shared" si="90"/>
        <v>534.22295841722166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0.39685539142170284</v>
      </c>
      <c r="AV124" s="23">
        <f>EXP(-LN(2)/25)*AV123+(1-EXP(-LN(2)/25))/(LN(2)/25)*Calculateur!AQ124*Calculateur!AS124*VLOOKUP('Données projet'!$B$10,Paramètres!$A$1:$I$89,3,0)*0.475*44/12</f>
        <v>0.69923572464657247</v>
      </c>
      <c r="AW124" s="23">
        <f>EXP(-LN(2)/2)*AW123+(1-EXP(-LN(2)/2))/(LN(2)/2)*AQ124*AT124*VLOOKUP('Données projet'!$B$10,Paramètres!$A$1:$I$89,3,0)*0.475*44/12</f>
        <v>7.435159313323714E-15</v>
      </c>
      <c r="AX124" s="23">
        <f t="shared" si="60"/>
        <v>1.0960911160682827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3.4106051316484809E-13</v>
      </c>
      <c r="BE124" s="14">
        <f>BD124*VLOOKUP('Données projet'!$B$11,Paramètres!$A$1:$I$89,3,0)*VLOOKUP('Données projet'!$B$11,Paramètres!$A$1:$I$89,5,0)</f>
        <v>1.9508661353029313E-13</v>
      </c>
      <c r="BF124" s="14">
        <f t="shared" si="91"/>
        <v>2.711421636700695E-12</v>
      </c>
      <c r="BG124" s="22">
        <f t="shared" si="61"/>
        <v>5.0621685358189711E-12</v>
      </c>
      <c r="BH124" s="62">
        <f t="shared" si="62"/>
        <v>293.33333333333837</v>
      </c>
      <c r="BI124" s="62">
        <f ca="1">AVERAGE(OFFSET($BH$3,0,0,'Données projet'!$E$11+1,1))-AVERAGE(OFFSET($H$3,0,0,'Données projet'!$E$11+1,1))</f>
        <v>258.09881752732008</v>
      </c>
      <c r="BJ124" s="62">
        <f t="shared" si="92"/>
        <v>214.72899476643335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0.5019866640184647</v>
      </c>
      <c r="BR124" s="23">
        <f>EXP(-LN(2)/2)*BR123+(1-EXP(-LN(2)/2))/(LN(2)/2)*BL124*BO124*VLOOKUP('Données projet'!$B$11,Paramètres!$A$1:$I$89,3,0)*0.475*44/12</f>
        <v>8.7482535164396392E-14</v>
      </c>
      <c r="BS124" s="24">
        <f t="shared" si="63"/>
        <v>0.50198666401855219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1.7053025658242404E-13</v>
      </c>
      <c r="O125" s="14">
        <f>N125*VLOOKUP('Données projet'!$B$9,Paramètres!$A$1:$I$89,3,0)*VLOOKUP('Données projet'!$B$9,Paramètres!$A$1:$I$89,5,0)</f>
        <v>1.5429577615577727E-13</v>
      </c>
      <c r="P125" s="14">
        <f t="shared" si="87"/>
        <v>2.2038482767263348E-12</v>
      </c>
      <c r="Q125" s="22">
        <f t="shared" si="107"/>
        <v>4.107100892103012E-12</v>
      </c>
      <c r="R125" s="62">
        <f t="shared" si="55"/>
        <v>293.33333333333741</v>
      </c>
      <c r="S125" s="62">
        <f ca="1">AVERAGE(OFFSET($R$3,0,0,'Données projet'!$E$9+1,1))-AVERAGE(OFFSET($H$3,0,0,'Données projet'!$E$9+1,1))</f>
        <v>371.75294069149942</v>
      </c>
      <c r="T125" s="62">
        <f t="shared" si="88"/>
        <v>233.32640143610547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projet'!$B$10,Paramètres!$A$1:$I$89,3,0)*VLOOKUP('Données projet'!$B$10,Paramètres!$A$1:$I$89,5,0)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405.09126081846171</v>
      </c>
      <c r="AO125" s="62">
        <f t="shared" si="90"/>
        <v>534.22295841722166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0.38907329925381079</v>
      </c>
      <c r="AV125" s="23">
        <f>EXP(-LN(2)/25)*AV124+(1-EXP(-LN(2)/25))/(LN(2)/25)*Calculateur!AQ125*Calculateur!AS125*VLOOKUP('Données projet'!$B$10,Paramètres!$A$1:$I$89,3,0)*0.475*44/12</f>
        <v>0.68011508698490331</v>
      </c>
      <c r="AW125" s="23">
        <f>EXP(-LN(2)/2)*AW124+(1-EXP(-LN(2)/2))/(LN(2)/2)*AQ125*AT125*VLOOKUP('Données projet'!$B$10,Paramètres!$A$1:$I$89,3,0)*0.475*44/12</f>
        <v>5.2574515696535125E-15</v>
      </c>
      <c r="AX125" s="23">
        <f t="shared" si="60"/>
        <v>1.0691883862387195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3.4106051316484809E-13</v>
      </c>
      <c r="BE125" s="14">
        <f>BD125*VLOOKUP('Données projet'!$B$11,Paramètres!$A$1:$I$89,3,0)*VLOOKUP('Données projet'!$B$11,Paramètres!$A$1:$I$89,5,0)</f>
        <v>1.9508661353029313E-13</v>
      </c>
      <c r="BF125" s="14">
        <f t="shared" si="91"/>
        <v>2.711421636700695E-12</v>
      </c>
      <c r="BG125" s="22">
        <f t="shared" si="61"/>
        <v>5.0621685358189711E-12</v>
      </c>
      <c r="BH125" s="62">
        <f t="shared" si="62"/>
        <v>293.33333333333837</v>
      </c>
      <c r="BI125" s="62">
        <f ca="1">AVERAGE(OFFSET($BH$3,0,0,'Données projet'!$E$11+1,1))-AVERAGE(OFFSET($H$3,0,0,'Données projet'!$E$11+1,1))</f>
        <v>258.09881752732008</v>
      </c>
      <c r="BJ125" s="62">
        <f t="shared" si="92"/>
        <v>214.72899476643335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0.48825981229254845</v>
      </c>
      <c r="BR125" s="23">
        <f>EXP(-LN(2)/2)*BR124+(1-EXP(-LN(2)/2))/(LN(2)/2)*BL125*BO125*VLOOKUP('Données projet'!$B$11,Paramètres!$A$1:$I$89,3,0)*0.475*44/12</f>
        <v>6.1859493850135289E-14</v>
      </c>
      <c r="BS125" s="24">
        <f t="shared" si="63"/>
        <v>0.48825981229261028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1.7053025658242404E-13</v>
      </c>
      <c r="O126" s="14">
        <f>N126*VLOOKUP('Données projet'!$B$9,Paramètres!$A$1:$I$89,3,0)*VLOOKUP('Données projet'!$B$9,Paramètres!$A$1:$I$89,5,0)</f>
        <v>1.5429577615577727E-13</v>
      </c>
      <c r="P126" s="14">
        <f t="shared" si="87"/>
        <v>2.2038482767263348E-12</v>
      </c>
      <c r="Q126" s="22">
        <f t="shared" si="107"/>
        <v>4.107100892103012E-12</v>
      </c>
      <c r="R126" s="62">
        <f t="shared" si="55"/>
        <v>293.33333333333741</v>
      </c>
      <c r="S126" s="62">
        <f ca="1">AVERAGE(OFFSET($R$3,0,0,'Données projet'!$E$9+1,1))-AVERAGE(OFFSET($H$3,0,0,'Données projet'!$E$9+1,1))</f>
        <v>371.75294069149942</v>
      </c>
      <c r="T126" s="62">
        <f t="shared" si="88"/>
        <v>233.32640143610547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projet'!$B$10,Paramètres!$A$1:$I$89,3,0)*VLOOKUP('Données projet'!$B$10,Paramètres!$A$1:$I$89,5,0)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405.09126081846171</v>
      </c>
      <c r="AO126" s="62">
        <f t="shared" si="90"/>
        <v>534.22295841722166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0.38144380916672355</v>
      </c>
      <c r="AV126" s="23">
        <f>EXP(-LN(2)/25)*AV125+(1-EXP(-LN(2)/25))/(LN(2)/25)*Calculateur!AQ126*Calculateur!AS126*VLOOKUP('Données projet'!$B$10,Paramètres!$A$1:$I$89,3,0)*0.475*44/12</f>
        <v>0.66151730416560317</v>
      </c>
      <c r="AW126" s="23">
        <f>EXP(-LN(2)/2)*AW125+(1-EXP(-LN(2)/2))/(LN(2)/2)*AQ126*AT126*VLOOKUP('Données projet'!$B$10,Paramètres!$A$1:$I$89,3,0)*0.475*44/12</f>
        <v>3.717579656661857E-15</v>
      </c>
      <c r="AX126" s="23">
        <f t="shared" si="60"/>
        <v>1.0429611133323304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3.4106051316484809E-13</v>
      </c>
      <c r="BE126" s="14">
        <f>BD126*VLOOKUP('Données projet'!$B$11,Paramètres!$A$1:$I$89,3,0)*VLOOKUP('Données projet'!$B$11,Paramètres!$A$1:$I$89,5,0)</f>
        <v>1.9508661353029313E-13</v>
      </c>
      <c r="BF126" s="14">
        <f t="shared" si="91"/>
        <v>2.711421636700695E-12</v>
      </c>
      <c r="BG126" s="22">
        <f t="shared" si="61"/>
        <v>5.0621685358189711E-12</v>
      </c>
      <c r="BH126" s="62">
        <f t="shared" si="62"/>
        <v>293.33333333333837</v>
      </c>
      <c r="BI126" s="62">
        <f ca="1">AVERAGE(OFFSET($BH$3,0,0,'Données projet'!$E$11+1,1))-AVERAGE(OFFSET($H$3,0,0,'Données projet'!$E$11+1,1))</f>
        <v>258.09881752732008</v>
      </c>
      <c r="BJ126" s="62">
        <f t="shared" si="92"/>
        <v>214.72899476643335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0.47490832204894112</v>
      </c>
      <c r="BR126" s="23">
        <f>EXP(-LN(2)/2)*BR125+(1-EXP(-LN(2)/2))/(LN(2)/2)*BL126*BO126*VLOOKUP('Données projet'!$B$11,Paramètres!$A$1:$I$89,3,0)*0.475*44/12</f>
        <v>4.3741267582198196E-14</v>
      </c>
      <c r="BS126" s="24">
        <f t="shared" si="63"/>
        <v>0.47490832204898487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1.7053025658242404E-13</v>
      </c>
      <c r="O127" s="14">
        <f>N127*VLOOKUP('Données projet'!$B$9,Paramètres!$A$1:$I$89,3,0)*VLOOKUP('Données projet'!$B$9,Paramètres!$A$1:$I$89,5,0)</f>
        <v>1.5429577615577727E-13</v>
      </c>
      <c r="P127" s="14">
        <f t="shared" si="87"/>
        <v>2.2038482767263348E-12</v>
      </c>
      <c r="Q127" s="22">
        <f t="shared" si="107"/>
        <v>4.107100892103012E-12</v>
      </c>
      <c r="R127" s="62">
        <f t="shared" si="55"/>
        <v>293.33333333333741</v>
      </c>
      <c r="S127" s="62">
        <f ca="1">AVERAGE(OFFSET($R$3,0,0,'Données projet'!$E$9+1,1))-AVERAGE(OFFSET($H$3,0,0,'Données projet'!$E$9+1,1))</f>
        <v>371.75294069149942</v>
      </c>
      <c r="T127" s="62">
        <f t="shared" si="88"/>
        <v>233.32640143610547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projet'!$B$10,Paramètres!$A$1:$I$89,3,0)*VLOOKUP('Données projet'!$B$10,Paramètres!$A$1:$I$89,5,0)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405.09126081846171</v>
      </c>
      <c r="AO127" s="62">
        <f t="shared" si="90"/>
        <v>534.22295841722166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0.37396392872671463</v>
      </c>
      <c r="AV127" s="23">
        <f>EXP(-LN(2)/25)*AV126+(1-EXP(-LN(2)/25))/(LN(2)/25)*Calculateur!AQ127*Calculateur!AS127*VLOOKUP('Données projet'!$B$10,Paramètres!$A$1:$I$89,3,0)*0.475*44/12</f>
        <v>0.64342807869551166</v>
      </c>
      <c r="AW127" s="23">
        <f>EXP(-LN(2)/2)*AW126+(1-EXP(-LN(2)/2))/(LN(2)/2)*AQ127*AT127*VLOOKUP('Données projet'!$B$10,Paramètres!$A$1:$I$89,3,0)*0.475*44/12</f>
        <v>2.6287257848267563E-15</v>
      </c>
      <c r="AX127" s="23">
        <f t="shared" si="60"/>
        <v>1.0173920074222289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3.4106051316484809E-13</v>
      </c>
      <c r="BE127" s="14">
        <f>BD127*VLOOKUP('Données projet'!$B$11,Paramètres!$A$1:$I$89,3,0)*VLOOKUP('Données projet'!$B$11,Paramètres!$A$1:$I$89,5,0)</f>
        <v>1.9508661353029313E-13</v>
      </c>
      <c r="BF127" s="14">
        <f t="shared" si="91"/>
        <v>2.711421636700695E-12</v>
      </c>
      <c r="BG127" s="22">
        <f t="shared" si="61"/>
        <v>5.0621685358189711E-12</v>
      </c>
      <c r="BH127" s="62">
        <f t="shared" si="62"/>
        <v>293.33333333333837</v>
      </c>
      <c r="BI127" s="62">
        <f ca="1">AVERAGE(OFFSET($BH$3,0,0,'Données projet'!$E$11+1,1))-AVERAGE(OFFSET($H$3,0,0,'Données projet'!$E$11+1,1))</f>
        <v>258.09881752732008</v>
      </c>
      <c r="BJ127" s="62">
        <f t="shared" si="92"/>
        <v>214.72899476643335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0.46192192900816959</v>
      </c>
      <c r="BR127" s="23">
        <f>EXP(-LN(2)/2)*BR126+(1-EXP(-LN(2)/2))/(LN(2)/2)*BL127*BO127*VLOOKUP('Données projet'!$B$11,Paramètres!$A$1:$I$89,3,0)*0.475*44/12</f>
        <v>3.0929746925067644E-14</v>
      </c>
      <c r="BS127" s="24">
        <f t="shared" si="63"/>
        <v>0.4619219290082005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1.7053025658242404E-13</v>
      </c>
      <c r="O128" s="14">
        <f>N128*VLOOKUP('Données projet'!$B$9,Paramètres!$A$1:$I$89,3,0)*VLOOKUP('Données projet'!$B$9,Paramètres!$A$1:$I$89,5,0)</f>
        <v>1.5429577615577727E-13</v>
      </c>
      <c r="P128" s="14">
        <f t="shared" si="87"/>
        <v>2.2038482767263348E-12</v>
      </c>
      <c r="Q128" s="22">
        <f t="shared" si="107"/>
        <v>4.107100892103012E-12</v>
      </c>
      <c r="R128" s="62">
        <f t="shared" si="55"/>
        <v>293.33333333333741</v>
      </c>
      <c r="S128" s="62">
        <f ca="1">AVERAGE(OFFSET($R$3,0,0,'Données projet'!$E$9+1,1))-AVERAGE(OFFSET($H$3,0,0,'Données projet'!$E$9+1,1))</f>
        <v>371.75294069149942</v>
      </c>
      <c r="T128" s="62">
        <f t="shared" si="88"/>
        <v>233.32640143610547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projet'!$B$10,Paramètres!$A$1:$I$89,3,0)*VLOOKUP('Données projet'!$B$10,Paramètres!$A$1:$I$89,5,0)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405.09126081846171</v>
      </c>
      <c r="AO128" s="62">
        <f t="shared" si="90"/>
        <v>534.22295841722166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0.3666307241798577</v>
      </c>
      <c r="AV128" s="23">
        <f>EXP(-LN(2)/25)*AV127+(1-EXP(-LN(2)/25))/(LN(2)/25)*Calculateur!AQ128*Calculateur!AS128*VLOOKUP('Données projet'!$B$10,Paramètres!$A$1:$I$89,3,0)*0.475*44/12</f>
        <v>0.62583350404717086</v>
      </c>
      <c r="AW128" s="23">
        <f>EXP(-LN(2)/2)*AW127+(1-EXP(-LN(2)/2))/(LN(2)/2)*AQ128*AT128*VLOOKUP('Données projet'!$B$10,Paramètres!$A$1:$I$89,3,0)*0.475*44/12</f>
        <v>1.8587898283309285E-15</v>
      </c>
      <c r="AX128" s="23">
        <f t="shared" si="60"/>
        <v>0.99246422822703051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3.4106051316484809E-13</v>
      </c>
      <c r="BE128" s="14">
        <f>BD128*VLOOKUP('Données projet'!$B$11,Paramètres!$A$1:$I$89,3,0)*VLOOKUP('Données projet'!$B$11,Paramètres!$A$1:$I$89,5,0)</f>
        <v>1.9508661353029313E-13</v>
      </c>
      <c r="BF128" s="14">
        <f t="shared" si="91"/>
        <v>2.711421636700695E-12</v>
      </c>
      <c r="BG128" s="22">
        <f t="shared" si="61"/>
        <v>5.0621685358189711E-12</v>
      </c>
      <c r="BH128" s="62">
        <f t="shared" si="62"/>
        <v>293.33333333333837</v>
      </c>
      <c r="BI128" s="62">
        <f ca="1">AVERAGE(OFFSET($BH$3,0,0,'Données projet'!$E$11+1,1))-AVERAGE(OFFSET($H$3,0,0,'Données projet'!$E$11+1,1))</f>
        <v>258.09881752732008</v>
      </c>
      <c r="BJ128" s="62">
        <f t="shared" si="92"/>
        <v>214.72899476643335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0.44929064956802267</v>
      </c>
      <c r="BR128" s="23">
        <f>EXP(-LN(2)/2)*BR127+(1-EXP(-LN(2)/2))/(LN(2)/2)*BL128*BO128*VLOOKUP('Données projet'!$B$11,Paramètres!$A$1:$I$89,3,0)*0.475*44/12</f>
        <v>2.1870633791099098E-14</v>
      </c>
      <c r="BS128" s="24">
        <f t="shared" si="63"/>
        <v>0.44929064956804454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1.7053025658242404E-13</v>
      </c>
      <c r="O129" s="14">
        <f>N129*VLOOKUP('Données projet'!$B$9,Paramètres!$A$1:$I$89,3,0)*VLOOKUP('Données projet'!$B$9,Paramètres!$A$1:$I$89,5,0)</f>
        <v>1.5429577615577727E-13</v>
      </c>
      <c r="P129" s="14">
        <f t="shared" si="87"/>
        <v>2.2038482767263348E-12</v>
      </c>
      <c r="Q129" s="22">
        <f t="shared" si="107"/>
        <v>4.107100892103012E-12</v>
      </c>
      <c r="R129" s="62">
        <f t="shared" si="55"/>
        <v>293.33333333333741</v>
      </c>
      <c r="S129" s="62">
        <f ca="1">AVERAGE(OFFSET($R$3,0,0,'Données projet'!$E$9+1,1))-AVERAGE(OFFSET($H$3,0,0,'Données projet'!$E$9+1,1))</f>
        <v>371.75294069149942</v>
      </c>
      <c r="T129" s="62">
        <f t="shared" si="88"/>
        <v>233.32640143610547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projet'!$B$10,Paramètres!$A$1:$I$89,3,0)*VLOOKUP('Données projet'!$B$10,Paramètres!$A$1:$I$89,5,0)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405.09126081846171</v>
      </c>
      <c r="AO129" s="62">
        <f t="shared" si="90"/>
        <v>534.22295841722166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0.35944131930135154</v>
      </c>
      <c r="AV129" s="23">
        <f>EXP(-LN(2)/25)*AV128+(1-EXP(-LN(2)/25))/(LN(2)/25)*Calculateur!AQ129*Calculateur!AS129*VLOOKUP('Données projet'!$B$10,Paramètres!$A$1:$I$89,3,0)*0.475*44/12</f>
        <v>0.60872005396784734</v>
      </c>
      <c r="AW129" s="23">
        <f>EXP(-LN(2)/2)*AW128+(1-EXP(-LN(2)/2))/(LN(2)/2)*AQ129*AT129*VLOOKUP('Données projet'!$B$10,Paramètres!$A$1:$I$89,3,0)*0.475*44/12</f>
        <v>1.3143628924133781E-15</v>
      </c>
      <c r="AX129" s="23">
        <f t="shared" si="60"/>
        <v>0.96816137326920026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3.4106051316484809E-13</v>
      </c>
      <c r="BE129" s="14">
        <f>BD129*VLOOKUP('Données projet'!$B$11,Paramètres!$A$1:$I$89,3,0)*VLOOKUP('Données projet'!$B$11,Paramètres!$A$1:$I$89,5,0)</f>
        <v>1.9508661353029313E-13</v>
      </c>
      <c r="BF129" s="14">
        <f t="shared" si="91"/>
        <v>2.711421636700695E-12</v>
      </c>
      <c r="BG129" s="22">
        <f t="shared" si="61"/>
        <v>5.0621685358189711E-12</v>
      </c>
      <c r="BH129" s="62">
        <f t="shared" si="62"/>
        <v>293.33333333333837</v>
      </c>
      <c r="BI129" s="62">
        <f ca="1">AVERAGE(OFFSET($BH$3,0,0,'Données projet'!$E$11+1,1))-AVERAGE(OFFSET($H$3,0,0,'Données projet'!$E$11+1,1))</f>
        <v>258.09881752732008</v>
      </c>
      <c r="BJ129" s="62">
        <f t="shared" si="92"/>
        <v>214.72899476643335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0.43700477312841668</v>
      </c>
      <c r="BR129" s="23">
        <f>EXP(-LN(2)/2)*BR128+(1-EXP(-LN(2)/2))/(LN(2)/2)*BL129*BO129*VLOOKUP('Données projet'!$B$11,Paramètres!$A$1:$I$89,3,0)*0.475*44/12</f>
        <v>1.5464873462533822E-14</v>
      </c>
      <c r="BS129" s="24">
        <f t="shared" si="63"/>
        <v>0.43700477312843217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1.7053025658242404E-13</v>
      </c>
      <c r="O130" s="14">
        <f>N130*VLOOKUP('Données projet'!$B$9,Paramètres!$A$1:$I$89,3,0)*VLOOKUP('Données projet'!$B$9,Paramètres!$A$1:$I$89,5,0)</f>
        <v>1.5429577615577727E-13</v>
      </c>
      <c r="P130" s="14">
        <f t="shared" si="87"/>
        <v>2.2038482767263348E-12</v>
      </c>
      <c r="Q130" s="22">
        <f t="shared" si="107"/>
        <v>4.107100892103012E-12</v>
      </c>
      <c r="R130" s="62">
        <f t="shared" si="55"/>
        <v>293.33333333333741</v>
      </c>
      <c r="S130" s="62">
        <f ca="1">AVERAGE(OFFSET($R$3,0,0,'Données projet'!$E$9+1,1))-AVERAGE(OFFSET($H$3,0,0,'Données projet'!$E$9+1,1))</f>
        <v>371.75294069149942</v>
      </c>
      <c r="T130" s="62">
        <f t="shared" si="88"/>
        <v>233.32640143610547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projet'!$B$10,Paramètres!$A$1:$I$89,3,0)*VLOOKUP('Données projet'!$B$10,Paramètres!$A$1:$I$89,5,0)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405.09126081846171</v>
      </c>
      <c r="AO130" s="62">
        <f t="shared" si="90"/>
        <v>534.22295841722166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0.35239289426740888</v>
      </c>
      <c r="AV130" s="23">
        <f>EXP(-LN(2)/25)*AV129+(1-EXP(-LN(2)/25))/(LN(2)/25)*Calculateur!AQ130*Calculateur!AS130*VLOOKUP('Données projet'!$B$10,Paramètres!$A$1:$I$89,3,0)*0.475*44/12</f>
        <v>0.5920745720809002</v>
      </c>
      <c r="AW130" s="23">
        <f>EXP(-LN(2)/2)*AW129+(1-EXP(-LN(2)/2))/(LN(2)/2)*AQ130*AT130*VLOOKUP('Données projet'!$B$10,Paramètres!$A$1:$I$89,3,0)*0.475*44/12</f>
        <v>9.2939491416546425E-16</v>
      </c>
      <c r="AX130" s="23">
        <f t="shared" si="60"/>
        <v>0.94446746634830991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3.4106051316484809E-13</v>
      </c>
      <c r="BE130" s="14">
        <f>BD130*VLOOKUP('Données projet'!$B$11,Paramètres!$A$1:$I$89,3,0)*VLOOKUP('Données projet'!$B$11,Paramètres!$A$1:$I$89,5,0)</f>
        <v>1.9508661353029313E-13</v>
      </c>
      <c r="BF130" s="14">
        <f t="shared" si="91"/>
        <v>2.711421636700695E-12</v>
      </c>
      <c r="BG130" s="22">
        <f t="shared" si="61"/>
        <v>5.0621685358189711E-12</v>
      </c>
      <c r="BH130" s="62">
        <f t="shared" si="62"/>
        <v>293.33333333333837</v>
      </c>
      <c r="BI130" s="62">
        <f ca="1">AVERAGE(OFFSET($BH$3,0,0,'Données projet'!$E$11+1,1))-AVERAGE(OFFSET($H$3,0,0,'Données projet'!$E$11+1,1))</f>
        <v>258.09881752732008</v>
      </c>
      <c r="BJ130" s="62">
        <f t="shared" si="92"/>
        <v>214.72899476643335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0.4250548546261379</v>
      </c>
      <c r="BR130" s="23">
        <f>EXP(-LN(2)/2)*BR129+(1-EXP(-LN(2)/2))/(LN(2)/2)*BL130*BO130*VLOOKUP('Données projet'!$B$11,Paramètres!$A$1:$I$89,3,0)*0.475*44/12</f>
        <v>1.0935316895549549E-14</v>
      </c>
      <c r="BS130" s="24">
        <f t="shared" si="63"/>
        <v>0.42505485462614884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1.7053025658242404E-13</v>
      </c>
      <c r="O131" s="14">
        <f>N131*VLOOKUP('Données projet'!$B$9,Paramètres!$A$1:$I$89,3,0)*VLOOKUP('Données projet'!$B$9,Paramètres!$A$1:$I$89,5,0)</f>
        <v>1.5429577615577727E-13</v>
      </c>
      <c r="P131" s="14">
        <f t="shared" si="87"/>
        <v>2.2038482767263348E-12</v>
      </c>
      <c r="Q131" s="22">
        <f t="shared" ref="Q131:Q153" si="108">(O131+P131)*0.475*44/12</f>
        <v>4.107100892103012E-12</v>
      </c>
      <c r="R131" s="62">
        <f t="shared" ref="R131:R194" si="109">Q131+(I131+J131)*44/12</f>
        <v>293.33333333333741</v>
      </c>
      <c r="S131" s="62">
        <f ca="1">AVERAGE(OFFSET($R$3,0,0,'Données projet'!$E$9+1,1))-AVERAGE(OFFSET($H$3,0,0,'Données projet'!$E$9+1,1))</f>
        <v>371.75294069149942</v>
      </c>
      <c r="T131" s="62">
        <f t="shared" si="88"/>
        <v>233.32640143610547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projet'!$B$10,Paramètres!$A$1:$I$89,3,0)*VLOOKUP('Données projet'!$B$10,Paramètres!$A$1:$I$89,5,0)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405.09126081846171</v>
      </c>
      <c r="AO131" s="62">
        <f t="shared" si="90"/>
        <v>534.22295841722166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0.34548268454926712</v>
      </c>
      <c r="AV131" s="23">
        <f>EXP(-LN(2)/25)*AV130+(1-EXP(-LN(2)/25))/(LN(2)/25)*Calculateur!AQ131*Calculateur!AS131*VLOOKUP('Données projet'!$B$10,Paramètres!$A$1:$I$89,3,0)*0.475*44/12</f>
        <v>0.57588426177149943</v>
      </c>
      <c r="AW131" s="23">
        <f>EXP(-LN(2)/2)*AW130+(1-EXP(-LN(2)/2))/(LN(2)/2)*AQ131*AT131*VLOOKUP('Données projet'!$B$10,Paramètres!$A$1:$I$89,3,0)*0.475*44/12</f>
        <v>6.5718144620668907E-16</v>
      </c>
      <c r="AX131" s="23">
        <f t="shared" si="60"/>
        <v>0.92136694632076721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3.4106051316484809E-13</v>
      </c>
      <c r="BE131" s="14">
        <f>BD131*VLOOKUP('Données projet'!$B$11,Paramètres!$A$1:$I$89,3,0)*VLOOKUP('Données projet'!$B$11,Paramètres!$A$1:$I$89,5,0)</f>
        <v>1.9508661353029313E-13</v>
      </c>
      <c r="BF131" s="14">
        <f t="shared" si="91"/>
        <v>2.711421636700695E-12</v>
      </c>
      <c r="BG131" s="22">
        <f t="shared" si="61"/>
        <v>5.0621685358189711E-12</v>
      </c>
      <c r="BH131" s="62">
        <f t="shared" si="62"/>
        <v>293.33333333333837</v>
      </c>
      <c r="BI131" s="62">
        <f ca="1">AVERAGE(OFFSET($BH$3,0,0,'Données projet'!$E$11+1,1))-AVERAGE(OFFSET($H$3,0,0,'Données projet'!$E$11+1,1))</f>
        <v>258.09881752732008</v>
      </c>
      <c r="BJ131" s="62">
        <f t="shared" si="92"/>
        <v>214.72899476643335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0.41343170727372286</v>
      </c>
      <c r="BR131" s="23">
        <f>EXP(-LN(2)/2)*BR130+(1-EXP(-LN(2)/2))/(LN(2)/2)*BL131*BO131*VLOOKUP('Données projet'!$B$11,Paramètres!$A$1:$I$89,3,0)*0.475*44/12</f>
        <v>7.7324367312669111E-15</v>
      </c>
      <c r="BS131" s="24">
        <f t="shared" si="63"/>
        <v>0.41343170727373058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1.7053025658242404E-13</v>
      </c>
      <c r="O132" s="14">
        <f>N132*VLOOKUP('Données projet'!$B$9,Paramètres!$A$1:$I$89,3,0)*VLOOKUP('Données projet'!$B$9,Paramètres!$A$1:$I$89,5,0)</f>
        <v>1.5429577615577727E-13</v>
      </c>
      <c r="P132" s="14">
        <f t="shared" si="87"/>
        <v>2.2038482767263348E-12</v>
      </c>
      <c r="Q132" s="22">
        <f t="shared" si="108"/>
        <v>4.107100892103012E-12</v>
      </c>
      <c r="R132" s="62">
        <f t="shared" si="109"/>
        <v>293.33333333333741</v>
      </c>
      <c r="S132" s="62">
        <f ca="1">AVERAGE(OFFSET($R$3,0,0,'Données projet'!$E$9+1,1))-AVERAGE(OFFSET($H$3,0,0,'Données projet'!$E$9+1,1))</f>
        <v>371.75294069149942</v>
      </c>
      <c r="T132" s="62">
        <f t="shared" si="88"/>
        <v>233.32640143610547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projet'!$B$10,Paramètres!$A$1:$I$89,3,0)*VLOOKUP('Données projet'!$B$10,Paramètres!$A$1:$I$89,5,0)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405.09126081846171</v>
      </c>
      <c r="AO132" s="62">
        <f t="shared" si="90"/>
        <v>534.22295841722166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0.33870797982888634</v>
      </c>
      <c r="AV132" s="23">
        <f>EXP(-LN(2)/25)*AV131+(1-EXP(-LN(2)/25))/(LN(2)/25)*Calculateur!AQ132*Calculateur!AS132*VLOOKUP('Données projet'!$B$10,Paramètres!$A$1:$I$89,3,0)*0.475*44/12</f>
        <v>0.56013667634892061</v>
      </c>
      <c r="AW132" s="23">
        <f>EXP(-LN(2)/2)*AW131+(1-EXP(-LN(2)/2))/(LN(2)/2)*AQ132*AT132*VLOOKUP('Données projet'!$B$10,Paramètres!$A$1:$I$89,3,0)*0.475*44/12</f>
        <v>4.6469745708273212E-16</v>
      </c>
      <c r="AX132" s="23">
        <f t="shared" ref="AX132:AX153" si="114">SUM(AU132:AW132)</f>
        <v>0.8988446561778074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3.4106051316484809E-13</v>
      </c>
      <c r="BE132" s="14">
        <f>BD132*VLOOKUP('Données projet'!$B$11,Paramètres!$A$1:$I$89,3,0)*VLOOKUP('Données projet'!$B$11,Paramètres!$A$1:$I$89,5,0)</f>
        <v>1.9508661353029313E-13</v>
      </c>
      <c r="BF132" s="14">
        <f t="shared" si="91"/>
        <v>2.711421636700695E-12</v>
      </c>
      <c r="BG132" s="22">
        <f t="shared" ref="BG132:BG153" si="115">(BE132+BF132)*0.475*44/12</f>
        <v>5.0621685358189711E-12</v>
      </c>
      <c r="BH132" s="62">
        <f t="shared" ref="BH132:BH195" si="116">BG132+(AY132+AZ132)*44/12</f>
        <v>293.33333333333837</v>
      </c>
      <c r="BI132" s="62">
        <f ca="1">AVERAGE(OFFSET($BH$3,0,0,'Données projet'!$E$11+1,1))-AVERAGE(OFFSET($H$3,0,0,'Données projet'!$E$11+1,1))</f>
        <v>258.09881752732008</v>
      </c>
      <c r="BJ132" s="62">
        <f t="shared" si="92"/>
        <v>214.72899476643335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0.40212639549689433</v>
      </c>
      <c r="BR132" s="23">
        <f>EXP(-LN(2)/2)*BR131+(1-EXP(-LN(2)/2))/(LN(2)/2)*BL132*BO132*VLOOKUP('Données projet'!$B$11,Paramètres!$A$1:$I$89,3,0)*0.475*44/12</f>
        <v>5.4676584477747745E-15</v>
      </c>
      <c r="BS132" s="24">
        <f t="shared" ref="BS132:BS153" si="117">SUM(BP132:BR132)</f>
        <v>0.40212639549689977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1.7053025658242404E-13</v>
      </c>
      <c r="O133" s="14">
        <f>N133*VLOOKUP('Données projet'!$B$9,Paramètres!$A$1:$I$89,3,0)*VLOOKUP('Données projet'!$B$9,Paramètres!$A$1:$I$89,5,0)</f>
        <v>1.5429577615577727E-13</v>
      </c>
      <c r="P133" s="14">
        <f t="shared" ref="P133:P196" si="141">EXP(-1.0587+0.8836*LN(O133)+0.284)</f>
        <v>2.2038482767263348E-12</v>
      </c>
      <c r="Q133" s="22">
        <f t="shared" si="108"/>
        <v>4.107100892103012E-12</v>
      </c>
      <c r="R133" s="62">
        <f t="shared" si="109"/>
        <v>293.33333333333741</v>
      </c>
      <c r="S133" s="62">
        <f ca="1">AVERAGE(OFFSET($R$3,0,0,'Données projet'!$E$9+1,1))-AVERAGE(OFFSET($H$3,0,0,'Données projet'!$E$9+1,1))</f>
        <v>371.75294069149942</v>
      </c>
      <c r="T133" s="62">
        <f t="shared" ref="T133:T196" si="142">$T$3</f>
        <v>233.32640143610547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projet'!$B$10,Paramètres!$A$1:$I$89,3,0)*VLOOKUP('Données projet'!$B$10,Paramètres!$A$1:$I$89,5,0)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405.09126081846171</v>
      </c>
      <c r="AO133" s="62">
        <f t="shared" ref="AO133:AO196" si="144">$AO$3</f>
        <v>534.22295841722166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0.33206612293591037</v>
      </c>
      <c r="AV133" s="23">
        <f>EXP(-LN(2)/25)*AV132+(1-EXP(-LN(2)/25))/(LN(2)/25)*Calculateur!AQ133*Calculateur!AS133*VLOOKUP('Données projet'!$B$10,Paramètres!$A$1:$I$89,3,0)*0.475*44/12</f>
        <v>0.54481970947785174</v>
      </c>
      <c r="AW133" s="23">
        <f>EXP(-LN(2)/2)*AW132+(1-EXP(-LN(2)/2))/(LN(2)/2)*AQ133*AT133*VLOOKUP('Données projet'!$B$10,Paramètres!$A$1:$I$89,3,0)*0.475*44/12</f>
        <v>3.2859072310334453E-16</v>
      </c>
      <c r="AX133" s="23">
        <f t="shared" si="114"/>
        <v>0.87688583241376239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3.4106051316484809E-13</v>
      </c>
      <c r="BE133" s="14">
        <f>BD133*VLOOKUP('Données projet'!$B$11,Paramètres!$A$1:$I$89,3,0)*VLOOKUP('Données projet'!$B$11,Paramètres!$A$1:$I$89,5,0)</f>
        <v>1.9508661353029313E-13</v>
      </c>
      <c r="BF133" s="14">
        <f t="shared" ref="BF133:BF153" si="145">EXP(-1.0587+0.8836*LN(BE133)+0.284)</f>
        <v>2.711421636700695E-12</v>
      </c>
      <c r="BG133" s="22">
        <f t="shared" si="115"/>
        <v>5.0621685358189711E-12</v>
      </c>
      <c r="BH133" s="62">
        <f t="shared" si="116"/>
        <v>293.33333333333837</v>
      </c>
      <c r="BI133" s="62">
        <f ca="1">AVERAGE(OFFSET($BH$3,0,0,'Données projet'!$E$11+1,1))-AVERAGE(OFFSET($H$3,0,0,'Données projet'!$E$11+1,1))</f>
        <v>258.09881752732008</v>
      </c>
      <c r="BJ133" s="62">
        <f t="shared" ref="BJ133:BJ196" si="146">$BJ$3</f>
        <v>214.72899476643335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0.39113022806512371</v>
      </c>
      <c r="BR133" s="23">
        <f>EXP(-LN(2)/2)*BR132+(1-EXP(-LN(2)/2))/(LN(2)/2)*BL133*BO133*VLOOKUP('Données projet'!$B$11,Paramètres!$A$1:$I$89,3,0)*0.475*44/12</f>
        <v>3.8662183656334555E-15</v>
      </c>
      <c r="BS133" s="24">
        <f t="shared" si="117"/>
        <v>0.39113022806512759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1.7053025658242404E-13</v>
      </c>
      <c r="O134" s="14">
        <f>N134*VLOOKUP('Données projet'!$B$9,Paramètres!$A$1:$I$89,3,0)*VLOOKUP('Données projet'!$B$9,Paramètres!$A$1:$I$89,5,0)</f>
        <v>1.5429577615577727E-13</v>
      </c>
      <c r="P134" s="14">
        <f t="shared" si="141"/>
        <v>2.2038482767263348E-12</v>
      </c>
      <c r="Q134" s="22">
        <f t="shared" si="108"/>
        <v>4.107100892103012E-12</v>
      </c>
      <c r="R134" s="62">
        <f t="shared" si="109"/>
        <v>293.33333333333741</v>
      </c>
      <c r="S134" s="62">
        <f ca="1">AVERAGE(OFFSET($R$3,0,0,'Données projet'!$E$9+1,1))-AVERAGE(OFFSET($H$3,0,0,'Données projet'!$E$9+1,1))</f>
        <v>371.75294069149942</v>
      </c>
      <c r="T134" s="62">
        <f t="shared" si="142"/>
        <v>233.32640143610547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projet'!$B$10,Paramètres!$A$1:$I$89,3,0)*VLOOKUP('Données projet'!$B$10,Paramètres!$A$1:$I$89,5,0)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405.09126081846171</v>
      </c>
      <c r="AO134" s="62">
        <f t="shared" si="144"/>
        <v>534.22295841722166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0.32555450880547299</v>
      </c>
      <c r="AV134" s="23">
        <f>EXP(-LN(2)/25)*AV133+(1-EXP(-LN(2)/25))/(LN(2)/25)*Calculateur!AQ134*Calculateur!AS134*VLOOKUP('Données projet'!$B$10,Paramètres!$A$1:$I$89,3,0)*0.475*44/12</f>
        <v>0.52992158587135652</v>
      </c>
      <c r="AW134" s="23">
        <f>EXP(-LN(2)/2)*AW133+(1-EXP(-LN(2)/2))/(LN(2)/2)*AQ134*AT134*VLOOKUP('Données projet'!$B$10,Paramètres!$A$1:$I$89,3,0)*0.475*44/12</f>
        <v>2.3234872854136606E-16</v>
      </c>
      <c r="AX134" s="23">
        <f t="shared" si="114"/>
        <v>0.85547609467682972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3.4106051316484809E-13</v>
      </c>
      <c r="BE134" s="14">
        <f>BD134*VLOOKUP('Données projet'!$B$11,Paramètres!$A$1:$I$89,3,0)*VLOOKUP('Données projet'!$B$11,Paramètres!$A$1:$I$89,5,0)</f>
        <v>1.9508661353029313E-13</v>
      </c>
      <c r="BF134" s="14">
        <f t="shared" si="145"/>
        <v>2.711421636700695E-12</v>
      </c>
      <c r="BG134" s="22">
        <f t="shared" si="115"/>
        <v>5.0621685358189711E-12</v>
      </c>
      <c r="BH134" s="62">
        <f t="shared" si="116"/>
        <v>293.33333333333837</v>
      </c>
      <c r="BI134" s="62">
        <f ca="1">AVERAGE(OFFSET($BH$3,0,0,'Données projet'!$E$11+1,1))-AVERAGE(OFFSET($H$3,0,0,'Données projet'!$E$11+1,1))</f>
        <v>258.09881752732008</v>
      </c>
      <c r="BJ134" s="62">
        <f t="shared" si="146"/>
        <v>214.72899476643335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0.38043475141003813</v>
      </c>
      <c r="BR134" s="23">
        <f>EXP(-LN(2)/2)*BR133+(1-EXP(-LN(2)/2))/(LN(2)/2)*BL134*BO134*VLOOKUP('Données projet'!$B$11,Paramètres!$A$1:$I$89,3,0)*0.475*44/12</f>
        <v>2.7338292238873873E-15</v>
      </c>
      <c r="BS134" s="24">
        <f t="shared" si="117"/>
        <v>0.38043475141004085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1.7053025658242404E-13</v>
      </c>
      <c r="O135" s="14">
        <f>N135*VLOOKUP('Données projet'!$B$9,Paramètres!$A$1:$I$89,3,0)*VLOOKUP('Données projet'!$B$9,Paramètres!$A$1:$I$89,5,0)</f>
        <v>1.5429577615577727E-13</v>
      </c>
      <c r="P135" s="14">
        <f t="shared" si="141"/>
        <v>2.2038482767263348E-12</v>
      </c>
      <c r="Q135" s="22">
        <f t="shared" si="108"/>
        <v>4.107100892103012E-12</v>
      </c>
      <c r="R135" s="62">
        <f t="shared" si="109"/>
        <v>293.33333333333741</v>
      </c>
      <c r="S135" s="62">
        <f ca="1">AVERAGE(OFFSET($R$3,0,0,'Données projet'!$E$9+1,1))-AVERAGE(OFFSET($H$3,0,0,'Données projet'!$E$9+1,1))</f>
        <v>371.75294069149942</v>
      </c>
      <c r="T135" s="62">
        <f t="shared" si="142"/>
        <v>233.32640143610547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projet'!$B$10,Paramètres!$A$1:$I$89,3,0)*VLOOKUP('Données projet'!$B$10,Paramètres!$A$1:$I$89,5,0)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405.09126081846171</v>
      </c>
      <c r="AO135" s="62">
        <f t="shared" si="144"/>
        <v>534.22295841722166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0.319170583456441</v>
      </c>
      <c r="AV135" s="23">
        <f>EXP(-LN(2)/25)*AV134+(1-EXP(-LN(2)/25))/(LN(2)/25)*Calculateur!AQ135*Calculateur!AS135*VLOOKUP('Données projet'!$B$10,Paramètres!$A$1:$I$89,3,0)*0.475*44/12</f>
        <v>0.51543085223833918</v>
      </c>
      <c r="AW135" s="23">
        <f>EXP(-LN(2)/2)*AW134+(1-EXP(-LN(2)/2))/(LN(2)/2)*AQ135*AT135*VLOOKUP('Données projet'!$B$10,Paramètres!$A$1:$I$89,3,0)*0.475*44/12</f>
        <v>1.6429536155167227E-16</v>
      </c>
      <c r="AX135" s="23">
        <f t="shared" si="114"/>
        <v>0.83460143569478029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3.4106051316484809E-13</v>
      </c>
      <c r="BE135" s="14">
        <f>BD135*VLOOKUP('Données projet'!$B$11,Paramètres!$A$1:$I$89,3,0)*VLOOKUP('Données projet'!$B$11,Paramètres!$A$1:$I$89,5,0)</f>
        <v>1.9508661353029313E-13</v>
      </c>
      <c r="BF135" s="14">
        <f t="shared" si="145"/>
        <v>2.711421636700695E-12</v>
      </c>
      <c r="BG135" s="22">
        <f t="shared" si="115"/>
        <v>5.0621685358189711E-12</v>
      </c>
      <c r="BH135" s="62">
        <f t="shared" si="116"/>
        <v>293.33333333333837</v>
      </c>
      <c r="BI135" s="62">
        <f ca="1">AVERAGE(OFFSET($BH$3,0,0,'Données projet'!$E$11+1,1))-AVERAGE(OFFSET($H$3,0,0,'Données projet'!$E$11+1,1))</f>
        <v>258.09881752732008</v>
      </c>
      <c r="BJ135" s="62">
        <f t="shared" si="146"/>
        <v>214.72899476643335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0.37003174312653658</v>
      </c>
      <c r="BR135" s="23">
        <f>EXP(-LN(2)/2)*BR134+(1-EXP(-LN(2)/2))/(LN(2)/2)*BL135*BO135*VLOOKUP('Données projet'!$B$11,Paramètres!$A$1:$I$89,3,0)*0.475*44/12</f>
        <v>1.9331091828167278E-15</v>
      </c>
      <c r="BS135" s="24">
        <f t="shared" si="117"/>
        <v>0.37003174312653853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1.7053025658242404E-13</v>
      </c>
      <c r="O136" s="14">
        <f>N136*VLOOKUP('Données projet'!$B$9,Paramètres!$A$1:$I$89,3,0)*VLOOKUP('Données projet'!$B$9,Paramètres!$A$1:$I$89,5,0)</f>
        <v>1.5429577615577727E-13</v>
      </c>
      <c r="P136" s="14">
        <f t="shared" si="141"/>
        <v>2.2038482767263348E-12</v>
      </c>
      <c r="Q136" s="22">
        <f t="shared" si="108"/>
        <v>4.107100892103012E-12</v>
      </c>
      <c r="R136" s="62">
        <f t="shared" si="109"/>
        <v>293.33333333333741</v>
      </c>
      <c r="S136" s="62">
        <f ca="1">AVERAGE(OFFSET($R$3,0,0,'Données projet'!$E$9+1,1))-AVERAGE(OFFSET($H$3,0,0,'Données projet'!$E$9+1,1))</f>
        <v>371.75294069149942</v>
      </c>
      <c r="T136" s="62">
        <f t="shared" si="142"/>
        <v>233.32640143610547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projet'!$B$10,Paramètres!$A$1:$I$89,3,0)*VLOOKUP('Données projet'!$B$10,Paramètres!$A$1:$I$89,5,0)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405.09126081846171</v>
      </c>
      <c r="AO136" s="62">
        <f t="shared" si="144"/>
        <v>534.22295841722166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0.31291184298969354</v>
      </c>
      <c r="AV136" s="23">
        <f>EXP(-LN(2)/25)*AV135+(1-EXP(-LN(2)/25))/(LN(2)/25)*Calculateur!AQ136*Calculateur!AS136*VLOOKUP('Données projet'!$B$10,Paramètres!$A$1:$I$89,3,0)*0.475*44/12</f>
        <v>0.50133636847855134</v>
      </c>
      <c r="AW136" s="23">
        <f>EXP(-LN(2)/2)*AW135+(1-EXP(-LN(2)/2))/(LN(2)/2)*AQ136*AT136*VLOOKUP('Données projet'!$B$10,Paramètres!$A$1:$I$89,3,0)*0.475*44/12</f>
        <v>1.1617436427068303E-16</v>
      </c>
      <c r="AX136" s="23">
        <f t="shared" si="114"/>
        <v>0.814248211468245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3.4106051316484809E-13</v>
      </c>
      <c r="BE136" s="14">
        <f>BD136*VLOOKUP('Données projet'!$B$11,Paramètres!$A$1:$I$89,3,0)*VLOOKUP('Données projet'!$B$11,Paramètres!$A$1:$I$89,5,0)</f>
        <v>1.9508661353029313E-13</v>
      </c>
      <c r="BF136" s="14">
        <f t="shared" si="145"/>
        <v>2.711421636700695E-12</v>
      </c>
      <c r="BG136" s="22">
        <f t="shared" si="115"/>
        <v>5.0621685358189711E-12</v>
      </c>
      <c r="BH136" s="62">
        <f t="shared" si="116"/>
        <v>293.33333333333837</v>
      </c>
      <c r="BI136" s="62">
        <f ca="1">AVERAGE(OFFSET($BH$3,0,0,'Données projet'!$E$11+1,1))-AVERAGE(OFFSET($H$3,0,0,'Données projet'!$E$11+1,1))</f>
        <v>258.09881752732008</v>
      </c>
      <c r="BJ136" s="62">
        <f t="shared" si="146"/>
        <v>214.72899476643335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0.35991320565161777</v>
      </c>
      <c r="BR136" s="23">
        <f>EXP(-LN(2)/2)*BR135+(1-EXP(-LN(2)/2))/(LN(2)/2)*BL136*BO136*VLOOKUP('Données projet'!$B$11,Paramètres!$A$1:$I$89,3,0)*0.475*44/12</f>
        <v>1.3669146119436936E-15</v>
      </c>
      <c r="BS136" s="24">
        <f t="shared" si="117"/>
        <v>0.35991320565161916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1.7053025658242404E-13</v>
      </c>
      <c r="O137" s="14">
        <f>N137*VLOOKUP('Données projet'!$B$9,Paramètres!$A$1:$I$89,3,0)*VLOOKUP('Données projet'!$B$9,Paramètres!$A$1:$I$89,5,0)</f>
        <v>1.5429577615577727E-13</v>
      </c>
      <c r="P137" s="14">
        <f t="shared" si="141"/>
        <v>2.2038482767263348E-12</v>
      </c>
      <c r="Q137" s="22">
        <f t="shared" si="108"/>
        <v>4.107100892103012E-12</v>
      </c>
      <c r="R137" s="62">
        <f t="shared" si="109"/>
        <v>293.33333333333741</v>
      </c>
      <c r="S137" s="62">
        <f ca="1">AVERAGE(OFFSET($R$3,0,0,'Données projet'!$E$9+1,1))-AVERAGE(OFFSET($H$3,0,0,'Données projet'!$E$9+1,1))</f>
        <v>371.75294069149942</v>
      </c>
      <c r="T137" s="62">
        <f t="shared" si="142"/>
        <v>233.32640143610547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projet'!$B$10,Paramètres!$A$1:$I$89,3,0)*VLOOKUP('Données projet'!$B$10,Paramètres!$A$1:$I$89,5,0)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405.09126081846171</v>
      </c>
      <c r="AO137" s="62">
        <f t="shared" si="144"/>
        <v>534.22295841722166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0.3067758326060443</v>
      </c>
      <c r="AV137" s="23">
        <f>EXP(-LN(2)/25)*AV136+(1-EXP(-LN(2)/25))/(LN(2)/25)*Calculateur!AQ137*Calculateur!AS137*VLOOKUP('Données projet'!$B$10,Paramètres!$A$1:$I$89,3,0)*0.475*44/12</f>
        <v>0.48762729911837155</v>
      </c>
      <c r="AW137" s="23">
        <f>EXP(-LN(2)/2)*AW136+(1-EXP(-LN(2)/2))/(LN(2)/2)*AQ137*AT137*VLOOKUP('Données projet'!$B$10,Paramètres!$A$1:$I$89,3,0)*0.475*44/12</f>
        <v>8.2147680775836134E-17</v>
      </c>
      <c r="AX137" s="23">
        <f t="shared" si="114"/>
        <v>0.7944031317244159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3.4106051316484809E-13</v>
      </c>
      <c r="BE137" s="14">
        <f>BD137*VLOOKUP('Données projet'!$B$11,Paramètres!$A$1:$I$89,3,0)*VLOOKUP('Données projet'!$B$11,Paramètres!$A$1:$I$89,5,0)</f>
        <v>1.9508661353029313E-13</v>
      </c>
      <c r="BF137" s="14">
        <f t="shared" si="145"/>
        <v>2.711421636700695E-12</v>
      </c>
      <c r="BG137" s="22">
        <f t="shared" si="115"/>
        <v>5.0621685358189711E-12</v>
      </c>
      <c r="BH137" s="62">
        <f t="shared" si="116"/>
        <v>293.33333333333837</v>
      </c>
      <c r="BI137" s="62">
        <f ca="1">AVERAGE(OFFSET($BH$3,0,0,'Données projet'!$E$11+1,1))-AVERAGE(OFFSET($H$3,0,0,'Données projet'!$E$11+1,1))</f>
        <v>258.09881752732008</v>
      </c>
      <c r="BJ137" s="62">
        <f t="shared" si="146"/>
        <v>214.72899476643335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0.35007136011606138</v>
      </c>
      <c r="BR137" s="23">
        <f>EXP(-LN(2)/2)*BR136+(1-EXP(-LN(2)/2))/(LN(2)/2)*BL137*BO137*VLOOKUP('Données projet'!$B$11,Paramètres!$A$1:$I$89,3,0)*0.475*44/12</f>
        <v>9.6655459140836389E-16</v>
      </c>
      <c r="BS137" s="24">
        <f t="shared" si="117"/>
        <v>0.35007136011606232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1.7053025658242404E-13</v>
      </c>
      <c r="O138" s="14">
        <f>N138*VLOOKUP('Données projet'!$B$9,Paramètres!$A$1:$I$89,3,0)*VLOOKUP('Données projet'!$B$9,Paramètres!$A$1:$I$89,5,0)</f>
        <v>1.5429577615577727E-13</v>
      </c>
      <c r="P138" s="14">
        <f t="shared" si="141"/>
        <v>2.2038482767263348E-12</v>
      </c>
      <c r="Q138" s="22">
        <f t="shared" si="108"/>
        <v>4.107100892103012E-12</v>
      </c>
      <c r="R138" s="62">
        <f t="shared" si="109"/>
        <v>293.33333333333741</v>
      </c>
      <c r="S138" s="62">
        <f ca="1">AVERAGE(OFFSET($R$3,0,0,'Données projet'!$E$9+1,1))-AVERAGE(OFFSET($H$3,0,0,'Données projet'!$E$9+1,1))</f>
        <v>371.75294069149942</v>
      </c>
      <c r="T138" s="62">
        <f t="shared" si="142"/>
        <v>233.32640143610547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projet'!$B$10,Paramètres!$A$1:$I$89,3,0)*VLOOKUP('Données projet'!$B$10,Paramètres!$A$1:$I$89,5,0)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405.09126081846171</v>
      </c>
      <c r="AO138" s="62">
        <f t="shared" si="144"/>
        <v>534.22295841722166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0.30076014564342163</v>
      </c>
      <c r="AV138" s="23">
        <f>EXP(-LN(2)/25)*AV137+(1-EXP(-LN(2)/25))/(LN(2)/25)*Calculateur!AQ138*Calculateur!AS138*VLOOKUP('Données projet'!$B$10,Paramètres!$A$1:$I$89,3,0)*0.475*44/12</f>
        <v>0.47429310498077448</v>
      </c>
      <c r="AW138" s="23">
        <f>EXP(-LN(2)/2)*AW137+(1-EXP(-LN(2)/2))/(LN(2)/2)*AQ138*AT138*VLOOKUP('Données projet'!$B$10,Paramètres!$A$1:$I$89,3,0)*0.475*44/12</f>
        <v>5.8087182135341516E-17</v>
      </c>
      <c r="AX138" s="23">
        <f t="shared" si="114"/>
        <v>0.77505325062419617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3.4106051316484809E-13</v>
      </c>
      <c r="BE138" s="14">
        <f>BD138*VLOOKUP('Données projet'!$B$11,Paramètres!$A$1:$I$89,3,0)*VLOOKUP('Données projet'!$B$11,Paramètres!$A$1:$I$89,5,0)</f>
        <v>1.9508661353029313E-13</v>
      </c>
      <c r="BF138" s="14">
        <f t="shared" si="145"/>
        <v>2.711421636700695E-12</v>
      </c>
      <c r="BG138" s="22">
        <f t="shared" si="115"/>
        <v>5.0621685358189711E-12</v>
      </c>
      <c r="BH138" s="62">
        <f t="shared" si="116"/>
        <v>293.33333333333837</v>
      </c>
      <c r="BI138" s="62">
        <f ca="1">AVERAGE(OFFSET($BH$3,0,0,'Données projet'!$E$11+1,1))-AVERAGE(OFFSET($H$3,0,0,'Données projet'!$E$11+1,1))</f>
        <v>258.09881752732008</v>
      </c>
      <c r="BJ138" s="62">
        <f t="shared" si="146"/>
        <v>214.72899476643335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0.34049864036423494</v>
      </c>
      <c r="BR138" s="23">
        <f>EXP(-LN(2)/2)*BR137+(1-EXP(-LN(2)/2))/(LN(2)/2)*BL138*BO138*VLOOKUP('Données projet'!$B$11,Paramètres!$A$1:$I$89,3,0)*0.475*44/12</f>
        <v>6.8345730597184681E-16</v>
      </c>
      <c r="BS138" s="24">
        <f t="shared" si="117"/>
        <v>0.34049864036423561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1.7053025658242404E-13</v>
      </c>
      <c r="O139" s="14">
        <f>N139*VLOOKUP('Données projet'!$B$9,Paramètres!$A$1:$I$89,3,0)*VLOOKUP('Données projet'!$B$9,Paramètres!$A$1:$I$89,5,0)</f>
        <v>1.5429577615577727E-13</v>
      </c>
      <c r="P139" s="14">
        <f t="shared" si="141"/>
        <v>2.2038482767263348E-12</v>
      </c>
      <c r="Q139" s="22">
        <f t="shared" si="108"/>
        <v>4.107100892103012E-12</v>
      </c>
      <c r="R139" s="62">
        <f t="shared" si="109"/>
        <v>293.33333333333741</v>
      </c>
      <c r="S139" s="62">
        <f ca="1">AVERAGE(OFFSET($R$3,0,0,'Données projet'!$E$9+1,1))-AVERAGE(OFFSET($H$3,0,0,'Données projet'!$E$9+1,1))</f>
        <v>371.75294069149942</v>
      </c>
      <c r="T139" s="62">
        <f t="shared" si="142"/>
        <v>233.32640143610547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projet'!$B$10,Paramètres!$A$1:$I$89,3,0)*VLOOKUP('Données projet'!$B$10,Paramètres!$A$1:$I$89,5,0)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405.09126081846171</v>
      </c>
      <c r="AO139" s="62">
        <f t="shared" si="144"/>
        <v>534.22295841722166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0.29486242263292922</v>
      </c>
      <c r="AV139" s="23">
        <f>EXP(-LN(2)/25)*AV138+(1-EXP(-LN(2)/25))/(LN(2)/25)*Calculateur!AQ139*Calculateur!AS139*VLOOKUP('Données projet'!$B$10,Paramètres!$A$1:$I$89,3,0)*0.475*44/12</f>
        <v>0.46132353508308482</v>
      </c>
      <c r="AW139" s="23">
        <f>EXP(-LN(2)/2)*AW138+(1-EXP(-LN(2)/2))/(LN(2)/2)*AQ139*AT139*VLOOKUP('Données projet'!$B$10,Paramètres!$A$1:$I$89,3,0)*0.475*44/12</f>
        <v>4.1073840387918067E-17</v>
      </c>
      <c r="AX139" s="23">
        <f t="shared" si="114"/>
        <v>0.75618595771601405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3.4106051316484809E-13</v>
      </c>
      <c r="BE139" s="14">
        <f>BD139*VLOOKUP('Données projet'!$B$11,Paramètres!$A$1:$I$89,3,0)*VLOOKUP('Données projet'!$B$11,Paramètres!$A$1:$I$89,5,0)</f>
        <v>1.9508661353029313E-13</v>
      </c>
      <c r="BF139" s="14">
        <f t="shared" si="145"/>
        <v>2.711421636700695E-12</v>
      </c>
      <c r="BG139" s="22">
        <f t="shared" si="115"/>
        <v>5.0621685358189711E-12</v>
      </c>
      <c r="BH139" s="62">
        <f t="shared" si="116"/>
        <v>293.33333333333837</v>
      </c>
      <c r="BI139" s="62">
        <f ca="1">AVERAGE(OFFSET($BH$3,0,0,'Données projet'!$E$11+1,1))-AVERAGE(OFFSET($H$3,0,0,'Données projet'!$E$11+1,1))</f>
        <v>258.09881752732008</v>
      </c>
      <c r="BJ139" s="62">
        <f t="shared" si="146"/>
        <v>214.72899476643335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0.33118768713742963</v>
      </c>
      <c r="BR139" s="23">
        <f>EXP(-LN(2)/2)*BR138+(1-EXP(-LN(2)/2))/(LN(2)/2)*BL139*BO139*VLOOKUP('Données projet'!$B$11,Paramètres!$A$1:$I$89,3,0)*0.475*44/12</f>
        <v>4.8327729570418194E-16</v>
      </c>
      <c r="BS139" s="24">
        <f t="shared" si="117"/>
        <v>0.33118768713743013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1.7053025658242404E-13</v>
      </c>
      <c r="O140" s="14">
        <f>N140*VLOOKUP('Données projet'!$B$9,Paramètres!$A$1:$I$89,3,0)*VLOOKUP('Données projet'!$B$9,Paramètres!$A$1:$I$89,5,0)</f>
        <v>1.5429577615577727E-13</v>
      </c>
      <c r="P140" s="14">
        <f t="shared" si="141"/>
        <v>2.2038482767263348E-12</v>
      </c>
      <c r="Q140" s="22">
        <f t="shared" si="108"/>
        <v>4.107100892103012E-12</v>
      </c>
      <c r="R140" s="62">
        <f t="shared" si="109"/>
        <v>293.33333333333741</v>
      </c>
      <c r="S140" s="62">
        <f ca="1">AVERAGE(OFFSET($R$3,0,0,'Données projet'!$E$9+1,1))-AVERAGE(OFFSET($H$3,0,0,'Données projet'!$E$9+1,1))</f>
        <v>371.75294069149942</v>
      </c>
      <c r="T140" s="62">
        <f t="shared" si="142"/>
        <v>233.32640143610547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projet'!$B$10,Paramètres!$A$1:$I$89,3,0)*VLOOKUP('Données projet'!$B$10,Paramètres!$A$1:$I$89,5,0)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405.09126081846171</v>
      </c>
      <c r="AO140" s="62">
        <f t="shared" si="144"/>
        <v>534.22295841722166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0.28908035037341673</v>
      </c>
      <c r="AV140" s="23">
        <f>EXP(-LN(2)/25)*AV139+(1-EXP(-LN(2)/25))/(LN(2)/25)*Calculateur!AQ140*Calculateur!AS140*VLOOKUP('Données projet'!$B$10,Paramètres!$A$1:$I$89,3,0)*0.475*44/12</f>
        <v>0.44870861875628754</v>
      </c>
      <c r="AW140" s="23">
        <f>EXP(-LN(2)/2)*AW139+(1-EXP(-LN(2)/2))/(LN(2)/2)*AQ140*AT140*VLOOKUP('Données projet'!$B$10,Paramètres!$A$1:$I$89,3,0)*0.475*44/12</f>
        <v>2.9043591067670758E-17</v>
      </c>
      <c r="AX140" s="23">
        <f t="shared" si="114"/>
        <v>0.73778896912970426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3.4106051316484809E-13</v>
      </c>
      <c r="BE140" s="14">
        <f>BD140*VLOOKUP('Données projet'!$B$11,Paramètres!$A$1:$I$89,3,0)*VLOOKUP('Données projet'!$B$11,Paramètres!$A$1:$I$89,5,0)</f>
        <v>1.9508661353029313E-13</v>
      </c>
      <c r="BF140" s="14">
        <f t="shared" si="145"/>
        <v>2.711421636700695E-12</v>
      </c>
      <c r="BG140" s="22">
        <f t="shared" si="115"/>
        <v>5.0621685358189711E-12</v>
      </c>
      <c r="BH140" s="62">
        <f t="shared" si="116"/>
        <v>293.33333333333837</v>
      </c>
      <c r="BI140" s="62">
        <f ca="1">AVERAGE(OFFSET($BH$3,0,0,'Données projet'!$E$11+1,1))-AVERAGE(OFFSET($H$3,0,0,'Données projet'!$E$11+1,1))</f>
        <v>258.09881752732008</v>
      </c>
      <c r="BJ140" s="62">
        <f t="shared" si="146"/>
        <v>214.72899476643335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0.32213134241625307</v>
      </c>
      <c r="BR140" s="23">
        <f>EXP(-LN(2)/2)*BR139+(1-EXP(-LN(2)/2))/(LN(2)/2)*BL140*BO140*VLOOKUP('Données projet'!$B$11,Paramètres!$A$1:$I$89,3,0)*0.475*44/12</f>
        <v>3.4172865298592341E-16</v>
      </c>
      <c r="BS140" s="24">
        <f t="shared" si="117"/>
        <v>0.32213134241625341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1.7053025658242404E-13</v>
      </c>
      <c r="O141" s="14">
        <f>N141*VLOOKUP('Données projet'!$B$9,Paramètres!$A$1:$I$89,3,0)*VLOOKUP('Données projet'!$B$9,Paramètres!$A$1:$I$89,5,0)</f>
        <v>1.5429577615577727E-13</v>
      </c>
      <c r="P141" s="14">
        <f t="shared" si="141"/>
        <v>2.2038482767263348E-12</v>
      </c>
      <c r="Q141" s="22">
        <f t="shared" si="108"/>
        <v>4.107100892103012E-12</v>
      </c>
      <c r="R141" s="62">
        <f t="shared" si="109"/>
        <v>293.33333333333741</v>
      </c>
      <c r="S141" s="62">
        <f ca="1">AVERAGE(OFFSET($R$3,0,0,'Données projet'!$E$9+1,1))-AVERAGE(OFFSET($H$3,0,0,'Données projet'!$E$9+1,1))</f>
        <v>371.75294069149942</v>
      </c>
      <c r="T141" s="62">
        <f t="shared" si="142"/>
        <v>233.32640143610547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projet'!$B$10,Paramètres!$A$1:$I$89,3,0)*VLOOKUP('Données projet'!$B$10,Paramètres!$A$1:$I$89,5,0)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405.09126081846171</v>
      </c>
      <c r="AO141" s="62">
        <f t="shared" si="144"/>
        <v>534.22295841722166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0.28341166102419746</v>
      </c>
      <c r="AV141" s="23">
        <f>EXP(-LN(2)/25)*AV140+(1-EXP(-LN(2)/25))/(LN(2)/25)*Calculateur!AQ141*Calculateur!AS141*VLOOKUP('Données projet'!$B$10,Paramètres!$A$1:$I$89,3,0)*0.475*44/12</f>
        <v>0.43643865797983611</v>
      </c>
      <c r="AW141" s="23">
        <f>EXP(-LN(2)/2)*AW140+(1-EXP(-LN(2)/2))/(LN(2)/2)*AQ141*AT141*VLOOKUP('Données projet'!$B$10,Paramètres!$A$1:$I$89,3,0)*0.475*44/12</f>
        <v>2.0536920193959033E-17</v>
      </c>
      <c r="AX141" s="23">
        <f t="shared" si="114"/>
        <v>0.71985031900403351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3.4106051316484809E-13</v>
      </c>
      <c r="BE141" s="14">
        <f>BD141*VLOOKUP('Données projet'!$B$11,Paramètres!$A$1:$I$89,3,0)*VLOOKUP('Données projet'!$B$11,Paramètres!$A$1:$I$89,5,0)</f>
        <v>1.9508661353029313E-13</v>
      </c>
      <c r="BF141" s="14">
        <f t="shared" si="145"/>
        <v>2.711421636700695E-12</v>
      </c>
      <c r="BG141" s="22">
        <f t="shared" si="115"/>
        <v>5.0621685358189711E-12</v>
      </c>
      <c r="BH141" s="62">
        <f t="shared" si="116"/>
        <v>293.33333333333837</v>
      </c>
      <c r="BI141" s="62">
        <f ca="1">AVERAGE(OFFSET($BH$3,0,0,'Données projet'!$E$11+1,1))-AVERAGE(OFFSET($H$3,0,0,'Données projet'!$E$11+1,1))</f>
        <v>258.09881752732008</v>
      </c>
      <c r="BJ141" s="62">
        <f t="shared" si="146"/>
        <v>214.72899476643335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0.31332264391772957</v>
      </c>
      <c r="BR141" s="23">
        <f>EXP(-LN(2)/2)*BR140+(1-EXP(-LN(2)/2))/(LN(2)/2)*BL141*BO141*VLOOKUP('Données projet'!$B$11,Paramètres!$A$1:$I$89,3,0)*0.475*44/12</f>
        <v>2.4163864785209097E-16</v>
      </c>
      <c r="BS141" s="24">
        <f t="shared" si="117"/>
        <v>0.31332264391772979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1.7053025658242404E-13</v>
      </c>
      <c r="O142" s="14">
        <f>N142*VLOOKUP('Données projet'!$B$9,Paramètres!$A$1:$I$89,3,0)*VLOOKUP('Données projet'!$B$9,Paramètres!$A$1:$I$89,5,0)</f>
        <v>1.5429577615577727E-13</v>
      </c>
      <c r="P142" s="14">
        <f t="shared" si="141"/>
        <v>2.2038482767263348E-12</v>
      </c>
      <c r="Q142" s="22">
        <f t="shared" si="108"/>
        <v>4.107100892103012E-12</v>
      </c>
      <c r="R142" s="62">
        <f t="shared" si="109"/>
        <v>293.33333333333741</v>
      </c>
      <c r="S142" s="62">
        <f ca="1">AVERAGE(OFFSET($R$3,0,0,'Données projet'!$E$9+1,1))-AVERAGE(OFFSET($H$3,0,0,'Données projet'!$E$9+1,1))</f>
        <v>371.75294069149942</v>
      </c>
      <c r="T142" s="62">
        <f t="shared" si="142"/>
        <v>233.32640143610547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projet'!$B$10,Paramètres!$A$1:$I$89,3,0)*VLOOKUP('Données projet'!$B$10,Paramètres!$A$1:$I$89,5,0)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405.09126081846171</v>
      </c>
      <c r="AO142" s="62">
        <f t="shared" si="144"/>
        <v>534.22295841722166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0.27785413121555724</v>
      </c>
      <c r="AV142" s="23">
        <f>EXP(-LN(2)/25)*AV141+(1-EXP(-LN(2)/25))/(LN(2)/25)*Calculateur!AQ142*Calculateur!AS142*VLOOKUP('Données projet'!$B$10,Paramètres!$A$1:$I$89,3,0)*0.475*44/12</f>
        <v>0.42450421992606596</v>
      </c>
      <c r="AW142" s="23">
        <f>EXP(-LN(2)/2)*AW141+(1-EXP(-LN(2)/2))/(LN(2)/2)*AQ142*AT142*VLOOKUP('Données projet'!$B$10,Paramètres!$A$1:$I$89,3,0)*0.475*44/12</f>
        <v>1.4521795533835379E-17</v>
      </c>
      <c r="AX142" s="23">
        <f t="shared" si="114"/>
        <v>0.70235835114162315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3.4106051316484809E-13</v>
      </c>
      <c r="BE142" s="14">
        <f>BD142*VLOOKUP('Données projet'!$B$11,Paramètres!$A$1:$I$89,3,0)*VLOOKUP('Données projet'!$B$11,Paramètres!$A$1:$I$89,5,0)</f>
        <v>1.9508661353029313E-13</v>
      </c>
      <c r="BF142" s="14">
        <f t="shared" si="145"/>
        <v>2.711421636700695E-12</v>
      </c>
      <c r="BG142" s="22">
        <f t="shared" si="115"/>
        <v>5.0621685358189711E-12</v>
      </c>
      <c r="BH142" s="62">
        <f t="shared" si="116"/>
        <v>293.33333333333837</v>
      </c>
      <c r="BI142" s="62">
        <f ca="1">AVERAGE(OFFSET($BH$3,0,0,'Données projet'!$E$11+1,1))-AVERAGE(OFFSET($H$3,0,0,'Données projet'!$E$11+1,1))</f>
        <v>258.09881752732008</v>
      </c>
      <c r="BJ142" s="62">
        <f t="shared" si="146"/>
        <v>214.72899476643335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0.30475481974287755</v>
      </c>
      <c r="BR142" s="23">
        <f>EXP(-LN(2)/2)*BR141+(1-EXP(-LN(2)/2))/(LN(2)/2)*BL142*BO142*VLOOKUP('Données projet'!$B$11,Paramètres!$A$1:$I$89,3,0)*0.475*44/12</f>
        <v>1.708643264929617E-16</v>
      </c>
      <c r="BS142" s="24">
        <f t="shared" si="117"/>
        <v>0.30475481974287771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1.7053025658242404E-13</v>
      </c>
      <c r="O143" s="14">
        <f>N143*VLOOKUP('Données projet'!$B$9,Paramètres!$A$1:$I$89,3,0)*VLOOKUP('Données projet'!$B$9,Paramètres!$A$1:$I$89,5,0)</f>
        <v>1.5429577615577727E-13</v>
      </c>
      <c r="P143" s="14">
        <f t="shared" si="141"/>
        <v>2.2038482767263348E-12</v>
      </c>
      <c r="Q143" s="22">
        <f t="shared" si="108"/>
        <v>4.107100892103012E-12</v>
      </c>
      <c r="R143" s="62">
        <f t="shared" si="109"/>
        <v>293.33333333333741</v>
      </c>
      <c r="S143" s="62">
        <f ca="1">AVERAGE(OFFSET($R$3,0,0,'Données projet'!$E$9+1,1))-AVERAGE(OFFSET($H$3,0,0,'Données projet'!$E$9+1,1))</f>
        <v>371.75294069149942</v>
      </c>
      <c r="T143" s="62">
        <f t="shared" si="142"/>
        <v>233.32640143610547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projet'!$B$10,Paramètres!$A$1:$I$89,3,0)*VLOOKUP('Données projet'!$B$10,Paramètres!$A$1:$I$89,5,0)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405.09126081846171</v>
      </c>
      <c r="AO143" s="62">
        <f t="shared" si="144"/>
        <v>534.22295841722166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0.27240558117670599</v>
      </c>
      <c r="AV143" s="23">
        <f>EXP(-LN(2)/25)*AV142+(1-EXP(-LN(2)/25))/(LN(2)/25)*Calculateur!AQ143*Calculateur!AS143*VLOOKUP('Données projet'!$B$10,Paramètres!$A$1:$I$89,3,0)*0.475*44/12</f>
        <v>0.412896129708481</v>
      </c>
      <c r="AW143" s="23">
        <f>EXP(-LN(2)/2)*AW142+(1-EXP(-LN(2)/2))/(LN(2)/2)*AQ143*AT143*VLOOKUP('Données projet'!$B$10,Paramètres!$A$1:$I$89,3,0)*0.475*44/12</f>
        <v>1.0268460096979517E-17</v>
      </c>
      <c r="AX143" s="23">
        <f t="shared" si="114"/>
        <v>0.68530171088518699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3.4106051316484809E-13</v>
      </c>
      <c r="BE143" s="14">
        <f>BD143*VLOOKUP('Données projet'!$B$11,Paramètres!$A$1:$I$89,3,0)*VLOOKUP('Données projet'!$B$11,Paramètres!$A$1:$I$89,5,0)</f>
        <v>1.9508661353029313E-13</v>
      </c>
      <c r="BF143" s="14">
        <f t="shared" si="145"/>
        <v>2.711421636700695E-12</v>
      </c>
      <c r="BG143" s="22">
        <f t="shared" si="115"/>
        <v>5.0621685358189711E-12</v>
      </c>
      <c r="BH143" s="62">
        <f t="shared" si="116"/>
        <v>293.33333333333837</v>
      </c>
      <c r="BI143" s="62">
        <f ca="1">AVERAGE(OFFSET($BH$3,0,0,'Données projet'!$E$11+1,1))-AVERAGE(OFFSET($H$3,0,0,'Données projet'!$E$11+1,1))</f>
        <v>258.09881752732008</v>
      </c>
      <c r="BJ143" s="62">
        <f t="shared" si="146"/>
        <v>214.72899476643335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0.29642128317064914</v>
      </c>
      <c r="BR143" s="23">
        <f>EXP(-LN(2)/2)*BR142+(1-EXP(-LN(2)/2))/(LN(2)/2)*BL143*BO143*VLOOKUP('Données projet'!$B$11,Paramètres!$A$1:$I$89,3,0)*0.475*44/12</f>
        <v>1.2081932392604549E-16</v>
      </c>
      <c r="BS143" s="24">
        <f t="shared" si="117"/>
        <v>0.29642128317064925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1.7053025658242404E-13</v>
      </c>
      <c r="O144" s="14">
        <f>N144*VLOOKUP('Données projet'!$B$9,Paramètres!$A$1:$I$89,3,0)*VLOOKUP('Données projet'!$B$9,Paramètres!$A$1:$I$89,5,0)</f>
        <v>1.5429577615577727E-13</v>
      </c>
      <c r="P144" s="14">
        <f t="shared" si="141"/>
        <v>2.2038482767263348E-12</v>
      </c>
      <c r="Q144" s="22">
        <f t="shared" si="108"/>
        <v>4.107100892103012E-12</v>
      </c>
      <c r="R144" s="62">
        <f t="shared" si="109"/>
        <v>293.33333333333741</v>
      </c>
      <c r="S144" s="62">
        <f ca="1">AVERAGE(OFFSET($R$3,0,0,'Données projet'!$E$9+1,1))-AVERAGE(OFFSET($H$3,0,0,'Données projet'!$E$9+1,1))</f>
        <v>371.75294069149942</v>
      </c>
      <c r="T144" s="62">
        <f t="shared" si="142"/>
        <v>233.32640143610547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projet'!$B$10,Paramètres!$A$1:$I$89,3,0)*VLOOKUP('Données projet'!$B$10,Paramètres!$A$1:$I$89,5,0)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405.09126081846171</v>
      </c>
      <c r="AO144" s="62">
        <f t="shared" si="144"/>
        <v>534.22295841722166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0.26706387388082925</v>
      </c>
      <c r="AV144" s="23">
        <f>EXP(-LN(2)/25)*AV143+(1-EXP(-LN(2)/25))/(LN(2)/25)*Calculateur!AQ144*Calculateur!AS144*VLOOKUP('Données projet'!$B$10,Paramètres!$A$1:$I$89,3,0)*0.475*44/12</f>
        <v>0.4016054633283388</v>
      </c>
      <c r="AW144" s="23">
        <f>EXP(-LN(2)/2)*AW143+(1-EXP(-LN(2)/2))/(LN(2)/2)*AQ144*AT144*VLOOKUP('Données projet'!$B$10,Paramètres!$A$1:$I$89,3,0)*0.475*44/12</f>
        <v>7.2608977669176894E-18</v>
      </c>
      <c r="AX144" s="23">
        <f t="shared" si="114"/>
        <v>0.6686693372091681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3.4106051316484809E-13</v>
      </c>
      <c r="BE144" s="14">
        <f>BD144*VLOOKUP('Données projet'!$B$11,Paramètres!$A$1:$I$89,3,0)*VLOOKUP('Données projet'!$B$11,Paramètres!$A$1:$I$89,5,0)</f>
        <v>1.9508661353029313E-13</v>
      </c>
      <c r="BF144" s="14">
        <f t="shared" si="145"/>
        <v>2.711421636700695E-12</v>
      </c>
      <c r="BG144" s="22">
        <f t="shared" si="115"/>
        <v>5.0621685358189711E-12</v>
      </c>
      <c r="BH144" s="62">
        <f t="shared" si="116"/>
        <v>293.33333333333837</v>
      </c>
      <c r="BI144" s="62">
        <f ca="1">AVERAGE(OFFSET($BH$3,0,0,'Données projet'!$E$11+1,1))-AVERAGE(OFFSET($H$3,0,0,'Données projet'!$E$11+1,1))</f>
        <v>258.09881752732008</v>
      </c>
      <c r="BJ144" s="62">
        <f t="shared" si="146"/>
        <v>214.72899476643335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0.28831562759422996</v>
      </c>
      <c r="BR144" s="23">
        <f>EXP(-LN(2)/2)*BR143+(1-EXP(-LN(2)/2))/(LN(2)/2)*BL144*BO144*VLOOKUP('Données projet'!$B$11,Paramètres!$A$1:$I$89,3,0)*0.475*44/12</f>
        <v>8.5432163246480852E-17</v>
      </c>
      <c r="BS144" s="24">
        <f t="shared" si="117"/>
        <v>0.28831562759423007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1.7053025658242404E-13</v>
      </c>
      <c r="O145" s="14">
        <f>N145*VLOOKUP('Données projet'!$B$9,Paramètres!$A$1:$I$89,3,0)*VLOOKUP('Données projet'!$B$9,Paramètres!$A$1:$I$89,5,0)</f>
        <v>1.5429577615577727E-13</v>
      </c>
      <c r="P145" s="14">
        <f t="shared" si="141"/>
        <v>2.2038482767263348E-12</v>
      </c>
      <c r="Q145" s="22">
        <f t="shared" si="108"/>
        <v>4.107100892103012E-12</v>
      </c>
      <c r="R145" s="62">
        <f t="shared" si="109"/>
        <v>293.33333333333741</v>
      </c>
      <c r="S145" s="62">
        <f ca="1">AVERAGE(OFFSET($R$3,0,0,'Données projet'!$E$9+1,1))-AVERAGE(OFFSET($H$3,0,0,'Données projet'!$E$9+1,1))</f>
        <v>371.75294069149942</v>
      </c>
      <c r="T145" s="62">
        <f t="shared" si="142"/>
        <v>233.32640143610547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projet'!$B$10,Paramètres!$A$1:$I$89,3,0)*VLOOKUP('Données projet'!$B$10,Paramètres!$A$1:$I$89,5,0)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405.09126081846171</v>
      </c>
      <c r="AO145" s="62">
        <f t="shared" si="144"/>
        <v>534.22295841722166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0.2618269142069049</v>
      </c>
      <c r="AV145" s="23">
        <f>EXP(-LN(2)/25)*AV144+(1-EXP(-LN(2)/25))/(LN(2)/25)*Calculateur!AQ145*Calculateur!AS145*VLOOKUP('Données projet'!$B$10,Paramètres!$A$1:$I$89,3,0)*0.475*44/12</f>
        <v>0.39062354081411194</v>
      </c>
      <c r="AW145" s="23">
        <f>EXP(-LN(2)/2)*AW144+(1-EXP(-LN(2)/2))/(LN(2)/2)*AQ145*AT145*VLOOKUP('Données projet'!$B$10,Paramètres!$A$1:$I$89,3,0)*0.475*44/12</f>
        <v>5.1342300484897583E-18</v>
      </c>
      <c r="AX145" s="23">
        <f t="shared" si="114"/>
        <v>0.65245045502101684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3.4106051316484809E-13</v>
      </c>
      <c r="BE145" s="14">
        <f>BD145*VLOOKUP('Données projet'!$B$11,Paramètres!$A$1:$I$89,3,0)*VLOOKUP('Données projet'!$B$11,Paramètres!$A$1:$I$89,5,0)</f>
        <v>1.9508661353029313E-13</v>
      </c>
      <c r="BF145" s="14">
        <f t="shared" si="145"/>
        <v>2.711421636700695E-12</v>
      </c>
      <c r="BG145" s="22">
        <f t="shared" si="115"/>
        <v>5.0621685358189711E-12</v>
      </c>
      <c r="BH145" s="62">
        <f t="shared" si="116"/>
        <v>293.33333333333837</v>
      </c>
      <c r="BI145" s="62">
        <f ca="1">AVERAGE(OFFSET($BH$3,0,0,'Données projet'!$E$11+1,1))-AVERAGE(OFFSET($H$3,0,0,'Données projet'!$E$11+1,1))</f>
        <v>258.09881752732008</v>
      </c>
      <c r="BJ145" s="62">
        <f t="shared" si="146"/>
        <v>214.72899476643335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0.28043162159580587</v>
      </c>
      <c r="BR145" s="23">
        <f>EXP(-LN(2)/2)*BR144+(1-EXP(-LN(2)/2))/(LN(2)/2)*BL145*BO145*VLOOKUP('Données projet'!$B$11,Paramètres!$A$1:$I$89,3,0)*0.475*44/12</f>
        <v>6.0409661963022743E-17</v>
      </c>
      <c r="BS145" s="24">
        <f t="shared" si="117"/>
        <v>0.28043162159580592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1.7053025658242404E-13</v>
      </c>
      <c r="O146" s="14">
        <f>N146*VLOOKUP('Données projet'!$B$9,Paramètres!$A$1:$I$89,3,0)*VLOOKUP('Données projet'!$B$9,Paramètres!$A$1:$I$89,5,0)</f>
        <v>1.5429577615577727E-13</v>
      </c>
      <c r="P146" s="14">
        <f t="shared" si="141"/>
        <v>2.2038482767263348E-12</v>
      </c>
      <c r="Q146" s="22">
        <f t="shared" si="108"/>
        <v>4.107100892103012E-12</v>
      </c>
      <c r="R146" s="62">
        <f t="shared" si="109"/>
        <v>293.33333333333741</v>
      </c>
      <c r="S146" s="62">
        <f ca="1">AVERAGE(OFFSET($R$3,0,0,'Données projet'!$E$9+1,1))-AVERAGE(OFFSET($H$3,0,0,'Données projet'!$E$9+1,1))</f>
        <v>371.75294069149942</v>
      </c>
      <c r="T146" s="62">
        <f t="shared" si="142"/>
        <v>233.32640143610547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projet'!$B$10,Paramètres!$A$1:$I$89,3,0)*VLOOKUP('Données projet'!$B$10,Paramètres!$A$1:$I$89,5,0)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405.09126081846171</v>
      </c>
      <c r="AO146" s="62">
        <f t="shared" si="144"/>
        <v>534.22295841722166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0.25669264811795622</v>
      </c>
      <c r="AV146" s="23">
        <f>EXP(-LN(2)/25)*AV145+(1-EXP(-LN(2)/25))/(LN(2)/25)*Calculateur!AQ146*Calculateur!AS146*VLOOKUP('Données projet'!$B$10,Paramètres!$A$1:$I$89,3,0)*0.475*44/12</f>
        <v>0.37994191954855083</v>
      </c>
      <c r="AW146" s="23">
        <f>EXP(-LN(2)/2)*AW145+(1-EXP(-LN(2)/2))/(LN(2)/2)*AQ146*AT146*VLOOKUP('Données projet'!$B$10,Paramètres!$A$1:$I$89,3,0)*0.475*44/12</f>
        <v>3.6304488834588447E-18</v>
      </c>
      <c r="AX146" s="23">
        <f t="shared" si="114"/>
        <v>0.63663456766650706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3.4106051316484809E-13</v>
      </c>
      <c r="BE146" s="14">
        <f>BD146*VLOOKUP('Données projet'!$B$11,Paramètres!$A$1:$I$89,3,0)*VLOOKUP('Données projet'!$B$11,Paramètres!$A$1:$I$89,5,0)</f>
        <v>1.9508661353029313E-13</v>
      </c>
      <c r="BF146" s="14">
        <f t="shared" si="145"/>
        <v>2.711421636700695E-12</v>
      </c>
      <c r="BG146" s="22">
        <f t="shared" si="115"/>
        <v>5.0621685358189711E-12</v>
      </c>
      <c r="BH146" s="62">
        <f t="shared" si="116"/>
        <v>293.33333333333837</v>
      </c>
      <c r="BI146" s="62">
        <f ca="1">AVERAGE(OFFSET($BH$3,0,0,'Données projet'!$E$11+1,1))-AVERAGE(OFFSET($H$3,0,0,'Données projet'!$E$11+1,1))</f>
        <v>258.09881752732008</v>
      </c>
      <c r="BJ146" s="62">
        <f t="shared" si="146"/>
        <v>214.72899476643335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0.27276320415601052</v>
      </c>
      <c r="BR146" s="23">
        <f>EXP(-LN(2)/2)*BR145+(1-EXP(-LN(2)/2))/(LN(2)/2)*BL146*BO146*VLOOKUP('Données projet'!$B$11,Paramètres!$A$1:$I$89,3,0)*0.475*44/12</f>
        <v>4.2716081623240426E-17</v>
      </c>
      <c r="BS146" s="24">
        <f t="shared" si="117"/>
        <v>0.27276320415601057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1.7053025658242404E-13</v>
      </c>
      <c r="O147" s="14">
        <f>N147*VLOOKUP('Données projet'!$B$9,Paramètres!$A$1:$I$89,3,0)*VLOOKUP('Données projet'!$B$9,Paramètres!$A$1:$I$89,5,0)</f>
        <v>1.5429577615577727E-13</v>
      </c>
      <c r="P147" s="14">
        <f t="shared" si="141"/>
        <v>2.2038482767263348E-12</v>
      </c>
      <c r="Q147" s="22">
        <f t="shared" si="108"/>
        <v>4.107100892103012E-12</v>
      </c>
      <c r="R147" s="62">
        <f t="shared" si="109"/>
        <v>293.33333333333741</v>
      </c>
      <c r="S147" s="62">
        <f ca="1">AVERAGE(OFFSET($R$3,0,0,'Données projet'!$E$9+1,1))-AVERAGE(OFFSET($H$3,0,0,'Données projet'!$E$9+1,1))</f>
        <v>371.75294069149942</v>
      </c>
      <c r="T147" s="62">
        <f t="shared" si="142"/>
        <v>233.32640143610547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projet'!$B$10,Paramètres!$A$1:$I$89,3,0)*VLOOKUP('Données projet'!$B$10,Paramètres!$A$1:$I$89,5,0)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405.09126081846171</v>
      </c>
      <c r="AO147" s="62">
        <f t="shared" si="144"/>
        <v>534.22295841722166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0.25165906185541875</v>
      </c>
      <c r="AV147" s="23">
        <f>EXP(-LN(2)/25)*AV146+(1-EXP(-LN(2)/25))/(LN(2)/25)*Calculateur!AQ147*Calculateur!AS147*VLOOKUP('Données projet'!$B$10,Paramètres!$A$1:$I$89,3,0)*0.475*44/12</f>
        <v>0.36955238777821853</v>
      </c>
      <c r="AW147" s="23">
        <f>EXP(-LN(2)/2)*AW146+(1-EXP(-LN(2)/2))/(LN(2)/2)*AQ147*AT147*VLOOKUP('Données projet'!$B$10,Paramètres!$A$1:$I$89,3,0)*0.475*44/12</f>
        <v>2.5671150242448792E-18</v>
      </c>
      <c r="AX147" s="23">
        <f t="shared" si="114"/>
        <v>0.62121144963363728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3.4106051316484809E-13</v>
      </c>
      <c r="BE147" s="14">
        <f>BD147*VLOOKUP('Données projet'!$B$11,Paramètres!$A$1:$I$89,3,0)*VLOOKUP('Données projet'!$B$11,Paramètres!$A$1:$I$89,5,0)</f>
        <v>1.9508661353029313E-13</v>
      </c>
      <c r="BF147" s="14">
        <f t="shared" si="145"/>
        <v>2.711421636700695E-12</v>
      </c>
      <c r="BG147" s="22">
        <f t="shared" si="115"/>
        <v>5.0621685358189711E-12</v>
      </c>
      <c r="BH147" s="62">
        <f t="shared" si="116"/>
        <v>293.33333333333837</v>
      </c>
      <c r="BI147" s="62">
        <f ca="1">AVERAGE(OFFSET($BH$3,0,0,'Données projet'!$E$11+1,1))-AVERAGE(OFFSET($H$3,0,0,'Données projet'!$E$11+1,1))</f>
        <v>258.09881752732008</v>
      </c>
      <c r="BJ147" s="62">
        <f t="shared" si="146"/>
        <v>214.72899476643335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0.2653044799943709</v>
      </c>
      <c r="BR147" s="23">
        <f>EXP(-LN(2)/2)*BR146+(1-EXP(-LN(2)/2))/(LN(2)/2)*BL147*BO147*VLOOKUP('Données projet'!$B$11,Paramètres!$A$1:$I$89,3,0)*0.475*44/12</f>
        <v>3.0204830981511371E-17</v>
      </c>
      <c r="BS147" s="24">
        <f t="shared" si="117"/>
        <v>0.26530447999437096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1.7053025658242404E-13</v>
      </c>
      <c r="O148" s="14">
        <f>N148*VLOOKUP('Données projet'!$B$9,Paramètres!$A$1:$I$89,3,0)*VLOOKUP('Données projet'!$B$9,Paramètres!$A$1:$I$89,5,0)</f>
        <v>1.5429577615577727E-13</v>
      </c>
      <c r="P148" s="14">
        <f t="shared" si="141"/>
        <v>2.2038482767263348E-12</v>
      </c>
      <c r="Q148" s="22">
        <f t="shared" si="108"/>
        <v>4.107100892103012E-12</v>
      </c>
      <c r="R148" s="62">
        <f t="shared" si="109"/>
        <v>293.33333333333741</v>
      </c>
      <c r="S148" s="62">
        <f ca="1">AVERAGE(OFFSET($R$3,0,0,'Données projet'!$E$9+1,1))-AVERAGE(OFFSET($H$3,0,0,'Données projet'!$E$9+1,1))</f>
        <v>371.75294069149942</v>
      </c>
      <c r="T148" s="62">
        <f t="shared" si="142"/>
        <v>233.32640143610547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projet'!$B$10,Paramètres!$A$1:$I$89,3,0)*VLOOKUP('Données projet'!$B$10,Paramètres!$A$1:$I$89,5,0)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405.09126081846171</v>
      </c>
      <c r="AO148" s="62">
        <f t="shared" si="144"/>
        <v>534.22295841722166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0.24672418114930517</v>
      </c>
      <c r="AV148" s="23">
        <f>EXP(-LN(2)/25)*AV147+(1-EXP(-LN(2)/25))/(LN(2)/25)*Calculateur!AQ148*Calculateur!AS148*VLOOKUP('Données projet'!$B$10,Paramètres!$A$1:$I$89,3,0)*0.475*44/12</f>
        <v>0.35944695830050771</v>
      </c>
      <c r="AW148" s="23">
        <f>EXP(-LN(2)/2)*AW147+(1-EXP(-LN(2)/2))/(LN(2)/2)*AQ148*AT148*VLOOKUP('Données projet'!$B$10,Paramètres!$A$1:$I$89,3,0)*0.475*44/12</f>
        <v>1.8152244417294224E-18</v>
      </c>
      <c r="AX148" s="23">
        <f t="shared" si="114"/>
        <v>0.60617113944981282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3.4106051316484809E-13</v>
      </c>
      <c r="BE148" s="14">
        <f>BD148*VLOOKUP('Données projet'!$B$11,Paramètres!$A$1:$I$89,3,0)*VLOOKUP('Données projet'!$B$11,Paramètres!$A$1:$I$89,5,0)</f>
        <v>1.9508661353029313E-13</v>
      </c>
      <c r="BF148" s="14">
        <f t="shared" si="145"/>
        <v>2.711421636700695E-12</v>
      </c>
      <c r="BG148" s="22">
        <f t="shared" si="115"/>
        <v>5.0621685358189711E-12</v>
      </c>
      <c r="BH148" s="62">
        <f t="shared" si="116"/>
        <v>293.33333333333837</v>
      </c>
      <c r="BI148" s="62">
        <f ca="1">AVERAGE(OFFSET($BH$3,0,0,'Données projet'!$E$11+1,1))-AVERAGE(OFFSET($H$3,0,0,'Données projet'!$E$11+1,1))</f>
        <v>258.09881752732008</v>
      </c>
      <c r="BJ148" s="62">
        <f t="shared" si="146"/>
        <v>214.72899476643335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0.25804971503716861</v>
      </c>
      <c r="BR148" s="23">
        <f>EXP(-LN(2)/2)*BR147+(1-EXP(-LN(2)/2))/(LN(2)/2)*BL148*BO148*VLOOKUP('Données projet'!$B$11,Paramètres!$A$1:$I$89,3,0)*0.475*44/12</f>
        <v>2.1358040811620213E-17</v>
      </c>
      <c r="BS148" s="24">
        <f t="shared" si="117"/>
        <v>0.25804971503716861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1.7053025658242404E-13</v>
      </c>
      <c r="O149" s="14">
        <f>N149*VLOOKUP('Données projet'!$B$9,Paramètres!$A$1:$I$89,3,0)*VLOOKUP('Données projet'!$B$9,Paramètres!$A$1:$I$89,5,0)</f>
        <v>1.5429577615577727E-13</v>
      </c>
      <c r="P149" s="14">
        <f t="shared" si="141"/>
        <v>2.2038482767263348E-12</v>
      </c>
      <c r="Q149" s="22">
        <f t="shared" si="108"/>
        <v>4.107100892103012E-12</v>
      </c>
      <c r="R149" s="62">
        <f t="shared" si="109"/>
        <v>293.33333333333741</v>
      </c>
      <c r="S149" s="62">
        <f ca="1">AVERAGE(OFFSET($R$3,0,0,'Données projet'!$E$9+1,1))-AVERAGE(OFFSET($H$3,0,0,'Données projet'!$E$9+1,1))</f>
        <v>371.75294069149942</v>
      </c>
      <c r="T149" s="62">
        <f t="shared" si="142"/>
        <v>233.32640143610547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projet'!$B$10,Paramètres!$A$1:$I$89,3,0)*VLOOKUP('Données projet'!$B$10,Paramètres!$A$1:$I$89,5,0)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405.09126081846171</v>
      </c>
      <c r="AO149" s="62">
        <f t="shared" si="144"/>
        <v>534.22295841722166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0.24188607044385846</v>
      </c>
      <c r="AV149" s="23">
        <f>EXP(-LN(2)/25)*AV148+(1-EXP(-LN(2)/25))/(LN(2)/25)*Calculateur!AQ149*Calculateur!AS149*VLOOKUP('Données projet'!$B$10,Paramètres!$A$1:$I$89,3,0)*0.475*44/12</f>
        <v>0.34961786232328634</v>
      </c>
      <c r="AW149" s="23">
        <f>EXP(-LN(2)/2)*AW148+(1-EXP(-LN(2)/2))/(LN(2)/2)*AQ149*AT149*VLOOKUP('Données projet'!$B$10,Paramètres!$A$1:$I$89,3,0)*0.475*44/12</f>
        <v>1.2835575121224396E-18</v>
      </c>
      <c r="AX149" s="23">
        <f t="shared" si="114"/>
        <v>0.59150393276714475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3.4106051316484809E-13</v>
      </c>
      <c r="BE149" s="14">
        <f>BD149*VLOOKUP('Données projet'!$B$11,Paramètres!$A$1:$I$89,3,0)*VLOOKUP('Données projet'!$B$11,Paramètres!$A$1:$I$89,5,0)</f>
        <v>1.9508661353029313E-13</v>
      </c>
      <c r="BF149" s="14">
        <f t="shared" si="145"/>
        <v>2.711421636700695E-12</v>
      </c>
      <c r="BG149" s="22">
        <f t="shared" si="115"/>
        <v>5.0621685358189711E-12</v>
      </c>
      <c r="BH149" s="62">
        <f t="shared" si="116"/>
        <v>293.33333333333837</v>
      </c>
      <c r="BI149" s="62">
        <f ca="1">AVERAGE(OFFSET($BH$3,0,0,'Données projet'!$E$11+1,1))-AVERAGE(OFFSET($H$3,0,0,'Données projet'!$E$11+1,1))</f>
        <v>258.09881752732008</v>
      </c>
      <c r="BJ149" s="62">
        <f t="shared" si="146"/>
        <v>214.72899476643335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0.25099333200923252</v>
      </c>
      <c r="BR149" s="23">
        <f>EXP(-LN(2)/2)*BR148+(1-EXP(-LN(2)/2))/(LN(2)/2)*BL149*BO149*VLOOKUP('Données projet'!$B$11,Paramètres!$A$1:$I$89,3,0)*0.475*44/12</f>
        <v>1.5102415490755686E-17</v>
      </c>
      <c r="BS149" s="24">
        <f t="shared" si="117"/>
        <v>0.25099333200923252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1.7053025658242404E-13</v>
      </c>
      <c r="O150" s="14">
        <f>N150*VLOOKUP('Données projet'!$B$9,Paramètres!$A$1:$I$89,3,0)*VLOOKUP('Données projet'!$B$9,Paramètres!$A$1:$I$89,5,0)</f>
        <v>1.5429577615577727E-13</v>
      </c>
      <c r="P150" s="14">
        <f t="shared" si="141"/>
        <v>2.2038482767263348E-12</v>
      </c>
      <c r="Q150" s="22">
        <f t="shared" si="108"/>
        <v>4.107100892103012E-12</v>
      </c>
      <c r="R150" s="62">
        <f t="shared" si="109"/>
        <v>293.33333333333741</v>
      </c>
      <c r="S150" s="62">
        <f ca="1">AVERAGE(OFFSET($R$3,0,0,'Données projet'!$E$9+1,1))-AVERAGE(OFFSET($H$3,0,0,'Données projet'!$E$9+1,1))</f>
        <v>371.75294069149942</v>
      </c>
      <c r="T150" s="62">
        <f t="shared" si="142"/>
        <v>233.32640143610547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projet'!$B$10,Paramètres!$A$1:$I$89,3,0)*VLOOKUP('Données projet'!$B$10,Paramètres!$A$1:$I$89,5,0)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405.09126081846171</v>
      </c>
      <c r="AO150" s="62">
        <f t="shared" si="144"/>
        <v>534.22295841722166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0.23714283213838941</v>
      </c>
      <c r="AV150" s="23">
        <f>EXP(-LN(2)/25)*AV149+(1-EXP(-LN(2)/25))/(LN(2)/25)*Calculateur!AQ150*Calculateur!AS150*VLOOKUP('Données projet'!$B$10,Paramètres!$A$1:$I$89,3,0)*0.475*44/12</f>
        <v>0.34005754349245176</v>
      </c>
      <c r="AW150" s="23">
        <f>EXP(-LN(2)/2)*AW149+(1-EXP(-LN(2)/2))/(LN(2)/2)*AQ150*AT150*VLOOKUP('Données projet'!$B$10,Paramètres!$A$1:$I$89,3,0)*0.475*44/12</f>
        <v>9.0761222086471118E-19</v>
      </c>
      <c r="AX150" s="23">
        <f t="shared" si="114"/>
        <v>0.57720037563084114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3.4106051316484809E-13</v>
      </c>
      <c r="BE150" s="14">
        <f>BD150*VLOOKUP('Données projet'!$B$11,Paramètres!$A$1:$I$89,3,0)*VLOOKUP('Données projet'!$B$11,Paramètres!$A$1:$I$89,5,0)</f>
        <v>1.9508661353029313E-13</v>
      </c>
      <c r="BF150" s="14">
        <f t="shared" si="145"/>
        <v>2.711421636700695E-12</v>
      </c>
      <c r="BG150" s="22">
        <f t="shared" si="115"/>
        <v>5.0621685358189711E-12</v>
      </c>
      <c r="BH150" s="62">
        <f t="shared" si="116"/>
        <v>293.33333333333837</v>
      </c>
      <c r="BI150" s="62">
        <f ca="1">AVERAGE(OFFSET($BH$3,0,0,'Données projet'!$E$11+1,1))-AVERAGE(OFFSET($H$3,0,0,'Données projet'!$E$11+1,1))</f>
        <v>258.09881752732008</v>
      </c>
      <c r="BJ150" s="62">
        <f t="shared" si="146"/>
        <v>214.72899476643335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0.24412990614627439</v>
      </c>
      <c r="BR150" s="23">
        <f>EXP(-LN(2)/2)*BR149+(1-EXP(-LN(2)/2))/(LN(2)/2)*BL150*BO150*VLOOKUP('Données projet'!$B$11,Paramètres!$A$1:$I$89,3,0)*0.475*44/12</f>
        <v>1.0679020405810106E-17</v>
      </c>
      <c r="BS150" s="24">
        <f t="shared" si="117"/>
        <v>0.24412990614627439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1.7053025658242404E-13</v>
      </c>
      <c r="O151" s="14">
        <f>N151*VLOOKUP('Données projet'!$B$9,Paramètres!$A$1:$I$89,3,0)*VLOOKUP('Données projet'!$B$9,Paramètres!$A$1:$I$89,5,0)</f>
        <v>1.5429577615577727E-13</v>
      </c>
      <c r="P151" s="14">
        <f t="shared" si="141"/>
        <v>2.2038482767263348E-12</v>
      </c>
      <c r="Q151" s="22">
        <f t="shared" si="108"/>
        <v>4.107100892103012E-12</v>
      </c>
      <c r="R151" s="62">
        <f t="shared" si="109"/>
        <v>293.33333333333741</v>
      </c>
      <c r="S151" s="62">
        <f ca="1">AVERAGE(OFFSET($R$3,0,0,'Données projet'!$E$9+1,1))-AVERAGE(OFFSET($H$3,0,0,'Données projet'!$E$9+1,1))</f>
        <v>371.75294069149942</v>
      </c>
      <c r="T151" s="62">
        <f t="shared" si="142"/>
        <v>233.32640143610547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projet'!$B$10,Paramètres!$A$1:$I$89,3,0)*VLOOKUP('Données projet'!$B$10,Paramètres!$A$1:$I$89,5,0)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405.09126081846171</v>
      </c>
      <c r="AO151" s="62">
        <f t="shared" si="144"/>
        <v>534.22295841722166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0.23249260584300091</v>
      </c>
      <c r="AV151" s="23">
        <f>EXP(-LN(2)/25)*AV150+(1-EXP(-LN(2)/25))/(LN(2)/25)*Calculateur!AQ151*Calculateur!AS151*VLOOKUP('Données projet'!$B$10,Paramètres!$A$1:$I$89,3,0)*0.475*44/12</f>
        <v>0.3307586520828017</v>
      </c>
      <c r="AW151" s="23">
        <f>EXP(-LN(2)/2)*AW150+(1-EXP(-LN(2)/2))/(LN(2)/2)*AQ151*AT151*VLOOKUP('Données projet'!$B$10,Paramètres!$A$1:$I$89,3,0)*0.475*44/12</f>
        <v>6.4177875606121979E-19</v>
      </c>
      <c r="AX151" s="23">
        <f t="shared" si="114"/>
        <v>0.56325125792580266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3.4106051316484809E-13</v>
      </c>
      <c r="BE151" s="14">
        <f>BD151*VLOOKUP('Données projet'!$B$11,Paramètres!$A$1:$I$89,3,0)*VLOOKUP('Données projet'!$B$11,Paramètres!$A$1:$I$89,5,0)</f>
        <v>1.9508661353029313E-13</v>
      </c>
      <c r="BF151" s="14">
        <f t="shared" si="145"/>
        <v>2.711421636700695E-12</v>
      </c>
      <c r="BG151" s="22">
        <f t="shared" si="115"/>
        <v>5.0621685358189711E-12</v>
      </c>
      <c r="BH151" s="62">
        <f t="shared" si="116"/>
        <v>293.33333333333837</v>
      </c>
      <c r="BI151" s="62">
        <f ca="1">AVERAGE(OFFSET($BH$3,0,0,'Données projet'!$E$11+1,1))-AVERAGE(OFFSET($H$3,0,0,'Données projet'!$E$11+1,1))</f>
        <v>258.09881752732008</v>
      </c>
      <c r="BJ151" s="62">
        <f t="shared" si="146"/>
        <v>214.72899476643335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0.23745416102447073</v>
      </c>
      <c r="BR151" s="23">
        <f>EXP(-LN(2)/2)*BR150+(1-EXP(-LN(2)/2))/(LN(2)/2)*BL151*BO151*VLOOKUP('Données projet'!$B$11,Paramètres!$A$1:$I$89,3,0)*0.475*44/12</f>
        <v>7.5512077453778429E-18</v>
      </c>
      <c r="BS151" s="24">
        <f t="shared" si="117"/>
        <v>0.23745416102447073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1.7053025658242404E-13</v>
      </c>
      <c r="O152" s="14">
        <f>N152*VLOOKUP('Données projet'!$B$9,Paramètres!$A$1:$I$89,3,0)*VLOOKUP('Données projet'!$B$9,Paramètres!$A$1:$I$89,5,0)</f>
        <v>1.5429577615577727E-13</v>
      </c>
      <c r="P152" s="14">
        <f t="shared" si="141"/>
        <v>2.2038482767263348E-12</v>
      </c>
      <c r="Q152" s="22">
        <f t="shared" si="108"/>
        <v>4.107100892103012E-12</v>
      </c>
      <c r="R152" s="62">
        <f t="shared" si="109"/>
        <v>293.33333333333741</v>
      </c>
      <c r="S152" s="62">
        <f ca="1">AVERAGE(OFFSET($R$3,0,0,'Données projet'!$E$9+1,1))-AVERAGE(OFFSET($H$3,0,0,'Données projet'!$E$9+1,1))</f>
        <v>371.75294069149942</v>
      </c>
      <c r="T152" s="62">
        <f t="shared" si="142"/>
        <v>233.32640143610547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projet'!$B$10,Paramètres!$A$1:$I$89,3,0)*VLOOKUP('Données projet'!$B$10,Paramètres!$A$1:$I$89,5,0)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405.09126081846171</v>
      </c>
      <c r="AO152" s="62">
        <f t="shared" si="144"/>
        <v>534.22295841722166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0.22793356764890699</v>
      </c>
      <c r="AV152" s="23">
        <f>EXP(-LN(2)/25)*AV151+(1-EXP(-LN(2)/25))/(LN(2)/25)*Calculateur!AQ152*Calculateur!AS152*VLOOKUP('Données projet'!$B$10,Paramètres!$A$1:$I$89,3,0)*0.475*44/12</f>
        <v>0.32171403934775594</v>
      </c>
      <c r="AW152" s="23">
        <f>EXP(-LN(2)/2)*AW151+(1-EXP(-LN(2)/2))/(LN(2)/2)*AQ152*AT152*VLOOKUP('Données projet'!$B$10,Paramètres!$A$1:$I$89,3,0)*0.475*44/12</f>
        <v>4.5380611043235559E-19</v>
      </c>
      <c r="AX152" s="23">
        <f t="shared" si="114"/>
        <v>0.54964760699666293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3.4106051316484809E-13</v>
      </c>
      <c r="BE152" s="14">
        <f>BD152*VLOOKUP('Données projet'!$B$11,Paramètres!$A$1:$I$89,3,0)*VLOOKUP('Données projet'!$B$11,Paramètres!$A$1:$I$89,5,0)</f>
        <v>1.9508661353029313E-13</v>
      </c>
      <c r="BF152" s="14">
        <f t="shared" si="145"/>
        <v>2.711421636700695E-12</v>
      </c>
      <c r="BG152" s="22">
        <f t="shared" si="115"/>
        <v>5.0621685358189711E-12</v>
      </c>
      <c r="BH152" s="62">
        <f t="shared" si="116"/>
        <v>293.33333333333837</v>
      </c>
      <c r="BI152" s="62">
        <f ca="1">AVERAGE(OFFSET($BH$3,0,0,'Données projet'!$E$11+1,1))-AVERAGE(OFFSET($H$3,0,0,'Données projet'!$E$11+1,1))</f>
        <v>258.09881752732008</v>
      </c>
      <c r="BJ152" s="62">
        <f t="shared" si="146"/>
        <v>214.72899476643335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0.23096096450408496</v>
      </c>
      <c r="BR152" s="23">
        <f>EXP(-LN(2)/2)*BR151+(1-EXP(-LN(2)/2))/(LN(2)/2)*BL152*BO152*VLOOKUP('Données projet'!$B$11,Paramètres!$A$1:$I$89,3,0)*0.475*44/12</f>
        <v>5.3395102029050532E-18</v>
      </c>
      <c r="BS152" s="24">
        <f t="shared" si="117"/>
        <v>0.23096096450408496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1.7053025658242404E-13</v>
      </c>
      <c r="O153" s="14">
        <f>N153*VLOOKUP('Données projet'!$B$9,Paramètres!$A$1:$I$89,3,0)*VLOOKUP('Données projet'!$B$9,Paramètres!$A$1:$I$89,5,0)</f>
        <v>1.5429577615577727E-13</v>
      </c>
      <c r="P153" s="14">
        <f t="shared" si="141"/>
        <v>2.2038482767263348E-12</v>
      </c>
      <c r="Q153" s="22">
        <f t="shared" si="108"/>
        <v>4.107100892103012E-12</v>
      </c>
      <c r="R153" s="62">
        <f t="shared" si="109"/>
        <v>293.33333333333741</v>
      </c>
      <c r="S153" s="62">
        <f ca="1">AVERAGE(OFFSET($R$3,0,0,'Données projet'!$E$9+1,1))-AVERAGE(OFFSET($H$3,0,0,'Données projet'!$E$9+1,1))</f>
        <v>371.75294069149942</v>
      </c>
      <c r="T153" s="62">
        <f t="shared" si="142"/>
        <v>233.32640143610547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projet'!$B$10,Paramètres!$A$1:$I$89,3,0)*VLOOKUP('Données projet'!$B$10,Paramètres!$A$1:$I$89,5,0)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405.09126081846171</v>
      </c>
      <c r="AO153" s="62">
        <f t="shared" si="144"/>
        <v>534.22295841722166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0.22346392941306054</v>
      </c>
      <c r="AV153" s="23">
        <f>EXP(-LN(2)/25)*AV152+(1-EXP(-LN(2)/25))/(LN(2)/25)*Calculateur!AQ153*Calculateur!AS153*VLOOKUP('Données projet'!$B$10,Paramètres!$A$1:$I$89,3,0)*0.475*44/12</f>
        <v>0.31291675202358549</v>
      </c>
      <c r="AW153" s="23">
        <f>EXP(-LN(2)/2)*AW152+(1-EXP(-LN(2)/2))/(LN(2)/2)*AQ153*AT153*VLOOKUP('Données projet'!$B$10,Paramètres!$A$1:$I$89,3,0)*0.475*44/12</f>
        <v>3.208893780306099E-19</v>
      </c>
      <c r="AX153" s="23">
        <f t="shared" si="114"/>
        <v>0.53638068143664608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3.4106051316484809E-13</v>
      </c>
      <c r="BE153" s="14">
        <f>BD153*VLOOKUP('Données projet'!$B$11,Paramètres!$A$1:$I$89,3,0)*VLOOKUP('Données projet'!$B$11,Paramètres!$A$1:$I$89,5,0)</f>
        <v>1.9508661353029313E-13</v>
      </c>
      <c r="BF153" s="14">
        <f t="shared" si="145"/>
        <v>2.711421636700695E-12</v>
      </c>
      <c r="BG153" s="22">
        <f t="shared" si="115"/>
        <v>5.0621685358189711E-12</v>
      </c>
      <c r="BH153" s="62">
        <f t="shared" si="116"/>
        <v>293.33333333333837</v>
      </c>
      <c r="BI153" s="62">
        <f ca="1">AVERAGE(OFFSET($BH$3,0,0,'Données projet'!$E$11+1,1))-AVERAGE(OFFSET($H$3,0,0,'Données projet'!$E$11+1,1))</f>
        <v>258.09881752732008</v>
      </c>
      <c r="BJ153" s="62">
        <f t="shared" si="146"/>
        <v>214.72899476643335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0.2246453247840115</v>
      </c>
      <c r="BR153" s="23">
        <f>EXP(-LN(2)/2)*BR152+(1-EXP(-LN(2)/2))/(LN(2)/2)*BL153*BO153*VLOOKUP('Données projet'!$B$11,Paramètres!$A$1:$I$89,3,0)*0.475*44/12</f>
        <v>3.7756038726889214E-18</v>
      </c>
      <c r="BS153" s="24">
        <f t="shared" si="117"/>
        <v>0.2246453247840115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1.7053025658242404E-13</v>
      </c>
      <c r="O154" s="14">
        <f>N154*VLOOKUP('Données projet'!$B$9,Paramètres!$A$1:$I$89,3,0)*VLOOKUP('Données projet'!$B$9,Paramètres!$A$1:$I$89,5,0)</f>
        <v>1.5429577615577727E-13</v>
      </c>
      <c r="P154" s="14">
        <f t="shared" si="141"/>
        <v>2.2038482767263348E-12</v>
      </c>
      <c r="Q154" s="22">
        <f t="shared" ref="Q154:Q203" si="162">(O154+P154)*0.475*44/12</f>
        <v>4.107100892103012E-12</v>
      </c>
      <c r="R154" s="62">
        <f t="shared" si="109"/>
        <v>293.33333333333741</v>
      </c>
      <c r="S154" s="62">
        <f ca="1">AVERAGE(OFFSET($R$3,0,0,'Données projet'!$E$9+1,1))-AVERAGE(OFFSET($H$3,0,0,'Données projet'!$E$9+1,1))</f>
        <v>371.75294069149942</v>
      </c>
      <c r="T154" s="62">
        <f t="shared" si="142"/>
        <v>233.32640143610547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405.09126081846171</v>
      </c>
      <c r="AO154" s="62">
        <f t="shared" si="144"/>
        <v>534.22295841722166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0.21908193805680889</v>
      </c>
      <c r="AV154" s="23">
        <f>EXP(-LN(2)/25)*AV153+(1-EXP(-LN(2)/25))/(LN(2)/25)*Calculateur!AQ154*Calculateur!AS154*VLOOKUP('Données projet'!$B$10,Paramètres!$A$1:$I$89,3,0)*0.475*44/12</f>
        <v>0.30436002698392373</v>
      </c>
      <c r="AW154" s="23">
        <f>EXP(-LN(2)/2)*AW153+(1-EXP(-LN(2)/2))/(LN(2)/2)*AQ154*AT154*VLOOKUP('Données projet'!$B$10,Paramètres!$A$1:$I$89,3,0)*0.475*44/12</f>
        <v>2.269030552161778E-19</v>
      </c>
      <c r="AX154" s="23">
        <f t="shared" ref="AX154:AX203" si="166">SUM(AU154:AW154)</f>
        <v>0.52344196504073259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3.4106051316484809E-13</v>
      </c>
      <c r="BE154" s="14">
        <f>BD154*VLOOKUP('Données projet'!$B$11,Paramètres!$A$1:$I$89,3,0)*VLOOKUP('Données projet'!$B$11,Paramètres!$A$1:$I$89,5,0)</f>
        <v>1.9508661353029313E-13</v>
      </c>
      <c r="BF154" s="14">
        <f t="shared" ref="BF154:BF203" si="167">EXP(-1.0587+0.8836*LN(BE154)+0.284)</f>
        <v>2.711421636700695E-12</v>
      </c>
      <c r="BG154" s="22">
        <f t="shared" ref="BG154:BG203" si="168">(BE154+BF154)*0.475*44/12</f>
        <v>5.0621685358189711E-12</v>
      </c>
      <c r="BH154" s="62">
        <f t="shared" si="116"/>
        <v>293.33333333333837</v>
      </c>
      <c r="BI154" s="62">
        <f ca="1">AVERAGE(OFFSET($BH$3,0,0,'Données projet'!$E$11+1,1))-AVERAGE(OFFSET($H$3,0,0,'Données projet'!$E$11+1,1))</f>
        <v>258.09881752732008</v>
      </c>
      <c r="BJ154" s="62">
        <f t="shared" si="146"/>
        <v>214.72899476643335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0.21850238656420851</v>
      </c>
      <c r="BR154" s="23">
        <f>EXP(-LN(2)/2)*BR153+(1-EXP(-LN(2)/2))/(LN(2)/2)*BL154*BO154*VLOOKUP('Données projet'!$B$11,Paramètres!$A$1:$I$89,3,0)*0.475*44/12</f>
        <v>2.6697551014525266E-18</v>
      </c>
      <c r="BS154" s="24">
        <f t="shared" ref="BS154:BS203" si="169">SUM(BP154:BR154)</f>
        <v>0.21850238656420851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1.7053025658242404E-13</v>
      </c>
      <c r="O155" s="14">
        <f>N155*VLOOKUP('Données projet'!$B$9,Paramètres!$A$1:$I$89,3,0)*VLOOKUP('Données projet'!$B$9,Paramètres!$A$1:$I$89,5,0)</f>
        <v>1.5429577615577727E-13</v>
      </c>
      <c r="P155" s="14">
        <f t="shared" si="141"/>
        <v>2.2038482767263348E-12</v>
      </c>
      <c r="Q155" s="22">
        <f t="shared" si="162"/>
        <v>4.107100892103012E-12</v>
      </c>
      <c r="R155" s="62">
        <f t="shared" si="109"/>
        <v>293.33333333333741</v>
      </c>
      <c r="S155" s="62">
        <f ca="1">AVERAGE(OFFSET($R$3,0,0,'Données projet'!$E$9+1,1))-AVERAGE(OFFSET($H$3,0,0,'Données projet'!$E$9+1,1))</f>
        <v>371.75294069149942</v>
      </c>
      <c r="T155" s="62">
        <f t="shared" si="142"/>
        <v>233.32640143610547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405.09126081846171</v>
      </c>
      <c r="AO155" s="62">
        <f t="shared" si="144"/>
        <v>534.22295841722166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0.21478587487830253</v>
      </c>
      <c r="AV155" s="23">
        <f>EXP(-LN(2)/25)*AV154+(1-EXP(-LN(2)/25))/(LN(2)/25)*Calculateur!AQ155*Calculateur!AS155*VLOOKUP('Données projet'!$B$10,Paramètres!$A$1:$I$89,3,0)*0.475*44/12</f>
        <v>0.29603728604045015</v>
      </c>
      <c r="AW155" s="23">
        <f>EXP(-LN(2)/2)*AW154+(1-EXP(-LN(2)/2))/(LN(2)/2)*AQ155*AT155*VLOOKUP('Données projet'!$B$10,Paramètres!$A$1:$I$89,3,0)*0.475*44/12</f>
        <v>1.6044468901530495E-19</v>
      </c>
      <c r="AX155" s="23">
        <f t="shared" si="166"/>
        <v>0.51082316091875268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3.4106051316484809E-13</v>
      </c>
      <c r="BE155" s="14">
        <f>BD155*VLOOKUP('Données projet'!$B$11,Paramètres!$A$1:$I$89,3,0)*VLOOKUP('Données projet'!$B$11,Paramètres!$A$1:$I$89,5,0)</f>
        <v>1.9508661353029313E-13</v>
      </c>
      <c r="BF155" s="14">
        <f t="shared" si="167"/>
        <v>2.711421636700695E-12</v>
      </c>
      <c r="BG155" s="22">
        <f t="shared" si="168"/>
        <v>5.0621685358189711E-12</v>
      </c>
      <c r="BH155" s="62">
        <f t="shared" si="116"/>
        <v>293.33333333333837</v>
      </c>
      <c r="BI155" s="62">
        <f ca="1">AVERAGE(OFFSET($BH$3,0,0,'Données projet'!$E$11+1,1))-AVERAGE(OFFSET($H$3,0,0,'Données projet'!$E$11+1,1))</f>
        <v>258.09881752732008</v>
      </c>
      <c r="BJ155" s="62">
        <f t="shared" si="146"/>
        <v>214.72899476643335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0.21252742731306912</v>
      </c>
      <c r="BR155" s="23">
        <f>EXP(-LN(2)/2)*BR154+(1-EXP(-LN(2)/2))/(LN(2)/2)*BL155*BO155*VLOOKUP('Données projet'!$B$11,Paramètres!$A$1:$I$89,3,0)*0.475*44/12</f>
        <v>1.8878019363444607E-18</v>
      </c>
      <c r="BS155" s="24">
        <f t="shared" si="169"/>
        <v>0.21252742731306912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1.7053025658242404E-13</v>
      </c>
      <c r="O156" s="14">
        <f>N156*VLOOKUP('Données projet'!$B$9,Paramètres!$A$1:$I$89,3,0)*VLOOKUP('Données projet'!$B$9,Paramètres!$A$1:$I$89,5,0)</f>
        <v>1.5429577615577727E-13</v>
      </c>
      <c r="P156" s="14">
        <f t="shared" si="141"/>
        <v>2.2038482767263348E-12</v>
      </c>
      <c r="Q156" s="22">
        <f t="shared" si="162"/>
        <v>4.107100892103012E-12</v>
      </c>
      <c r="R156" s="62">
        <f t="shared" si="109"/>
        <v>293.33333333333741</v>
      </c>
      <c r="S156" s="62">
        <f ca="1">AVERAGE(OFFSET($R$3,0,0,'Données projet'!$E$9+1,1))-AVERAGE(OFFSET($H$3,0,0,'Données projet'!$E$9+1,1))</f>
        <v>371.75294069149942</v>
      </c>
      <c r="T156" s="62">
        <f t="shared" si="142"/>
        <v>233.32640143610547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405.09126081846171</v>
      </c>
      <c r="AO156" s="62">
        <f t="shared" si="144"/>
        <v>534.22295841722166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0.21057405487838687</v>
      </c>
      <c r="AV156" s="23">
        <f>EXP(-LN(2)/25)*AV155+(1-EXP(-LN(2)/25))/(LN(2)/25)*Calculateur!AQ156*Calculateur!AS156*VLOOKUP('Données projet'!$B$10,Paramètres!$A$1:$I$89,3,0)*0.475*44/12</f>
        <v>0.28794213088574977</v>
      </c>
      <c r="AW156" s="23">
        <f>EXP(-LN(2)/2)*AW155+(1-EXP(-LN(2)/2))/(LN(2)/2)*AQ156*AT156*VLOOKUP('Données projet'!$B$10,Paramètres!$A$1:$I$89,3,0)*0.475*44/12</f>
        <v>1.134515276080889E-19</v>
      </c>
      <c r="AX156" s="23">
        <f t="shared" si="166"/>
        <v>0.49851618576413664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3.4106051316484809E-13</v>
      </c>
      <c r="BE156" s="14">
        <f>BD156*VLOOKUP('Données projet'!$B$11,Paramètres!$A$1:$I$89,3,0)*VLOOKUP('Données projet'!$B$11,Paramètres!$A$1:$I$89,5,0)</f>
        <v>1.9508661353029313E-13</v>
      </c>
      <c r="BF156" s="14">
        <f t="shared" si="167"/>
        <v>2.711421636700695E-12</v>
      </c>
      <c r="BG156" s="22">
        <f t="shared" si="168"/>
        <v>5.0621685358189711E-12</v>
      </c>
      <c r="BH156" s="62">
        <f t="shared" si="116"/>
        <v>293.33333333333837</v>
      </c>
      <c r="BI156" s="62">
        <f ca="1">AVERAGE(OFFSET($BH$3,0,0,'Données projet'!$E$11+1,1))-AVERAGE(OFFSET($H$3,0,0,'Données projet'!$E$11+1,1))</f>
        <v>258.09881752732008</v>
      </c>
      <c r="BJ156" s="62">
        <f t="shared" si="146"/>
        <v>214.72899476643335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0.20671585363686157</v>
      </c>
      <c r="BR156" s="23">
        <f>EXP(-LN(2)/2)*BR155+(1-EXP(-LN(2)/2))/(LN(2)/2)*BL156*BO156*VLOOKUP('Données projet'!$B$11,Paramètres!$A$1:$I$89,3,0)*0.475*44/12</f>
        <v>1.3348775507262633E-18</v>
      </c>
      <c r="BS156" s="24">
        <f t="shared" si="169"/>
        <v>0.20671585363686157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1.7053025658242404E-13</v>
      </c>
      <c r="O157" s="14">
        <f>N157*VLOOKUP('Données projet'!$B$9,Paramètres!$A$1:$I$89,3,0)*VLOOKUP('Données projet'!$B$9,Paramètres!$A$1:$I$89,5,0)</f>
        <v>1.5429577615577727E-13</v>
      </c>
      <c r="P157" s="14">
        <f t="shared" si="141"/>
        <v>2.2038482767263348E-12</v>
      </c>
      <c r="Q157" s="22">
        <f t="shared" si="162"/>
        <v>4.107100892103012E-12</v>
      </c>
      <c r="R157" s="62">
        <f t="shared" si="109"/>
        <v>293.33333333333741</v>
      </c>
      <c r="S157" s="62">
        <f ca="1">AVERAGE(OFFSET($R$3,0,0,'Données projet'!$E$9+1,1))-AVERAGE(OFFSET($H$3,0,0,'Données projet'!$E$9+1,1))</f>
        <v>371.75294069149942</v>
      </c>
      <c r="T157" s="62">
        <f t="shared" si="142"/>
        <v>233.32640143610547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405.09126081846171</v>
      </c>
      <c r="AO157" s="62">
        <f t="shared" si="144"/>
        <v>534.22295841722166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0.20644482609971304</v>
      </c>
      <c r="AV157" s="23">
        <f>EXP(-LN(2)/25)*AV156+(1-EXP(-LN(2)/25))/(LN(2)/25)*Calculateur!AQ157*Calculateur!AS157*VLOOKUP('Données projet'!$B$10,Paramètres!$A$1:$I$89,3,0)*0.475*44/12</f>
        <v>0.28006833817446036</v>
      </c>
      <c r="AW157" s="23">
        <f>EXP(-LN(2)/2)*AW156+(1-EXP(-LN(2)/2))/(LN(2)/2)*AQ157*AT157*VLOOKUP('Données projet'!$B$10,Paramètres!$A$1:$I$89,3,0)*0.475*44/12</f>
        <v>8.0222344507652474E-20</v>
      </c>
      <c r="AX157" s="23">
        <f t="shared" si="166"/>
        <v>0.4865131642741734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3.4106051316484809E-13</v>
      </c>
      <c r="BE157" s="14">
        <f>BD157*VLOOKUP('Données projet'!$B$11,Paramètres!$A$1:$I$89,3,0)*VLOOKUP('Données projet'!$B$11,Paramètres!$A$1:$I$89,5,0)</f>
        <v>1.9508661353029313E-13</v>
      </c>
      <c r="BF157" s="14">
        <f t="shared" si="167"/>
        <v>2.711421636700695E-12</v>
      </c>
      <c r="BG157" s="22">
        <f t="shared" si="168"/>
        <v>5.0621685358189711E-12</v>
      </c>
      <c r="BH157" s="62">
        <f t="shared" si="116"/>
        <v>293.33333333333837</v>
      </c>
      <c r="BI157" s="62">
        <f ca="1">AVERAGE(OFFSET($BH$3,0,0,'Données projet'!$E$11+1,1))-AVERAGE(OFFSET($H$3,0,0,'Données projet'!$E$11+1,1))</f>
        <v>258.09881752732008</v>
      </c>
      <c r="BJ157" s="62">
        <f t="shared" si="146"/>
        <v>214.72899476643335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0.2010631977484473</v>
      </c>
      <c r="BR157" s="23">
        <f>EXP(-LN(2)/2)*BR156+(1-EXP(-LN(2)/2))/(LN(2)/2)*BL157*BO157*VLOOKUP('Données projet'!$B$11,Paramètres!$A$1:$I$89,3,0)*0.475*44/12</f>
        <v>9.4390096817223036E-19</v>
      </c>
      <c r="BS157" s="24">
        <f t="shared" si="169"/>
        <v>0.2010631977484473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1.7053025658242404E-13</v>
      </c>
      <c r="O158" s="14">
        <f>N158*VLOOKUP('Données projet'!$B$9,Paramètres!$A$1:$I$89,3,0)*VLOOKUP('Données projet'!$B$9,Paramètres!$A$1:$I$89,5,0)</f>
        <v>1.5429577615577727E-13</v>
      </c>
      <c r="P158" s="14">
        <f t="shared" si="141"/>
        <v>2.2038482767263348E-12</v>
      </c>
      <c r="Q158" s="22">
        <f t="shared" si="162"/>
        <v>4.107100892103012E-12</v>
      </c>
      <c r="R158" s="62">
        <f t="shared" si="109"/>
        <v>293.33333333333741</v>
      </c>
      <c r="S158" s="62">
        <f ca="1">AVERAGE(OFFSET($R$3,0,0,'Données projet'!$E$9+1,1))-AVERAGE(OFFSET($H$3,0,0,'Données projet'!$E$9+1,1))</f>
        <v>371.75294069149942</v>
      </c>
      <c r="T158" s="62">
        <f t="shared" si="142"/>
        <v>233.32640143610547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405.09126081846171</v>
      </c>
      <c r="AO158" s="62">
        <f t="shared" si="144"/>
        <v>534.22295841722166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0.20239656897880812</v>
      </c>
      <c r="AV158" s="23">
        <f>EXP(-LN(2)/25)*AV157+(1-EXP(-LN(2)/25))/(LN(2)/25)*Calculateur!AQ158*Calculateur!AS158*VLOOKUP('Données projet'!$B$10,Paramètres!$A$1:$I$89,3,0)*0.475*44/12</f>
        <v>0.27240985473892593</v>
      </c>
      <c r="AW158" s="23">
        <f>EXP(-LN(2)/2)*AW157+(1-EXP(-LN(2)/2))/(LN(2)/2)*AQ158*AT158*VLOOKUP('Données projet'!$B$10,Paramètres!$A$1:$I$89,3,0)*0.475*44/12</f>
        <v>5.6725763804044449E-20</v>
      </c>
      <c r="AX158" s="23">
        <f t="shared" si="166"/>
        <v>0.47480642371773407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3.4106051316484809E-13</v>
      </c>
      <c r="BE158" s="14">
        <f>BD158*VLOOKUP('Données projet'!$B$11,Paramètres!$A$1:$I$89,3,0)*VLOOKUP('Données projet'!$B$11,Paramètres!$A$1:$I$89,5,0)</f>
        <v>1.9508661353029313E-13</v>
      </c>
      <c r="BF158" s="14">
        <f t="shared" si="167"/>
        <v>2.711421636700695E-12</v>
      </c>
      <c r="BG158" s="22">
        <f t="shared" si="168"/>
        <v>5.0621685358189711E-12</v>
      </c>
      <c r="BH158" s="62">
        <f t="shared" si="116"/>
        <v>293.33333333333837</v>
      </c>
      <c r="BI158" s="62">
        <f ca="1">AVERAGE(OFFSET($BH$3,0,0,'Données projet'!$E$11+1,1))-AVERAGE(OFFSET($H$3,0,0,'Données projet'!$E$11+1,1))</f>
        <v>258.09881752732008</v>
      </c>
      <c r="BJ158" s="62">
        <f t="shared" si="146"/>
        <v>214.72899476643335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0.19556511403256197</v>
      </c>
      <c r="BR158" s="23">
        <f>EXP(-LN(2)/2)*BR157+(1-EXP(-LN(2)/2))/(LN(2)/2)*BL158*BO158*VLOOKUP('Données projet'!$B$11,Paramètres!$A$1:$I$89,3,0)*0.475*44/12</f>
        <v>6.6743877536313166E-19</v>
      </c>
      <c r="BS158" s="24">
        <f t="shared" si="169"/>
        <v>0.19556511403256197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1.7053025658242404E-13</v>
      </c>
      <c r="O159" s="14">
        <f>N159*VLOOKUP('Données projet'!$B$9,Paramètres!$A$1:$I$89,3,0)*VLOOKUP('Données projet'!$B$9,Paramètres!$A$1:$I$89,5,0)</f>
        <v>1.5429577615577727E-13</v>
      </c>
      <c r="P159" s="14">
        <f t="shared" si="141"/>
        <v>2.2038482767263348E-12</v>
      </c>
      <c r="Q159" s="22">
        <f t="shared" si="162"/>
        <v>4.107100892103012E-12</v>
      </c>
      <c r="R159" s="62">
        <f t="shared" si="109"/>
        <v>293.33333333333741</v>
      </c>
      <c r="S159" s="62">
        <f ca="1">AVERAGE(OFFSET($R$3,0,0,'Données projet'!$E$9+1,1))-AVERAGE(OFFSET($H$3,0,0,'Données projet'!$E$9+1,1))</f>
        <v>371.75294069149942</v>
      </c>
      <c r="T159" s="62">
        <f t="shared" si="142"/>
        <v>233.32640143610547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405.09126081846171</v>
      </c>
      <c r="AO159" s="62">
        <f t="shared" si="144"/>
        <v>534.22295841722166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0.19842769571085112</v>
      </c>
      <c r="AV159" s="23">
        <f>EXP(-LN(2)/25)*AV158+(1-EXP(-LN(2)/25))/(LN(2)/25)*Calculateur!AQ159*Calculateur!AS159*VLOOKUP('Données projet'!$B$10,Paramètres!$A$1:$I$89,3,0)*0.475*44/12</f>
        <v>0.26496079293567831</v>
      </c>
      <c r="AW159" s="23">
        <f>EXP(-LN(2)/2)*AW158+(1-EXP(-LN(2)/2))/(LN(2)/2)*AQ159*AT159*VLOOKUP('Données projet'!$B$10,Paramètres!$A$1:$I$89,3,0)*0.475*44/12</f>
        <v>4.0111172253826237E-20</v>
      </c>
      <c r="AX159" s="23">
        <f t="shared" si="166"/>
        <v>0.46338848864652943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3.4106051316484809E-13</v>
      </c>
      <c r="BE159" s="14">
        <f>BD159*VLOOKUP('Données projet'!$B$11,Paramètres!$A$1:$I$89,3,0)*VLOOKUP('Données projet'!$B$11,Paramètres!$A$1:$I$89,5,0)</f>
        <v>1.9508661353029313E-13</v>
      </c>
      <c r="BF159" s="14">
        <f t="shared" si="167"/>
        <v>2.711421636700695E-12</v>
      </c>
      <c r="BG159" s="22">
        <f t="shared" si="168"/>
        <v>5.0621685358189711E-12</v>
      </c>
      <c r="BH159" s="62">
        <f t="shared" si="116"/>
        <v>293.33333333333837</v>
      </c>
      <c r="BI159" s="62">
        <f ca="1">AVERAGE(OFFSET($BH$3,0,0,'Données projet'!$E$11+1,1))-AVERAGE(OFFSET($H$3,0,0,'Données projet'!$E$11+1,1))</f>
        <v>258.09881752732008</v>
      </c>
      <c r="BJ159" s="62">
        <f t="shared" si="146"/>
        <v>214.72899476643335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0.19021737570501918</v>
      </c>
      <c r="BR159" s="23">
        <f>EXP(-LN(2)/2)*BR158+(1-EXP(-LN(2)/2))/(LN(2)/2)*BL159*BO159*VLOOKUP('Données projet'!$B$11,Paramètres!$A$1:$I$89,3,0)*0.475*44/12</f>
        <v>4.7195048408611518E-19</v>
      </c>
      <c r="BS159" s="24">
        <f t="shared" si="169"/>
        <v>0.19021737570501918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1.7053025658242404E-13</v>
      </c>
      <c r="O160" s="14">
        <f>N160*VLOOKUP('Données projet'!$B$9,Paramètres!$A$1:$I$89,3,0)*VLOOKUP('Données projet'!$B$9,Paramètres!$A$1:$I$89,5,0)</f>
        <v>1.5429577615577727E-13</v>
      </c>
      <c r="P160" s="14">
        <f t="shared" si="141"/>
        <v>2.2038482767263348E-12</v>
      </c>
      <c r="Q160" s="22">
        <f t="shared" si="162"/>
        <v>4.107100892103012E-12</v>
      </c>
      <c r="R160" s="62">
        <f t="shared" si="109"/>
        <v>293.33333333333741</v>
      </c>
      <c r="S160" s="62">
        <f ca="1">AVERAGE(OFFSET($R$3,0,0,'Données projet'!$E$9+1,1))-AVERAGE(OFFSET($H$3,0,0,'Données projet'!$E$9+1,1))</f>
        <v>371.75294069149942</v>
      </c>
      <c r="T160" s="62">
        <f t="shared" si="142"/>
        <v>233.32640143610547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405.09126081846171</v>
      </c>
      <c r="AO160" s="62">
        <f t="shared" si="144"/>
        <v>534.22295841722166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0.19453664962690509</v>
      </c>
      <c r="AV160" s="23">
        <f>EXP(-LN(2)/25)*AV159+(1-EXP(-LN(2)/25))/(LN(2)/25)*Calculateur!AQ160*Calculateur!AS160*VLOOKUP('Données projet'!$B$10,Paramètres!$A$1:$I$89,3,0)*0.475*44/12</f>
        <v>0.25771542611916964</v>
      </c>
      <c r="AW160" s="23">
        <f>EXP(-LN(2)/2)*AW159+(1-EXP(-LN(2)/2))/(LN(2)/2)*AQ160*AT160*VLOOKUP('Données projet'!$B$10,Paramètres!$A$1:$I$89,3,0)*0.475*44/12</f>
        <v>2.8362881902022224E-20</v>
      </c>
      <c r="AX160" s="23">
        <f t="shared" si="166"/>
        <v>0.45225207574607473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3.4106051316484809E-13</v>
      </c>
      <c r="BE160" s="14">
        <f>BD160*VLOOKUP('Données projet'!$B$11,Paramètres!$A$1:$I$89,3,0)*VLOOKUP('Données projet'!$B$11,Paramètres!$A$1:$I$89,5,0)</f>
        <v>1.9508661353029313E-13</v>
      </c>
      <c r="BF160" s="14">
        <f t="shared" si="167"/>
        <v>2.711421636700695E-12</v>
      </c>
      <c r="BG160" s="22">
        <f t="shared" si="168"/>
        <v>5.0621685358189711E-12</v>
      </c>
      <c r="BH160" s="62">
        <f t="shared" si="116"/>
        <v>293.33333333333837</v>
      </c>
      <c r="BI160" s="62">
        <f ca="1">AVERAGE(OFFSET($BH$3,0,0,'Données projet'!$E$11+1,1))-AVERAGE(OFFSET($H$3,0,0,'Données projet'!$E$11+1,1))</f>
        <v>258.09881752732008</v>
      </c>
      <c r="BJ160" s="62">
        <f t="shared" si="146"/>
        <v>214.72899476643335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0.18501587156326837</v>
      </c>
      <c r="BR160" s="23">
        <f>EXP(-LN(2)/2)*BR159+(1-EXP(-LN(2)/2))/(LN(2)/2)*BL160*BO160*VLOOKUP('Données projet'!$B$11,Paramètres!$A$1:$I$89,3,0)*0.475*44/12</f>
        <v>3.3371938768156583E-19</v>
      </c>
      <c r="BS160" s="24">
        <f t="shared" si="169"/>
        <v>0.18501587156326837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1.7053025658242404E-13</v>
      </c>
      <c r="O161" s="14">
        <f>N161*VLOOKUP('Données projet'!$B$9,Paramètres!$A$1:$I$89,3,0)*VLOOKUP('Données projet'!$B$9,Paramètres!$A$1:$I$89,5,0)</f>
        <v>1.5429577615577727E-13</v>
      </c>
      <c r="P161" s="14">
        <f t="shared" si="141"/>
        <v>2.2038482767263348E-12</v>
      </c>
      <c r="Q161" s="22">
        <f t="shared" si="162"/>
        <v>4.107100892103012E-12</v>
      </c>
      <c r="R161" s="62">
        <f t="shared" si="109"/>
        <v>293.33333333333741</v>
      </c>
      <c r="S161" s="62">
        <f ca="1">AVERAGE(OFFSET($R$3,0,0,'Données projet'!$E$9+1,1))-AVERAGE(OFFSET($H$3,0,0,'Données projet'!$E$9+1,1))</f>
        <v>371.75294069149942</v>
      </c>
      <c r="T161" s="62">
        <f t="shared" si="142"/>
        <v>233.32640143610547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405.09126081846171</v>
      </c>
      <c r="AO161" s="62">
        <f t="shared" si="144"/>
        <v>534.22295841722166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0.19072190458336147</v>
      </c>
      <c r="AV161" s="23">
        <f>EXP(-LN(2)/25)*AV160+(1-EXP(-LN(2)/25))/(LN(2)/25)*Calculateur!AQ161*Calculateur!AS161*VLOOKUP('Données projet'!$B$10,Paramètres!$A$1:$I$89,3,0)*0.475*44/12</f>
        <v>0.25066818423927573</v>
      </c>
      <c r="AW161" s="23">
        <f>EXP(-LN(2)/2)*AW160+(1-EXP(-LN(2)/2))/(LN(2)/2)*AQ161*AT161*VLOOKUP('Données projet'!$B$10,Paramètres!$A$1:$I$89,3,0)*0.475*44/12</f>
        <v>2.0055586126913119E-20</v>
      </c>
      <c r="AX161" s="23">
        <f t="shared" si="166"/>
        <v>0.44139008882263719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3.4106051316484809E-13</v>
      </c>
      <c r="BE161" s="14">
        <f>BD161*VLOOKUP('Données projet'!$B$11,Paramètres!$A$1:$I$89,3,0)*VLOOKUP('Données projet'!$B$11,Paramètres!$A$1:$I$89,5,0)</f>
        <v>1.9508661353029313E-13</v>
      </c>
      <c r="BF161" s="14">
        <f t="shared" si="167"/>
        <v>2.711421636700695E-12</v>
      </c>
      <c r="BG161" s="22">
        <f t="shared" si="168"/>
        <v>5.0621685358189711E-12</v>
      </c>
      <c r="BH161" s="62">
        <f t="shared" si="116"/>
        <v>293.33333333333837</v>
      </c>
      <c r="BI161" s="62">
        <f ca="1">AVERAGE(OFFSET($BH$3,0,0,'Données projet'!$E$11+1,1))-AVERAGE(OFFSET($H$3,0,0,'Données projet'!$E$11+1,1))</f>
        <v>258.09881752732008</v>
      </c>
      <c r="BJ161" s="62">
        <f t="shared" si="146"/>
        <v>214.72899476643335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0.17995660282580897</v>
      </c>
      <c r="BR161" s="23">
        <f>EXP(-LN(2)/2)*BR160+(1-EXP(-LN(2)/2))/(LN(2)/2)*BL161*BO161*VLOOKUP('Données projet'!$B$11,Paramètres!$A$1:$I$89,3,0)*0.475*44/12</f>
        <v>2.3597524204305759E-19</v>
      </c>
      <c r="BS161" s="24">
        <f t="shared" si="169"/>
        <v>0.17995660282580897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1.7053025658242404E-13</v>
      </c>
      <c r="O162" s="14">
        <f>N162*VLOOKUP('Données projet'!$B$9,Paramètres!$A$1:$I$89,3,0)*VLOOKUP('Données projet'!$B$9,Paramètres!$A$1:$I$89,5,0)</f>
        <v>1.5429577615577727E-13</v>
      </c>
      <c r="P162" s="14">
        <f t="shared" si="141"/>
        <v>2.2038482767263348E-12</v>
      </c>
      <c r="Q162" s="22">
        <f t="shared" si="162"/>
        <v>4.107100892103012E-12</v>
      </c>
      <c r="R162" s="62">
        <f t="shared" si="109"/>
        <v>293.33333333333741</v>
      </c>
      <c r="S162" s="62">
        <f ca="1">AVERAGE(OFFSET($R$3,0,0,'Données projet'!$E$9+1,1))-AVERAGE(OFFSET($H$3,0,0,'Données projet'!$E$9+1,1))</f>
        <v>371.75294069149942</v>
      </c>
      <c r="T162" s="62">
        <f t="shared" si="142"/>
        <v>233.32640143610547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405.09126081846171</v>
      </c>
      <c r="AO162" s="62">
        <f t="shared" si="144"/>
        <v>534.22295841722166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0.18698196436335701</v>
      </c>
      <c r="AV162" s="23">
        <f>EXP(-LN(2)/25)*AV161+(1-EXP(-LN(2)/25))/(LN(2)/25)*Calculateur!AQ162*Calculateur!AS162*VLOOKUP('Données projet'!$B$10,Paramètres!$A$1:$I$89,3,0)*0.475*44/12</f>
        <v>0.24381364955918583</v>
      </c>
      <c r="AW162" s="23">
        <f>EXP(-LN(2)/2)*AW161+(1-EXP(-LN(2)/2))/(LN(2)/2)*AQ162*AT162*VLOOKUP('Données projet'!$B$10,Paramètres!$A$1:$I$89,3,0)*0.475*44/12</f>
        <v>1.4181440951011112E-20</v>
      </c>
      <c r="AX162" s="23">
        <f t="shared" si="166"/>
        <v>0.43079561392254284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3.4106051316484809E-13</v>
      </c>
      <c r="BE162" s="14">
        <f>BD162*VLOOKUP('Données projet'!$B$11,Paramètres!$A$1:$I$89,3,0)*VLOOKUP('Données projet'!$B$11,Paramètres!$A$1:$I$89,5,0)</f>
        <v>1.9508661353029313E-13</v>
      </c>
      <c r="BF162" s="14">
        <f t="shared" si="167"/>
        <v>2.711421636700695E-12</v>
      </c>
      <c r="BG162" s="22">
        <f t="shared" si="168"/>
        <v>5.0621685358189711E-12</v>
      </c>
      <c r="BH162" s="62">
        <f t="shared" si="116"/>
        <v>293.33333333333837</v>
      </c>
      <c r="BI162" s="62">
        <f ca="1">AVERAGE(OFFSET($BH$3,0,0,'Données projet'!$E$11+1,1))-AVERAGE(OFFSET($H$3,0,0,'Données projet'!$E$11+1,1))</f>
        <v>258.09881752732008</v>
      </c>
      <c r="BJ162" s="62">
        <f t="shared" si="146"/>
        <v>214.72899476643335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0.17503568005803077</v>
      </c>
      <c r="BR162" s="23">
        <f>EXP(-LN(2)/2)*BR161+(1-EXP(-LN(2)/2))/(LN(2)/2)*BL162*BO162*VLOOKUP('Données projet'!$B$11,Paramètres!$A$1:$I$89,3,0)*0.475*44/12</f>
        <v>1.6685969384078291E-19</v>
      </c>
      <c r="BS162" s="24">
        <f t="shared" si="169"/>
        <v>0.17503568005803077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1.7053025658242404E-13</v>
      </c>
      <c r="O163" s="14">
        <f>N163*VLOOKUP('Données projet'!$B$9,Paramètres!$A$1:$I$89,3,0)*VLOOKUP('Données projet'!$B$9,Paramètres!$A$1:$I$89,5,0)</f>
        <v>1.5429577615577727E-13</v>
      </c>
      <c r="P163" s="14">
        <f t="shared" si="141"/>
        <v>2.2038482767263348E-12</v>
      </c>
      <c r="Q163" s="22">
        <f t="shared" si="162"/>
        <v>4.107100892103012E-12</v>
      </c>
      <c r="R163" s="62">
        <f t="shared" si="109"/>
        <v>293.33333333333741</v>
      </c>
      <c r="S163" s="62">
        <f ca="1">AVERAGE(OFFSET($R$3,0,0,'Données projet'!$E$9+1,1))-AVERAGE(OFFSET($H$3,0,0,'Données projet'!$E$9+1,1))</f>
        <v>371.75294069149942</v>
      </c>
      <c r="T163" s="62">
        <f t="shared" si="142"/>
        <v>233.32640143610547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405.09126081846171</v>
      </c>
      <c r="AO163" s="62">
        <f t="shared" si="144"/>
        <v>534.22295841722166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0.18331536208992857</v>
      </c>
      <c r="AV163" s="23">
        <f>EXP(-LN(2)/25)*AV162+(1-EXP(-LN(2)/25))/(LN(2)/25)*Calculateur!AQ163*Calculateur!AS163*VLOOKUP('Données projet'!$B$10,Paramètres!$A$1:$I$89,3,0)*0.475*44/12</f>
        <v>0.2371465524903873</v>
      </c>
      <c r="AW163" s="23">
        <f>EXP(-LN(2)/2)*AW162+(1-EXP(-LN(2)/2))/(LN(2)/2)*AQ163*AT163*VLOOKUP('Données projet'!$B$10,Paramètres!$A$1:$I$89,3,0)*0.475*44/12</f>
        <v>1.0027793063456559E-20</v>
      </c>
      <c r="AX163" s="23">
        <f t="shared" si="166"/>
        <v>0.4204619145803159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3.4106051316484809E-13</v>
      </c>
      <c r="BE163" s="14">
        <f>BD163*VLOOKUP('Données projet'!$B$11,Paramètres!$A$1:$I$89,3,0)*VLOOKUP('Données projet'!$B$11,Paramètres!$A$1:$I$89,5,0)</f>
        <v>1.9508661353029313E-13</v>
      </c>
      <c r="BF163" s="14">
        <f t="shared" si="167"/>
        <v>2.711421636700695E-12</v>
      </c>
      <c r="BG163" s="22">
        <f t="shared" si="168"/>
        <v>5.0621685358189711E-12</v>
      </c>
      <c r="BH163" s="62">
        <f t="shared" si="116"/>
        <v>293.33333333333837</v>
      </c>
      <c r="BI163" s="62">
        <f ca="1">AVERAGE(OFFSET($BH$3,0,0,'Données projet'!$E$11+1,1))-AVERAGE(OFFSET($H$3,0,0,'Données projet'!$E$11+1,1))</f>
        <v>258.09881752732008</v>
      </c>
      <c r="BJ163" s="62">
        <f t="shared" si="146"/>
        <v>214.72899476643335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0.17024932018211755</v>
      </c>
      <c r="BR163" s="23">
        <f>EXP(-LN(2)/2)*BR162+(1-EXP(-LN(2)/2))/(LN(2)/2)*BL163*BO163*VLOOKUP('Données projet'!$B$11,Paramètres!$A$1:$I$89,3,0)*0.475*44/12</f>
        <v>1.1798762102152879E-19</v>
      </c>
      <c r="BS163" s="24">
        <f t="shared" si="169"/>
        <v>0.17024932018211755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1.7053025658242404E-13</v>
      </c>
      <c r="O164" s="14">
        <f>N164*VLOOKUP('Données projet'!$B$9,Paramètres!$A$1:$I$89,3,0)*VLOOKUP('Données projet'!$B$9,Paramètres!$A$1:$I$89,5,0)</f>
        <v>1.5429577615577727E-13</v>
      </c>
      <c r="P164" s="14">
        <f t="shared" si="141"/>
        <v>2.2038482767263348E-12</v>
      </c>
      <c r="Q164" s="22">
        <f t="shared" si="162"/>
        <v>4.107100892103012E-12</v>
      </c>
      <c r="R164" s="62">
        <f t="shared" si="109"/>
        <v>293.33333333333741</v>
      </c>
      <c r="S164" s="62">
        <f ca="1">AVERAGE(OFFSET($R$3,0,0,'Données projet'!$E$9+1,1))-AVERAGE(OFFSET($H$3,0,0,'Données projet'!$E$9+1,1))</f>
        <v>371.75294069149942</v>
      </c>
      <c r="T164" s="62">
        <f t="shared" si="142"/>
        <v>233.32640143610547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405.09126081846171</v>
      </c>
      <c r="AO164" s="62">
        <f t="shared" si="144"/>
        <v>534.22295841722166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0.17972065965067549</v>
      </c>
      <c r="AV164" s="23">
        <f>EXP(-LN(2)/25)*AV163+(1-EXP(-LN(2)/25))/(LN(2)/25)*Calculateur!AQ164*Calculateur!AS164*VLOOKUP('Données projet'!$B$10,Paramètres!$A$1:$I$89,3,0)*0.475*44/12</f>
        <v>0.23066176754154247</v>
      </c>
      <c r="AW164" s="23">
        <f>EXP(-LN(2)/2)*AW163+(1-EXP(-LN(2)/2))/(LN(2)/2)*AQ164*AT164*VLOOKUP('Données projet'!$B$10,Paramètres!$A$1:$I$89,3,0)*0.475*44/12</f>
        <v>7.0907204755055561E-21</v>
      </c>
      <c r="AX164" s="23">
        <f t="shared" si="166"/>
        <v>0.41038242719221796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3.4106051316484809E-13</v>
      </c>
      <c r="BE164" s="14">
        <f>BD164*VLOOKUP('Données projet'!$B$11,Paramètres!$A$1:$I$89,3,0)*VLOOKUP('Données projet'!$B$11,Paramètres!$A$1:$I$89,5,0)</f>
        <v>1.9508661353029313E-13</v>
      </c>
      <c r="BF164" s="14">
        <f t="shared" si="167"/>
        <v>2.711421636700695E-12</v>
      </c>
      <c r="BG164" s="22">
        <f t="shared" si="168"/>
        <v>5.0621685358189711E-12</v>
      </c>
      <c r="BH164" s="62">
        <f t="shared" si="116"/>
        <v>293.33333333333837</v>
      </c>
      <c r="BI164" s="62">
        <f ca="1">AVERAGE(OFFSET($BH$3,0,0,'Données projet'!$E$11+1,1))-AVERAGE(OFFSET($H$3,0,0,'Données projet'!$E$11+1,1))</f>
        <v>258.09881752732008</v>
      </c>
      <c r="BJ164" s="62">
        <f t="shared" si="146"/>
        <v>214.72899476643335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0.1655938435687149</v>
      </c>
      <c r="BR164" s="23">
        <f>EXP(-LN(2)/2)*BR163+(1-EXP(-LN(2)/2))/(LN(2)/2)*BL164*BO164*VLOOKUP('Données projet'!$B$11,Paramètres!$A$1:$I$89,3,0)*0.475*44/12</f>
        <v>8.3429846920391457E-20</v>
      </c>
      <c r="BS164" s="24">
        <f t="shared" si="169"/>
        <v>0.1655938435687149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1.7053025658242404E-13</v>
      </c>
      <c r="O165" s="14">
        <f>N165*VLOOKUP('Données projet'!$B$9,Paramètres!$A$1:$I$89,3,0)*VLOOKUP('Données projet'!$B$9,Paramètres!$A$1:$I$89,5,0)</f>
        <v>1.5429577615577727E-13</v>
      </c>
      <c r="P165" s="14">
        <f t="shared" si="141"/>
        <v>2.2038482767263348E-12</v>
      </c>
      <c r="Q165" s="22">
        <f t="shared" si="162"/>
        <v>4.107100892103012E-12</v>
      </c>
      <c r="R165" s="62">
        <f t="shared" si="109"/>
        <v>293.33333333333741</v>
      </c>
      <c r="S165" s="62">
        <f ca="1">AVERAGE(OFFSET($R$3,0,0,'Données projet'!$E$9+1,1))-AVERAGE(OFFSET($H$3,0,0,'Données projet'!$E$9+1,1))</f>
        <v>371.75294069149942</v>
      </c>
      <c r="T165" s="62">
        <f t="shared" si="142"/>
        <v>233.32640143610547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405.09126081846171</v>
      </c>
      <c r="AO165" s="62">
        <f t="shared" si="144"/>
        <v>534.22295841722166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0.17619644713370416</v>
      </c>
      <c r="AV165" s="23">
        <f>EXP(-LN(2)/25)*AV164+(1-EXP(-LN(2)/25))/(LN(2)/25)*Calculateur!AQ165*Calculateur!AS165*VLOOKUP('Données projet'!$B$10,Paramètres!$A$1:$I$89,3,0)*0.475*44/12</f>
        <v>0.22435430937814382</v>
      </c>
      <c r="AW165" s="23">
        <f>EXP(-LN(2)/2)*AW164+(1-EXP(-LN(2)/2))/(LN(2)/2)*AQ165*AT165*VLOOKUP('Données projet'!$B$10,Paramètres!$A$1:$I$89,3,0)*0.475*44/12</f>
        <v>5.0138965317282796E-21</v>
      </c>
      <c r="AX165" s="23">
        <f t="shared" si="166"/>
        <v>0.40055075651184802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3.4106051316484809E-13</v>
      </c>
      <c r="BE165" s="14">
        <f>BD165*VLOOKUP('Données projet'!$B$11,Paramètres!$A$1:$I$89,3,0)*VLOOKUP('Données projet'!$B$11,Paramètres!$A$1:$I$89,5,0)</f>
        <v>1.9508661353029313E-13</v>
      </c>
      <c r="BF165" s="14">
        <f t="shared" si="167"/>
        <v>2.711421636700695E-12</v>
      </c>
      <c r="BG165" s="22">
        <f t="shared" si="168"/>
        <v>5.0621685358189711E-12</v>
      </c>
      <c r="BH165" s="62">
        <f t="shared" si="116"/>
        <v>293.33333333333837</v>
      </c>
      <c r="BI165" s="62">
        <f ca="1">AVERAGE(OFFSET($BH$3,0,0,'Données projet'!$E$11+1,1))-AVERAGE(OFFSET($H$3,0,0,'Données projet'!$E$11+1,1))</f>
        <v>258.09881752732008</v>
      </c>
      <c r="BJ165" s="62">
        <f t="shared" si="146"/>
        <v>214.72899476643335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0.16106567120812662</v>
      </c>
      <c r="BR165" s="23">
        <f>EXP(-LN(2)/2)*BR164+(1-EXP(-LN(2)/2))/(LN(2)/2)*BL165*BO165*VLOOKUP('Données projet'!$B$11,Paramètres!$A$1:$I$89,3,0)*0.475*44/12</f>
        <v>5.8993810510764397E-20</v>
      </c>
      <c r="BS165" s="24">
        <f t="shared" si="169"/>
        <v>0.16106567120812662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1.7053025658242404E-13</v>
      </c>
      <c r="O166" s="14">
        <f>N166*VLOOKUP('Données projet'!$B$9,Paramètres!$A$1:$I$89,3,0)*VLOOKUP('Données projet'!$B$9,Paramètres!$A$1:$I$89,5,0)</f>
        <v>1.5429577615577727E-13</v>
      </c>
      <c r="P166" s="14">
        <f t="shared" si="141"/>
        <v>2.2038482767263348E-12</v>
      </c>
      <c r="Q166" s="22">
        <f t="shared" si="162"/>
        <v>4.107100892103012E-12</v>
      </c>
      <c r="R166" s="62">
        <f t="shared" si="109"/>
        <v>293.33333333333741</v>
      </c>
      <c r="S166" s="62">
        <f ca="1">AVERAGE(OFFSET($R$3,0,0,'Données projet'!$E$9+1,1))-AVERAGE(OFFSET($H$3,0,0,'Données projet'!$E$9+1,1))</f>
        <v>371.75294069149942</v>
      </c>
      <c r="T166" s="62">
        <f t="shared" si="142"/>
        <v>233.32640143610547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405.09126081846171</v>
      </c>
      <c r="AO166" s="62">
        <f t="shared" si="144"/>
        <v>534.22295841722166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0.17274134227463328</v>
      </c>
      <c r="AV166" s="23">
        <f>EXP(-LN(2)/25)*AV165+(1-EXP(-LN(2)/25))/(LN(2)/25)*Calculateur!AQ166*Calculateur!AS166*VLOOKUP('Données projet'!$B$10,Paramètres!$A$1:$I$89,3,0)*0.475*44/12</f>
        <v>0.21821932898991811</v>
      </c>
      <c r="AW166" s="23">
        <f>EXP(-LN(2)/2)*AW165+(1-EXP(-LN(2)/2))/(LN(2)/2)*AQ166*AT166*VLOOKUP('Données projet'!$B$10,Paramètres!$A$1:$I$89,3,0)*0.475*44/12</f>
        <v>3.5453602377527781E-21</v>
      </c>
      <c r="AX166" s="23">
        <f t="shared" si="166"/>
        <v>0.39096067126455136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3.4106051316484809E-13</v>
      </c>
      <c r="BE166" s="14">
        <f>BD166*VLOOKUP('Données projet'!$B$11,Paramètres!$A$1:$I$89,3,0)*VLOOKUP('Données projet'!$B$11,Paramètres!$A$1:$I$89,5,0)</f>
        <v>1.9508661353029313E-13</v>
      </c>
      <c r="BF166" s="14">
        <f t="shared" si="167"/>
        <v>2.711421636700695E-12</v>
      </c>
      <c r="BG166" s="22">
        <f t="shared" si="168"/>
        <v>5.0621685358189711E-12</v>
      </c>
      <c r="BH166" s="62">
        <f t="shared" si="116"/>
        <v>293.33333333333837</v>
      </c>
      <c r="BI166" s="62">
        <f ca="1">AVERAGE(OFFSET($BH$3,0,0,'Données projet'!$E$11+1,1))-AVERAGE(OFFSET($H$3,0,0,'Données projet'!$E$11+1,1))</f>
        <v>258.09881752732008</v>
      </c>
      <c r="BJ166" s="62">
        <f t="shared" si="146"/>
        <v>214.72899476643335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0.15666132195886487</v>
      </c>
      <c r="BR166" s="23">
        <f>EXP(-LN(2)/2)*BR165+(1-EXP(-LN(2)/2))/(LN(2)/2)*BL166*BO166*VLOOKUP('Données projet'!$B$11,Paramètres!$A$1:$I$89,3,0)*0.475*44/12</f>
        <v>4.1714923460195728E-20</v>
      </c>
      <c r="BS166" s="24">
        <f t="shared" si="169"/>
        <v>0.15666132195886487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1.7053025658242404E-13</v>
      </c>
      <c r="O167" s="14">
        <f>N167*VLOOKUP('Données projet'!$B$9,Paramètres!$A$1:$I$89,3,0)*VLOOKUP('Données projet'!$B$9,Paramètres!$A$1:$I$89,5,0)</f>
        <v>1.5429577615577727E-13</v>
      </c>
      <c r="P167" s="14">
        <f t="shared" si="141"/>
        <v>2.2038482767263348E-12</v>
      </c>
      <c r="Q167" s="22">
        <f t="shared" si="162"/>
        <v>4.107100892103012E-12</v>
      </c>
      <c r="R167" s="62">
        <f t="shared" si="109"/>
        <v>293.33333333333741</v>
      </c>
      <c r="S167" s="62">
        <f ca="1">AVERAGE(OFFSET($R$3,0,0,'Données projet'!$E$9+1,1))-AVERAGE(OFFSET($H$3,0,0,'Données projet'!$E$9+1,1))</f>
        <v>371.75294069149942</v>
      </c>
      <c r="T167" s="62">
        <f t="shared" si="142"/>
        <v>233.32640143610547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405.09126081846171</v>
      </c>
      <c r="AO167" s="62">
        <f t="shared" si="144"/>
        <v>534.22295841722166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0.16935398991444289</v>
      </c>
      <c r="AV167" s="23">
        <f>EXP(-LN(2)/25)*AV166+(1-EXP(-LN(2)/25))/(LN(2)/25)*Calculateur!AQ167*Calculateur!AS167*VLOOKUP('Données projet'!$B$10,Paramètres!$A$1:$I$89,3,0)*0.475*44/12</f>
        <v>0.21225210996303304</v>
      </c>
      <c r="AW167" s="23">
        <f>EXP(-LN(2)/2)*AW166+(1-EXP(-LN(2)/2))/(LN(2)/2)*AQ167*AT167*VLOOKUP('Données projet'!$B$10,Paramètres!$A$1:$I$89,3,0)*0.475*44/12</f>
        <v>2.5069482658641398E-21</v>
      </c>
      <c r="AX167" s="23">
        <f t="shared" si="166"/>
        <v>0.38160609987747596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3.4106051316484809E-13</v>
      </c>
      <c r="BE167" s="14">
        <f>BD167*VLOOKUP('Données projet'!$B$11,Paramètres!$A$1:$I$89,3,0)*VLOOKUP('Données projet'!$B$11,Paramètres!$A$1:$I$89,5,0)</f>
        <v>1.9508661353029313E-13</v>
      </c>
      <c r="BF167" s="14">
        <f t="shared" si="167"/>
        <v>2.711421636700695E-12</v>
      </c>
      <c r="BG167" s="22">
        <f t="shared" si="168"/>
        <v>5.0621685358189711E-12</v>
      </c>
      <c r="BH167" s="62">
        <f t="shared" si="116"/>
        <v>293.33333333333837</v>
      </c>
      <c r="BI167" s="62">
        <f ca="1">AVERAGE(OFFSET($BH$3,0,0,'Données projet'!$E$11+1,1))-AVERAGE(OFFSET($H$3,0,0,'Données projet'!$E$11+1,1))</f>
        <v>258.09881752732008</v>
      </c>
      <c r="BJ167" s="62">
        <f t="shared" si="146"/>
        <v>214.72899476643335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0.15237740987143883</v>
      </c>
      <c r="BR167" s="23">
        <f>EXP(-LN(2)/2)*BR166+(1-EXP(-LN(2)/2))/(LN(2)/2)*BL167*BO167*VLOOKUP('Données projet'!$B$11,Paramètres!$A$1:$I$89,3,0)*0.475*44/12</f>
        <v>2.9496905255382199E-20</v>
      </c>
      <c r="BS167" s="24">
        <f t="shared" si="169"/>
        <v>0.15237740987143883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1.7053025658242404E-13</v>
      </c>
      <c r="O168" s="14">
        <f>N168*VLOOKUP('Données projet'!$B$9,Paramètres!$A$1:$I$89,3,0)*VLOOKUP('Données projet'!$B$9,Paramètres!$A$1:$I$89,5,0)</f>
        <v>1.5429577615577727E-13</v>
      </c>
      <c r="P168" s="14">
        <f t="shared" si="141"/>
        <v>2.2038482767263348E-12</v>
      </c>
      <c r="Q168" s="22">
        <f t="shared" si="162"/>
        <v>4.107100892103012E-12</v>
      </c>
      <c r="R168" s="62">
        <f t="shared" si="109"/>
        <v>293.33333333333741</v>
      </c>
      <c r="S168" s="62">
        <f ca="1">AVERAGE(OFFSET($R$3,0,0,'Données projet'!$E$9+1,1))-AVERAGE(OFFSET($H$3,0,0,'Données projet'!$E$9+1,1))</f>
        <v>371.75294069149942</v>
      </c>
      <c r="T168" s="62">
        <f t="shared" si="142"/>
        <v>233.32640143610547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405.09126081846171</v>
      </c>
      <c r="AO168" s="62">
        <f t="shared" si="144"/>
        <v>534.22295841722166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0.16603306146795491</v>
      </c>
      <c r="AV168" s="23">
        <f>EXP(-LN(2)/25)*AV167+(1-EXP(-LN(2)/25))/(LN(2)/25)*Calculateur!AQ168*Calculateur!AS168*VLOOKUP('Données projet'!$B$10,Paramètres!$A$1:$I$89,3,0)*0.475*44/12</f>
        <v>0.20644806485424055</v>
      </c>
      <c r="AW168" s="23">
        <f>EXP(-LN(2)/2)*AW167+(1-EXP(-LN(2)/2))/(LN(2)/2)*AQ168*AT168*VLOOKUP('Données projet'!$B$10,Paramètres!$A$1:$I$89,3,0)*0.475*44/12</f>
        <v>1.772680118876389E-21</v>
      </c>
      <c r="AX168" s="23">
        <f t="shared" si="166"/>
        <v>0.37248112632219543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3.4106051316484809E-13</v>
      </c>
      <c r="BE168" s="14">
        <f>BD168*VLOOKUP('Données projet'!$B$11,Paramètres!$A$1:$I$89,3,0)*VLOOKUP('Données projet'!$B$11,Paramètres!$A$1:$I$89,5,0)</f>
        <v>1.9508661353029313E-13</v>
      </c>
      <c r="BF168" s="14">
        <f t="shared" si="167"/>
        <v>2.711421636700695E-12</v>
      </c>
      <c r="BG168" s="22">
        <f t="shared" si="168"/>
        <v>5.0621685358189711E-12</v>
      </c>
      <c r="BH168" s="62">
        <f t="shared" si="116"/>
        <v>293.33333333333837</v>
      </c>
      <c r="BI168" s="62">
        <f ca="1">AVERAGE(OFFSET($BH$3,0,0,'Données projet'!$E$11+1,1))-AVERAGE(OFFSET($H$3,0,0,'Données projet'!$E$11+1,1))</f>
        <v>258.09881752732008</v>
      </c>
      <c r="BJ168" s="62">
        <f t="shared" si="146"/>
        <v>214.72899476643335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0.14821064158532463</v>
      </c>
      <c r="BR168" s="23">
        <f>EXP(-LN(2)/2)*BR167+(1-EXP(-LN(2)/2))/(LN(2)/2)*BL168*BO168*VLOOKUP('Données projet'!$B$11,Paramètres!$A$1:$I$89,3,0)*0.475*44/12</f>
        <v>2.0857461730097864E-20</v>
      </c>
      <c r="BS168" s="24">
        <f t="shared" si="169"/>
        <v>0.14821064158532463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1.7053025658242404E-13</v>
      </c>
      <c r="O169" s="14">
        <f>N169*VLOOKUP('Données projet'!$B$9,Paramètres!$A$1:$I$89,3,0)*VLOOKUP('Données projet'!$B$9,Paramètres!$A$1:$I$89,5,0)</f>
        <v>1.5429577615577727E-13</v>
      </c>
      <c r="P169" s="14">
        <f t="shared" si="141"/>
        <v>2.2038482767263348E-12</v>
      </c>
      <c r="Q169" s="22">
        <f t="shared" si="162"/>
        <v>4.107100892103012E-12</v>
      </c>
      <c r="R169" s="62">
        <f t="shared" si="109"/>
        <v>293.33333333333741</v>
      </c>
      <c r="S169" s="62">
        <f ca="1">AVERAGE(OFFSET($R$3,0,0,'Données projet'!$E$9+1,1))-AVERAGE(OFFSET($H$3,0,0,'Données projet'!$E$9+1,1))</f>
        <v>371.75294069149942</v>
      </c>
      <c r="T169" s="62">
        <f t="shared" si="142"/>
        <v>233.32640143610547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405.09126081846171</v>
      </c>
      <c r="AO169" s="62">
        <f t="shared" si="144"/>
        <v>534.22295841722166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0.16277725440273622</v>
      </c>
      <c r="AV169" s="23">
        <f>EXP(-LN(2)/25)*AV168+(1-EXP(-LN(2)/25))/(LN(2)/25)*Calculateur!AQ169*Calculateur!AS169*VLOOKUP('Données projet'!$B$10,Paramètres!$A$1:$I$89,3,0)*0.475*44/12</f>
        <v>0.20080273166416945</v>
      </c>
      <c r="AW169" s="23">
        <f>EXP(-LN(2)/2)*AW168+(1-EXP(-LN(2)/2))/(LN(2)/2)*AQ169*AT169*VLOOKUP('Données projet'!$B$10,Paramètres!$A$1:$I$89,3,0)*0.475*44/12</f>
        <v>1.2534741329320699E-21</v>
      </c>
      <c r="AX169" s="23">
        <f t="shared" si="166"/>
        <v>0.36357998606690567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3.4106051316484809E-13</v>
      </c>
      <c r="BE169" s="14">
        <f>BD169*VLOOKUP('Données projet'!$B$11,Paramètres!$A$1:$I$89,3,0)*VLOOKUP('Données projet'!$B$11,Paramètres!$A$1:$I$89,5,0)</f>
        <v>1.9508661353029313E-13</v>
      </c>
      <c r="BF169" s="14">
        <f t="shared" si="167"/>
        <v>2.711421636700695E-12</v>
      </c>
      <c r="BG169" s="22">
        <f t="shared" si="168"/>
        <v>5.0621685358189711E-12</v>
      </c>
      <c r="BH169" s="62">
        <f t="shared" si="116"/>
        <v>293.33333333333837</v>
      </c>
      <c r="BI169" s="62">
        <f ca="1">AVERAGE(OFFSET($BH$3,0,0,'Données projet'!$E$11+1,1))-AVERAGE(OFFSET($H$3,0,0,'Données projet'!$E$11+1,1))</f>
        <v>258.09881752732008</v>
      </c>
      <c r="BJ169" s="62">
        <f t="shared" si="146"/>
        <v>214.72899476643335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0.14415781379711504</v>
      </c>
      <c r="BR169" s="23">
        <f>EXP(-LN(2)/2)*BR168+(1-EXP(-LN(2)/2))/(LN(2)/2)*BL169*BO169*VLOOKUP('Données projet'!$B$11,Paramètres!$A$1:$I$89,3,0)*0.475*44/12</f>
        <v>1.4748452627691099E-20</v>
      </c>
      <c r="BS169" s="24">
        <f t="shared" si="169"/>
        <v>0.14415781379711504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1.7053025658242404E-13</v>
      </c>
      <c r="O170" s="14">
        <f>N170*VLOOKUP('Données projet'!$B$9,Paramètres!$A$1:$I$89,3,0)*VLOOKUP('Données projet'!$B$9,Paramètres!$A$1:$I$89,5,0)</f>
        <v>1.5429577615577727E-13</v>
      </c>
      <c r="P170" s="14">
        <f t="shared" si="141"/>
        <v>2.2038482767263348E-12</v>
      </c>
      <c r="Q170" s="22">
        <f t="shared" si="162"/>
        <v>4.107100892103012E-12</v>
      </c>
      <c r="R170" s="62">
        <f t="shared" si="109"/>
        <v>293.33333333333741</v>
      </c>
      <c r="S170" s="62">
        <f ca="1">AVERAGE(OFFSET($R$3,0,0,'Données projet'!$E$9+1,1))-AVERAGE(OFFSET($H$3,0,0,'Données projet'!$E$9+1,1))</f>
        <v>371.75294069149942</v>
      </c>
      <c r="T170" s="62">
        <f t="shared" si="142"/>
        <v>233.32640143610547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405.09126081846171</v>
      </c>
      <c r="AO170" s="62">
        <f t="shared" si="144"/>
        <v>534.22295841722166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0.15958529172822022</v>
      </c>
      <c r="AV170" s="23">
        <f>EXP(-LN(2)/25)*AV169+(1-EXP(-LN(2)/25))/(LN(2)/25)*Calculateur!AQ170*Calculateur!AS170*VLOOKUP('Données projet'!$B$10,Paramètres!$A$1:$I$89,3,0)*0.475*44/12</f>
        <v>0.19531177040705602</v>
      </c>
      <c r="AW170" s="23">
        <f>EXP(-LN(2)/2)*AW169+(1-EXP(-LN(2)/2))/(LN(2)/2)*AQ170*AT170*VLOOKUP('Données projet'!$B$10,Paramètres!$A$1:$I$89,3,0)*0.475*44/12</f>
        <v>8.8634005943819451E-22</v>
      </c>
      <c r="AX170" s="23">
        <f t="shared" si="166"/>
        <v>0.35489706213527628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3.4106051316484809E-13</v>
      </c>
      <c r="BE170" s="14">
        <f>BD170*VLOOKUP('Données projet'!$B$11,Paramètres!$A$1:$I$89,3,0)*VLOOKUP('Données projet'!$B$11,Paramètres!$A$1:$I$89,5,0)</f>
        <v>1.9508661353029313E-13</v>
      </c>
      <c r="BF170" s="14">
        <f t="shared" si="167"/>
        <v>2.711421636700695E-12</v>
      </c>
      <c r="BG170" s="22">
        <f t="shared" si="168"/>
        <v>5.0621685358189711E-12</v>
      </c>
      <c r="BH170" s="62">
        <f t="shared" si="116"/>
        <v>293.33333333333837</v>
      </c>
      <c r="BI170" s="62">
        <f ca="1">AVERAGE(OFFSET($BH$3,0,0,'Données projet'!$E$11+1,1))-AVERAGE(OFFSET($H$3,0,0,'Données projet'!$E$11+1,1))</f>
        <v>258.09881752732008</v>
      </c>
      <c r="BJ170" s="62">
        <f t="shared" si="146"/>
        <v>214.72899476643335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0.14021581079790296</v>
      </c>
      <c r="BR170" s="23">
        <f>EXP(-LN(2)/2)*BR169+(1-EXP(-LN(2)/2))/(LN(2)/2)*BL170*BO170*VLOOKUP('Données projet'!$B$11,Paramètres!$A$1:$I$89,3,0)*0.475*44/12</f>
        <v>1.0428730865048932E-20</v>
      </c>
      <c r="BS170" s="24">
        <f t="shared" si="169"/>
        <v>0.14021581079790296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1.7053025658242404E-13</v>
      </c>
      <c r="O171" s="14">
        <f>N171*VLOOKUP('Données projet'!$B$9,Paramètres!$A$1:$I$89,3,0)*VLOOKUP('Données projet'!$B$9,Paramètres!$A$1:$I$89,5,0)</f>
        <v>1.5429577615577727E-13</v>
      </c>
      <c r="P171" s="14">
        <f t="shared" si="141"/>
        <v>2.2038482767263348E-12</v>
      </c>
      <c r="Q171" s="22">
        <f t="shared" si="162"/>
        <v>4.107100892103012E-12</v>
      </c>
      <c r="R171" s="62">
        <f t="shared" si="109"/>
        <v>293.33333333333741</v>
      </c>
      <c r="S171" s="62">
        <f ca="1">AVERAGE(OFFSET($R$3,0,0,'Données projet'!$E$9+1,1))-AVERAGE(OFFSET($H$3,0,0,'Données projet'!$E$9+1,1))</f>
        <v>371.75294069149942</v>
      </c>
      <c r="T171" s="62">
        <f t="shared" si="142"/>
        <v>233.32640143610547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405.09126081846171</v>
      </c>
      <c r="AO171" s="62">
        <f t="shared" si="144"/>
        <v>534.22295841722166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0.15645592149484649</v>
      </c>
      <c r="AV171" s="23">
        <f>EXP(-LN(2)/25)*AV170+(1-EXP(-LN(2)/25))/(LN(2)/25)*Calculateur!AQ171*Calculateur!AS171*VLOOKUP('Données projet'!$B$10,Paramètres!$A$1:$I$89,3,0)*0.475*44/12</f>
        <v>0.18997095977427547</v>
      </c>
      <c r="AW171" s="23">
        <f>EXP(-LN(2)/2)*AW170+(1-EXP(-LN(2)/2))/(LN(2)/2)*AQ171*AT171*VLOOKUP('Données projet'!$B$10,Paramètres!$A$1:$I$89,3,0)*0.475*44/12</f>
        <v>6.2673706646603495E-22</v>
      </c>
      <c r="AX171" s="23">
        <f t="shared" si="166"/>
        <v>0.34642688126912197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3.4106051316484809E-13</v>
      </c>
      <c r="BE171" s="14">
        <f>BD171*VLOOKUP('Données projet'!$B$11,Paramètres!$A$1:$I$89,3,0)*VLOOKUP('Données projet'!$B$11,Paramètres!$A$1:$I$89,5,0)</f>
        <v>1.9508661353029313E-13</v>
      </c>
      <c r="BF171" s="14">
        <f t="shared" si="167"/>
        <v>2.711421636700695E-12</v>
      </c>
      <c r="BG171" s="22">
        <f t="shared" si="168"/>
        <v>5.0621685358189711E-12</v>
      </c>
      <c r="BH171" s="62">
        <f t="shared" si="116"/>
        <v>293.33333333333837</v>
      </c>
      <c r="BI171" s="62">
        <f ca="1">AVERAGE(OFFSET($BH$3,0,0,'Données projet'!$E$11+1,1))-AVERAGE(OFFSET($H$3,0,0,'Données projet'!$E$11+1,1))</f>
        <v>258.09881752732008</v>
      </c>
      <c r="BJ171" s="62">
        <f t="shared" si="146"/>
        <v>214.72899476643335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0.13638160207800529</v>
      </c>
      <c r="BR171" s="23">
        <f>EXP(-LN(2)/2)*BR170+(1-EXP(-LN(2)/2))/(LN(2)/2)*BL171*BO171*VLOOKUP('Données projet'!$B$11,Paramètres!$A$1:$I$89,3,0)*0.475*44/12</f>
        <v>7.3742263138455497E-21</v>
      </c>
      <c r="BS171" s="24">
        <f t="shared" si="169"/>
        <v>0.13638160207800529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1.7053025658242404E-13</v>
      </c>
      <c r="O172" s="14">
        <f>N172*VLOOKUP('Données projet'!$B$9,Paramètres!$A$1:$I$89,3,0)*VLOOKUP('Données projet'!$B$9,Paramètres!$A$1:$I$89,5,0)</f>
        <v>1.5429577615577727E-13</v>
      </c>
      <c r="P172" s="14">
        <f t="shared" si="141"/>
        <v>2.2038482767263348E-12</v>
      </c>
      <c r="Q172" s="22">
        <f t="shared" si="162"/>
        <v>4.107100892103012E-12</v>
      </c>
      <c r="R172" s="62">
        <f t="shared" si="109"/>
        <v>293.33333333333741</v>
      </c>
      <c r="S172" s="62">
        <f ca="1">AVERAGE(OFFSET($R$3,0,0,'Données projet'!$E$9+1,1))-AVERAGE(OFFSET($H$3,0,0,'Données projet'!$E$9+1,1))</f>
        <v>371.75294069149942</v>
      </c>
      <c r="T172" s="62">
        <f t="shared" si="142"/>
        <v>233.32640143610547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405.09126081846171</v>
      </c>
      <c r="AO172" s="62">
        <f t="shared" si="144"/>
        <v>534.22295841722166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0.15338791630302187</v>
      </c>
      <c r="AV172" s="23">
        <f>EXP(-LN(2)/25)*AV171+(1-EXP(-LN(2)/25))/(LN(2)/25)*Calculateur!AQ172*Calculateur!AS172*VLOOKUP('Données projet'!$B$10,Paramètres!$A$1:$I$89,3,0)*0.475*44/12</f>
        <v>0.18477619388910932</v>
      </c>
      <c r="AW172" s="23">
        <f>EXP(-LN(2)/2)*AW171+(1-EXP(-LN(2)/2))/(LN(2)/2)*AQ172*AT172*VLOOKUP('Données projet'!$B$10,Paramètres!$A$1:$I$89,3,0)*0.475*44/12</f>
        <v>4.4317002971909726E-22</v>
      </c>
      <c r="AX172" s="23">
        <f t="shared" si="166"/>
        <v>0.33816411019213122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3.4106051316484809E-13</v>
      </c>
      <c r="BE172" s="14">
        <f>BD172*VLOOKUP('Données projet'!$B$11,Paramètres!$A$1:$I$89,3,0)*VLOOKUP('Données projet'!$B$11,Paramètres!$A$1:$I$89,5,0)</f>
        <v>1.9508661353029313E-13</v>
      </c>
      <c r="BF172" s="14">
        <f t="shared" si="167"/>
        <v>2.711421636700695E-12</v>
      </c>
      <c r="BG172" s="22">
        <f t="shared" si="168"/>
        <v>5.0621685358189711E-12</v>
      </c>
      <c r="BH172" s="62">
        <f t="shared" si="116"/>
        <v>293.33333333333837</v>
      </c>
      <c r="BI172" s="62">
        <f ca="1">AVERAGE(OFFSET($BH$3,0,0,'Données projet'!$E$11+1,1))-AVERAGE(OFFSET($H$3,0,0,'Données projet'!$E$11+1,1))</f>
        <v>258.09881752732008</v>
      </c>
      <c r="BJ172" s="62">
        <f t="shared" si="146"/>
        <v>214.72899476643335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0.13265223999718548</v>
      </c>
      <c r="BR172" s="23">
        <f>EXP(-LN(2)/2)*BR171+(1-EXP(-LN(2)/2))/(LN(2)/2)*BL172*BO172*VLOOKUP('Données projet'!$B$11,Paramètres!$A$1:$I$89,3,0)*0.475*44/12</f>
        <v>5.2143654325244661E-21</v>
      </c>
      <c r="BS172" s="24">
        <f t="shared" si="169"/>
        <v>0.13265223999718548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1.7053025658242404E-13</v>
      </c>
      <c r="O173" s="14">
        <f>N173*VLOOKUP('Données projet'!$B$9,Paramètres!$A$1:$I$89,3,0)*VLOOKUP('Données projet'!$B$9,Paramètres!$A$1:$I$89,5,0)</f>
        <v>1.5429577615577727E-13</v>
      </c>
      <c r="P173" s="14">
        <f t="shared" si="141"/>
        <v>2.2038482767263348E-12</v>
      </c>
      <c r="Q173" s="22">
        <f t="shared" si="162"/>
        <v>4.107100892103012E-12</v>
      </c>
      <c r="R173" s="62">
        <f t="shared" si="109"/>
        <v>293.33333333333741</v>
      </c>
      <c r="S173" s="62">
        <f ca="1">AVERAGE(OFFSET($R$3,0,0,'Données projet'!$E$9+1,1))-AVERAGE(OFFSET($H$3,0,0,'Données projet'!$E$9+1,1))</f>
        <v>371.75294069149942</v>
      </c>
      <c r="T173" s="62">
        <f t="shared" si="142"/>
        <v>233.32640143610547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405.09126081846171</v>
      </c>
      <c r="AO173" s="62">
        <f t="shared" si="144"/>
        <v>534.22295841722166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0.15038007282171054</v>
      </c>
      <c r="AV173" s="23">
        <f>EXP(-LN(2)/25)*AV172+(1-EXP(-LN(2)/25))/(LN(2)/25)*Calculateur!AQ173*Calculateur!AS173*VLOOKUP('Données projet'!$B$10,Paramètres!$A$1:$I$89,3,0)*0.475*44/12</f>
        <v>0.17972347915025391</v>
      </c>
      <c r="AW173" s="23">
        <f>EXP(-LN(2)/2)*AW172+(1-EXP(-LN(2)/2))/(LN(2)/2)*AQ173*AT173*VLOOKUP('Données projet'!$B$10,Paramètres!$A$1:$I$89,3,0)*0.475*44/12</f>
        <v>3.1336853323301748E-22</v>
      </c>
      <c r="AX173" s="23">
        <f t="shared" si="166"/>
        <v>0.33010355197196445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3.4106051316484809E-13</v>
      </c>
      <c r="BE173" s="14">
        <f>BD173*VLOOKUP('Données projet'!$B$11,Paramètres!$A$1:$I$89,3,0)*VLOOKUP('Données projet'!$B$11,Paramètres!$A$1:$I$89,5,0)</f>
        <v>1.9508661353029313E-13</v>
      </c>
      <c r="BF173" s="14">
        <f t="shared" si="167"/>
        <v>2.711421636700695E-12</v>
      </c>
      <c r="BG173" s="22">
        <f t="shared" si="168"/>
        <v>5.0621685358189711E-12</v>
      </c>
      <c r="BH173" s="62">
        <f t="shared" si="116"/>
        <v>293.33333333333837</v>
      </c>
      <c r="BI173" s="62">
        <f ca="1">AVERAGE(OFFSET($BH$3,0,0,'Données projet'!$E$11+1,1))-AVERAGE(OFFSET($H$3,0,0,'Données projet'!$E$11+1,1))</f>
        <v>258.09881752732008</v>
      </c>
      <c r="BJ173" s="62">
        <f t="shared" si="146"/>
        <v>214.72899476643335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0.12902485751858431</v>
      </c>
      <c r="BR173" s="23">
        <f>EXP(-LN(2)/2)*BR172+(1-EXP(-LN(2)/2))/(LN(2)/2)*BL173*BO173*VLOOKUP('Données projet'!$B$11,Paramètres!$A$1:$I$89,3,0)*0.475*44/12</f>
        <v>3.6871131569227748E-21</v>
      </c>
      <c r="BS173" s="24">
        <f t="shared" si="169"/>
        <v>0.12902485751858431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1.7053025658242404E-13</v>
      </c>
      <c r="O174" s="14">
        <f>N174*VLOOKUP('Données projet'!$B$9,Paramètres!$A$1:$I$89,3,0)*VLOOKUP('Données projet'!$B$9,Paramètres!$A$1:$I$89,5,0)</f>
        <v>1.5429577615577727E-13</v>
      </c>
      <c r="P174" s="14">
        <f t="shared" si="141"/>
        <v>2.2038482767263348E-12</v>
      </c>
      <c r="Q174" s="22">
        <f t="shared" si="162"/>
        <v>4.107100892103012E-12</v>
      </c>
      <c r="R174" s="62">
        <f t="shared" si="109"/>
        <v>293.33333333333741</v>
      </c>
      <c r="S174" s="62">
        <f ca="1">AVERAGE(OFFSET($R$3,0,0,'Données projet'!$E$9+1,1))-AVERAGE(OFFSET($H$3,0,0,'Données projet'!$E$9+1,1))</f>
        <v>371.75294069149942</v>
      </c>
      <c r="T174" s="62">
        <f t="shared" si="142"/>
        <v>233.32640143610547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405.09126081846171</v>
      </c>
      <c r="AO174" s="62">
        <f t="shared" si="144"/>
        <v>534.22295841722166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0.14743121131646433</v>
      </c>
      <c r="AV174" s="23">
        <f>EXP(-LN(2)/25)*AV173+(1-EXP(-LN(2)/25))/(LN(2)/25)*Calculateur!AQ174*Calculateur!AS174*VLOOKUP('Données projet'!$B$10,Paramètres!$A$1:$I$89,3,0)*0.475*44/12</f>
        <v>0.17480893116164323</v>
      </c>
      <c r="AW174" s="23">
        <f>EXP(-LN(2)/2)*AW173+(1-EXP(-LN(2)/2))/(LN(2)/2)*AQ174*AT174*VLOOKUP('Données projet'!$B$10,Paramètres!$A$1:$I$89,3,0)*0.475*44/12</f>
        <v>2.2158501485954863E-22</v>
      </c>
      <c r="AX174" s="23">
        <f t="shared" si="166"/>
        <v>0.32224014247810756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3.4106051316484809E-13</v>
      </c>
      <c r="BE174" s="14">
        <f>BD174*VLOOKUP('Données projet'!$B$11,Paramètres!$A$1:$I$89,3,0)*VLOOKUP('Données projet'!$B$11,Paramètres!$A$1:$I$89,5,0)</f>
        <v>1.9508661353029313E-13</v>
      </c>
      <c r="BF174" s="14">
        <f t="shared" si="167"/>
        <v>2.711421636700695E-12</v>
      </c>
      <c r="BG174" s="22">
        <f t="shared" si="168"/>
        <v>5.0621685358189711E-12</v>
      </c>
      <c r="BH174" s="62">
        <f t="shared" si="116"/>
        <v>293.33333333333837</v>
      </c>
      <c r="BI174" s="62">
        <f ca="1">AVERAGE(OFFSET($BH$3,0,0,'Données projet'!$E$11+1,1))-AVERAGE(OFFSET($H$3,0,0,'Données projet'!$E$11+1,1))</f>
        <v>258.09881752732008</v>
      </c>
      <c r="BJ174" s="62">
        <f t="shared" si="146"/>
        <v>214.72899476643335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0.12549666600461626</v>
      </c>
      <c r="BR174" s="23">
        <f>EXP(-LN(2)/2)*BR173+(1-EXP(-LN(2)/2))/(LN(2)/2)*BL174*BO174*VLOOKUP('Données projet'!$B$11,Paramètres!$A$1:$I$89,3,0)*0.475*44/12</f>
        <v>2.607182716262233E-21</v>
      </c>
      <c r="BS174" s="24">
        <f t="shared" si="169"/>
        <v>0.12549666600461626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1.7053025658242404E-13</v>
      </c>
      <c r="O175" s="14">
        <f>N175*VLOOKUP('Données projet'!$B$9,Paramètres!$A$1:$I$89,3,0)*VLOOKUP('Données projet'!$B$9,Paramètres!$A$1:$I$89,5,0)</f>
        <v>1.5429577615577727E-13</v>
      </c>
      <c r="P175" s="14">
        <f t="shared" si="141"/>
        <v>2.2038482767263348E-12</v>
      </c>
      <c r="Q175" s="22">
        <f t="shared" si="162"/>
        <v>4.107100892103012E-12</v>
      </c>
      <c r="R175" s="62">
        <f t="shared" si="109"/>
        <v>293.33333333333741</v>
      </c>
      <c r="S175" s="62">
        <f ca="1">AVERAGE(OFFSET($R$3,0,0,'Données projet'!$E$9+1,1))-AVERAGE(OFFSET($H$3,0,0,'Données projet'!$E$9+1,1))</f>
        <v>371.75294069149942</v>
      </c>
      <c r="T175" s="62">
        <f t="shared" si="142"/>
        <v>233.32640143610547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405.09126081846171</v>
      </c>
      <c r="AO175" s="62">
        <f t="shared" si="144"/>
        <v>534.22295841722166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0.14454017518670809</v>
      </c>
      <c r="AV175" s="23">
        <f>EXP(-LN(2)/25)*AV174+(1-EXP(-LN(2)/25))/(LN(2)/25)*Calculateur!AQ175*Calculateur!AS175*VLOOKUP('Données projet'!$B$10,Paramètres!$A$1:$I$89,3,0)*0.475*44/12</f>
        <v>0.17002877174622594</v>
      </c>
      <c r="AW175" s="23">
        <f>EXP(-LN(2)/2)*AW174+(1-EXP(-LN(2)/2))/(LN(2)/2)*AQ175*AT175*VLOOKUP('Données projet'!$B$10,Paramètres!$A$1:$I$89,3,0)*0.475*44/12</f>
        <v>1.5668426661650874E-22</v>
      </c>
      <c r="AX175" s="23">
        <f t="shared" si="166"/>
        <v>0.31456894693293402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3.4106051316484809E-13</v>
      </c>
      <c r="BE175" s="14">
        <f>BD175*VLOOKUP('Données projet'!$B$11,Paramètres!$A$1:$I$89,3,0)*VLOOKUP('Données projet'!$B$11,Paramètres!$A$1:$I$89,5,0)</f>
        <v>1.9508661353029313E-13</v>
      </c>
      <c r="BF175" s="14">
        <f t="shared" si="167"/>
        <v>2.711421636700695E-12</v>
      </c>
      <c r="BG175" s="22">
        <f t="shared" si="168"/>
        <v>5.0621685358189711E-12</v>
      </c>
      <c r="BH175" s="62">
        <f t="shared" si="116"/>
        <v>293.33333333333837</v>
      </c>
      <c r="BI175" s="62">
        <f ca="1">AVERAGE(OFFSET($BH$3,0,0,'Données projet'!$E$11+1,1))-AVERAGE(OFFSET($H$3,0,0,'Données projet'!$E$11+1,1))</f>
        <v>258.09881752732008</v>
      </c>
      <c r="BJ175" s="62">
        <f t="shared" si="146"/>
        <v>214.72899476643335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0.12206495307313719</v>
      </c>
      <c r="BR175" s="23">
        <f>EXP(-LN(2)/2)*BR174+(1-EXP(-LN(2)/2))/(LN(2)/2)*BL175*BO175*VLOOKUP('Données projet'!$B$11,Paramètres!$A$1:$I$89,3,0)*0.475*44/12</f>
        <v>1.8435565784613874E-21</v>
      </c>
      <c r="BS175" s="24">
        <f t="shared" si="169"/>
        <v>0.12206495307313719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1.7053025658242404E-13</v>
      </c>
      <c r="O176" s="14">
        <f>N176*VLOOKUP('Données projet'!$B$9,Paramètres!$A$1:$I$89,3,0)*VLOOKUP('Données projet'!$B$9,Paramètres!$A$1:$I$89,5,0)</f>
        <v>1.5429577615577727E-13</v>
      </c>
      <c r="P176" s="14">
        <f t="shared" si="141"/>
        <v>2.2038482767263348E-12</v>
      </c>
      <c r="Q176" s="22">
        <f t="shared" si="162"/>
        <v>4.107100892103012E-12</v>
      </c>
      <c r="R176" s="62">
        <f t="shared" si="109"/>
        <v>293.33333333333741</v>
      </c>
      <c r="S176" s="62">
        <f ca="1">AVERAGE(OFFSET($R$3,0,0,'Données projet'!$E$9+1,1))-AVERAGE(OFFSET($H$3,0,0,'Données projet'!$E$9+1,1))</f>
        <v>371.75294069149942</v>
      </c>
      <c r="T176" s="62">
        <f t="shared" si="142"/>
        <v>233.32640143610547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405.09126081846171</v>
      </c>
      <c r="AO176" s="62">
        <f t="shared" si="144"/>
        <v>534.22295841722166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0.14170583051209845</v>
      </c>
      <c r="AV176" s="23">
        <f>EXP(-LN(2)/25)*AV175+(1-EXP(-LN(2)/25))/(LN(2)/25)*Calculateur!AQ176*Calculateur!AS176*VLOOKUP('Données projet'!$B$10,Paramètres!$A$1:$I$89,3,0)*0.475*44/12</f>
        <v>0.16537932604140088</v>
      </c>
      <c r="AW176" s="23">
        <f>EXP(-LN(2)/2)*AW175+(1-EXP(-LN(2)/2))/(LN(2)/2)*AQ176*AT176*VLOOKUP('Données projet'!$B$10,Paramètres!$A$1:$I$89,3,0)*0.475*44/12</f>
        <v>1.1079250742977431E-22</v>
      </c>
      <c r="AX176" s="23">
        <f t="shared" si="166"/>
        <v>0.30708515655349933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3.4106051316484809E-13</v>
      </c>
      <c r="BE176" s="14">
        <f>BD176*VLOOKUP('Données projet'!$B$11,Paramètres!$A$1:$I$89,3,0)*VLOOKUP('Données projet'!$B$11,Paramètres!$A$1:$I$89,5,0)</f>
        <v>1.9508661353029313E-13</v>
      </c>
      <c r="BF176" s="14">
        <f t="shared" si="167"/>
        <v>2.711421636700695E-12</v>
      </c>
      <c r="BG176" s="22">
        <f t="shared" si="168"/>
        <v>5.0621685358189711E-12</v>
      </c>
      <c r="BH176" s="62">
        <f t="shared" si="116"/>
        <v>293.33333333333837</v>
      </c>
      <c r="BI176" s="62">
        <f ca="1">AVERAGE(OFFSET($BH$3,0,0,'Données projet'!$E$11+1,1))-AVERAGE(OFFSET($H$3,0,0,'Données projet'!$E$11+1,1))</f>
        <v>258.09881752732008</v>
      </c>
      <c r="BJ176" s="62">
        <f t="shared" si="146"/>
        <v>214.72899476643335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0.11872708051223536</v>
      </c>
      <c r="BR176" s="23">
        <f>EXP(-LN(2)/2)*BR175+(1-EXP(-LN(2)/2))/(LN(2)/2)*BL176*BO176*VLOOKUP('Données projet'!$B$11,Paramètres!$A$1:$I$89,3,0)*0.475*44/12</f>
        <v>1.3035913581311165E-21</v>
      </c>
      <c r="BS176" s="24">
        <f t="shared" si="169"/>
        <v>0.11872708051223536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1.7053025658242404E-13</v>
      </c>
      <c r="O177" s="14">
        <f>N177*VLOOKUP('Données projet'!$B$9,Paramètres!$A$1:$I$89,3,0)*VLOOKUP('Données projet'!$B$9,Paramètres!$A$1:$I$89,5,0)</f>
        <v>1.5429577615577727E-13</v>
      </c>
      <c r="P177" s="14">
        <f t="shared" si="141"/>
        <v>2.2038482767263348E-12</v>
      </c>
      <c r="Q177" s="22">
        <f t="shared" si="162"/>
        <v>4.107100892103012E-12</v>
      </c>
      <c r="R177" s="62">
        <f t="shared" si="109"/>
        <v>293.33333333333741</v>
      </c>
      <c r="S177" s="62">
        <f ca="1">AVERAGE(OFFSET($R$3,0,0,'Données projet'!$E$9+1,1))-AVERAGE(OFFSET($H$3,0,0,'Données projet'!$E$9+1,1))</f>
        <v>371.75294069149942</v>
      </c>
      <c r="T177" s="62">
        <f t="shared" si="142"/>
        <v>233.32640143610547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405.09126081846171</v>
      </c>
      <c r="AO177" s="62">
        <f t="shared" si="144"/>
        <v>534.22295841722166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0.13892706560777837</v>
      </c>
      <c r="AV177" s="23">
        <f>EXP(-LN(2)/25)*AV176+(1-EXP(-LN(2)/25))/(LN(2)/25)*Calculateur!AQ177*Calculateur!AS177*VLOOKUP('Données projet'!$B$10,Paramètres!$A$1:$I$89,3,0)*0.475*44/12</f>
        <v>0.160857019673878</v>
      </c>
      <c r="AW177" s="23">
        <f>EXP(-LN(2)/2)*AW176+(1-EXP(-LN(2)/2))/(LN(2)/2)*AQ177*AT177*VLOOKUP('Données projet'!$B$10,Paramètres!$A$1:$I$89,3,0)*0.475*44/12</f>
        <v>7.8342133308254369E-23</v>
      </c>
      <c r="AX177" s="23">
        <f t="shared" si="166"/>
        <v>0.29978408528165634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3.4106051316484809E-13</v>
      </c>
      <c r="BE177" s="14">
        <f>BD177*VLOOKUP('Données projet'!$B$11,Paramètres!$A$1:$I$89,3,0)*VLOOKUP('Données projet'!$B$11,Paramètres!$A$1:$I$89,5,0)</f>
        <v>1.9508661353029313E-13</v>
      </c>
      <c r="BF177" s="14">
        <f t="shared" si="167"/>
        <v>2.711421636700695E-12</v>
      </c>
      <c r="BG177" s="22">
        <f t="shared" si="168"/>
        <v>5.0621685358189711E-12</v>
      </c>
      <c r="BH177" s="62">
        <f t="shared" si="116"/>
        <v>293.33333333333837</v>
      </c>
      <c r="BI177" s="62">
        <f ca="1">AVERAGE(OFFSET($BH$3,0,0,'Données projet'!$E$11+1,1))-AVERAGE(OFFSET($H$3,0,0,'Données projet'!$E$11+1,1))</f>
        <v>258.09881752732008</v>
      </c>
      <c r="BJ177" s="62">
        <f t="shared" si="146"/>
        <v>214.72899476643335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0.11548048225204248</v>
      </c>
      <c r="BR177" s="23">
        <f>EXP(-LN(2)/2)*BR176+(1-EXP(-LN(2)/2))/(LN(2)/2)*BL177*BO177*VLOOKUP('Données projet'!$B$11,Paramètres!$A$1:$I$89,3,0)*0.475*44/12</f>
        <v>9.2177828923069371E-22</v>
      </c>
      <c r="BS177" s="24">
        <f t="shared" si="169"/>
        <v>0.11548048225204248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1.7053025658242404E-13</v>
      </c>
      <c r="O178" s="14">
        <f>N178*VLOOKUP('Données projet'!$B$9,Paramètres!$A$1:$I$89,3,0)*VLOOKUP('Données projet'!$B$9,Paramètres!$A$1:$I$89,5,0)</f>
        <v>1.5429577615577727E-13</v>
      </c>
      <c r="P178" s="14">
        <f t="shared" si="141"/>
        <v>2.2038482767263348E-12</v>
      </c>
      <c r="Q178" s="22">
        <f t="shared" si="162"/>
        <v>4.107100892103012E-12</v>
      </c>
      <c r="R178" s="62">
        <f t="shared" si="109"/>
        <v>293.33333333333741</v>
      </c>
      <c r="S178" s="62">
        <f ca="1">AVERAGE(OFFSET($R$3,0,0,'Données projet'!$E$9+1,1))-AVERAGE(OFFSET($H$3,0,0,'Données projet'!$E$9+1,1))</f>
        <v>371.75294069149942</v>
      </c>
      <c r="T178" s="62">
        <f t="shared" si="142"/>
        <v>233.32640143610547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405.09126081846171</v>
      </c>
      <c r="AO178" s="62">
        <f t="shared" si="144"/>
        <v>534.22295841722166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0.13620279058835277</v>
      </c>
      <c r="AV178" s="23">
        <f>EXP(-LN(2)/25)*AV177+(1-EXP(-LN(2)/25))/(LN(2)/25)*Calculateur!AQ178*Calculateur!AS178*VLOOKUP('Données projet'!$B$10,Paramètres!$A$1:$I$89,3,0)*0.475*44/12</f>
        <v>0.15645837601179277</v>
      </c>
      <c r="AW178" s="23">
        <f>EXP(-LN(2)/2)*AW177+(1-EXP(-LN(2)/2))/(LN(2)/2)*AQ178*AT178*VLOOKUP('Données projet'!$B$10,Paramètres!$A$1:$I$89,3,0)*0.475*44/12</f>
        <v>5.5396253714887157E-23</v>
      </c>
      <c r="AX178" s="23">
        <f t="shared" si="166"/>
        <v>0.29266116660014552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3.4106051316484809E-13</v>
      </c>
      <c r="BE178" s="14">
        <f>BD178*VLOOKUP('Données projet'!$B$11,Paramètres!$A$1:$I$89,3,0)*VLOOKUP('Données projet'!$B$11,Paramètres!$A$1:$I$89,5,0)</f>
        <v>1.9508661353029313E-13</v>
      </c>
      <c r="BF178" s="14">
        <f t="shared" si="167"/>
        <v>2.711421636700695E-12</v>
      </c>
      <c r="BG178" s="22">
        <f t="shared" si="168"/>
        <v>5.0621685358189711E-12</v>
      </c>
      <c r="BH178" s="62">
        <f t="shared" si="116"/>
        <v>293.33333333333837</v>
      </c>
      <c r="BI178" s="62">
        <f ca="1">AVERAGE(OFFSET($BH$3,0,0,'Données projet'!$E$11+1,1))-AVERAGE(OFFSET($H$3,0,0,'Données projet'!$E$11+1,1))</f>
        <v>258.09881752732008</v>
      </c>
      <c r="BJ178" s="62">
        <f t="shared" si="146"/>
        <v>214.72899476643335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0.11232266239200575</v>
      </c>
      <c r="BR178" s="23">
        <f>EXP(-LN(2)/2)*BR177+(1-EXP(-LN(2)/2))/(LN(2)/2)*BL178*BO178*VLOOKUP('Données projet'!$B$11,Paramètres!$A$1:$I$89,3,0)*0.475*44/12</f>
        <v>6.5179567906555826E-22</v>
      </c>
      <c r="BS178" s="24">
        <f t="shared" si="169"/>
        <v>0.11232266239200575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1.7053025658242404E-13</v>
      </c>
      <c r="O179" s="14">
        <f>N179*VLOOKUP('Données projet'!$B$9,Paramètres!$A$1:$I$89,3,0)*VLOOKUP('Données projet'!$B$9,Paramètres!$A$1:$I$89,5,0)</f>
        <v>1.5429577615577727E-13</v>
      </c>
      <c r="P179" s="14">
        <f t="shared" si="141"/>
        <v>2.2038482767263348E-12</v>
      </c>
      <c r="Q179" s="22">
        <f t="shared" si="162"/>
        <v>4.107100892103012E-12</v>
      </c>
      <c r="R179" s="62">
        <f t="shared" si="109"/>
        <v>293.33333333333741</v>
      </c>
      <c r="S179" s="62">
        <f ca="1">AVERAGE(OFFSET($R$3,0,0,'Données projet'!$E$9+1,1))-AVERAGE(OFFSET($H$3,0,0,'Données projet'!$E$9+1,1))</f>
        <v>371.75294069149942</v>
      </c>
      <c r="T179" s="62">
        <f t="shared" si="142"/>
        <v>233.32640143610547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405.09126081846171</v>
      </c>
      <c r="AO179" s="62">
        <f t="shared" si="144"/>
        <v>534.22295841722166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0.1335319369404144</v>
      </c>
      <c r="AV179" s="23">
        <f>EXP(-LN(2)/25)*AV178+(1-EXP(-LN(2)/25))/(LN(2)/25)*Calculateur!AQ179*Calculateur!AS179*VLOOKUP('Données projet'!$B$10,Paramètres!$A$1:$I$89,3,0)*0.475*44/12</f>
        <v>0.15218001349196189</v>
      </c>
      <c r="AW179" s="23">
        <f>EXP(-LN(2)/2)*AW178+(1-EXP(-LN(2)/2))/(LN(2)/2)*AQ179*AT179*VLOOKUP('Données projet'!$B$10,Paramètres!$A$1:$I$89,3,0)*0.475*44/12</f>
        <v>3.9171066654127185E-23</v>
      </c>
      <c r="AX179" s="23">
        <f t="shared" si="166"/>
        <v>0.28571195043237629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3.4106051316484809E-13</v>
      </c>
      <c r="BE179" s="14">
        <f>BD179*VLOOKUP('Données projet'!$B$11,Paramètres!$A$1:$I$89,3,0)*VLOOKUP('Données projet'!$B$11,Paramètres!$A$1:$I$89,5,0)</f>
        <v>1.9508661353029313E-13</v>
      </c>
      <c r="BF179" s="14">
        <f t="shared" si="167"/>
        <v>2.711421636700695E-12</v>
      </c>
      <c r="BG179" s="22">
        <f t="shared" si="168"/>
        <v>5.0621685358189711E-12</v>
      </c>
      <c r="BH179" s="62">
        <f t="shared" si="116"/>
        <v>293.33333333333837</v>
      </c>
      <c r="BI179" s="62">
        <f ca="1">AVERAGE(OFFSET($BH$3,0,0,'Données projet'!$E$11+1,1))-AVERAGE(OFFSET($H$3,0,0,'Données projet'!$E$11+1,1))</f>
        <v>258.09881752732008</v>
      </c>
      <c r="BJ179" s="62">
        <f t="shared" si="146"/>
        <v>214.72899476643335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0.10925119328210425</v>
      </c>
      <c r="BR179" s="23">
        <f>EXP(-LN(2)/2)*BR178+(1-EXP(-LN(2)/2))/(LN(2)/2)*BL179*BO179*VLOOKUP('Données projet'!$B$11,Paramètres!$A$1:$I$89,3,0)*0.475*44/12</f>
        <v>4.6088914461534685E-22</v>
      </c>
      <c r="BS179" s="24">
        <f t="shared" si="169"/>
        <v>0.10925119328210425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1.7053025658242404E-13</v>
      </c>
      <c r="O180" s="14">
        <f>N180*VLOOKUP('Données projet'!$B$9,Paramètres!$A$1:$I$89,3,0)*VLOOKUP('Données projet'!$B$9,Paramètres!$A$1:$I$89,5,0)</f>
        <v>1.5429577615577727E-13</v>
      </c>
      <c r="P180" s="14">
        <f t="shared" si="141"/>
        <v>2.2038482767263348E-12</v>
      </c>
      <c r="Q180" s="22">
        <f t="shared" si="162"/>
        <v>4.107100892103012E-12</v>
      </c>
      <c r="R180" s="62">
        <f t="shared" si="109"/>
        <v>293.33333333333741</v>
      </c>
      <c r="S180" s="62">
        <f ca="1">AVERAGE(OFFSET($R$3,0,0,'Données projet'!$E$9+1,1))-AVERAGE(OFFSET($H$3,0,0,'Données projet'!$E$9+1,1))</f>
        <v>371.75294069149942</v>
      </c>
      <c r="T180" s="62">
        <f t="shared" si="142"/>
        <v>233.32640143610547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405.09126081846171</v>
      </c>
      <c r="AO180" s="62">
        <f t="shared" si="144"/>
        <v>534.22295841722166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0.13091345710345223</v>
      </c>
      <c r="AV180" s="23">
        <f>EXP(-LN(2)/25)*AV179+(1-EXP(-LN(2)/25))/(LN(2)/25)*Calculateur!AQ180*Calculateur!AS180*VLOOKUP('Données projet'!$B$10,Paramètres!$A$1:$I$89,3,0)*0.475*44/12</f>
        <v>0.1480186430202251</v>
      </c>
      <c r="AW180" s="23">
        <f>EXP(-LN(2)/2)*AW179+(1-EXP(-LN(2)/2))/(LN(2)/2)*AQ180*AT180*VLOOKUP('Données projet'!$B$10,Paramètres!$A$1:$I$89,3,0)*0.475*44/12</f>
        <v>2.7698126857443579E-23</v>
      </c>
      <c r="AX180" s="23">
        <f t="shared" si="166"/>
        <v>0.27893210012367731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3.4106051316484809E-13</v>
      </c>
      <c r="BE180" s="14">
        <f>BD180*VLOOKUP('Données projet'!$B$11,Paramètres!$A$1:$I$89,3,0)*VLOOKUP('Données projet'!$B$11,Paramètres!$A$1:$I$89,5,0)</f>
        <v>1.9508661353029313E-13</v>
      </c>
      <c r="BF180" s="14">
        <f t="shared" si="167"/>
        <v>2.711421636700695E-12</v>
      </c>
      <c r="BG180" s="22">
        <f t="shared" si="168"/>
        <v>5.0621685358189711E-12</v>
      </c>
      <c r="BH180" s="62">
        <f t="shared" si="116"/>
        <v>293.33333333333837</v>
      </c>
      <c r="BI180" s="62">
        <f ca="1">AVERAGE(OFFSET($BH$3,0,0,'Données projet'!$E$11+1,1))-AVERAGE(OFFSET($H$3,0,0,'Données projet'!$E$11+1,1))</f>
        <v>258.09881752732008</v>
      </c>
      <c r="BJ180" s="62">
        <f t="shared" si="146"/>
        <v>214.72899476643335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0.10626371365653456</v>
      </c>
      <c r="BR180" s="23">
        <f>EXP(-LN(2)/2)*BR179+(1-EXP(-LN(2)/2))/(LN(2)/2)*BL180*BO180*VLOOKUP('Données projet'!$B$11,Paramètres!$A$1:$I$89,3,0)*0.475*44/12</f>
        <v>3.2589783953277913E-22</v>
      </c>
      <c r="BS180" s="24">
        <f t="shared" si="169"/>
        <v>0.10626371365653456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1.7053025658242404E-13</v>
      </c>
      <c r="O181" s="14">
        <f>N181*VLOOKUP('Données projet'!$B$9,Paramètres!$A$1:$I$89,3,0)*VLOOKUP('Données projet'!$B$9,Paramètres!$A$1:$I$89,5,0)</f>
        <v>1.5429577615577727E-13</v>
      </c>
      <c r="P181" s="14">
        <f t="shared" si="141"/>
        <v>2.2038482767263348E-12</v>
      </c>
      <c r="Q181" s="22">
        <f t="shared" si="162"/>
        <v>4.107100892103012E-12</v>
      </c>
      <c r="R181" s="62">
        <f t="shared" si="109"/>
        <v>293.33333333333741</v>
      </c>
      <c r="S181" s="62">
        <f ca="1">AVERAGE(OFFSET($R$3,0,0,'Données projet'!$E$9+1,1))-AVERAGE(OFFSET($H$3,0,0,'Données projet'!$E$9+1,1))</f>
        <v>371.75294069149942</v>
      </c>
      <c r="T181" s="62">
        <f t="shared" si="142"/>
        <v>233.32640143610547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405.09126081846171</v>
      </c>
      <c r="AO181" s="62">
        <f t="shared" si="144"/>
        <v>534.22295841722166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0.12834632405897789</v>
      </c>
      <c r="AV181" s="23">
        <f>EXP(-LN(2)/25)*AV180+(1-EXP(-LN(2)/25))/(LN(2)/25)*Calculateur!AQ181*Calculateur!AS181*VLOOKUP('Données projet'!$B$10,Paramètres!$A$1:$I$89,3,0)*0.475*44/12</f>
        <v>0.14397106544287491</v>
      </c>
      <c r="AW181" s="23">
        <f>EXP(-LN(2)/2)*AW180+(1-EXP(-LN(2)/2))/(LN(2)/2)*AQ181*AT181*VLOOKUP('Données projet'!$B$10,Paramètres!$A$1:$I$89,3,0)*0.475*44/12</f>
        <v>1.9585533327063592E-23</v>
      </c>
      <c r="AX181" s="23">
        <f t="shared" si="166"/>
        <v>0.2723173895018528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3.4106051316484809E-13</v>
      </c>
      <c r="BE181" s="14">
        <f>BD181*VLOOKUP('Données projet'!$B$11,Paramètres!$A$1:$I$89,3,0)*VLOOKUP('Données projet'!$B$11,Paramètres!$A$1:$I$89,5,0)</f>
        <v>1.9508661353029313E-13</v>
      </c>
      <c r="BF181" s="14">
        <f t="shared" si="167"/>
        <v>2.711421636700695E-12</v>
      </c>
      <c r="BG181" s="22">
        <f t="shared" si="168"/>
        <v>5.0621685358189711E-12</v>
      </c>
      <c r="BH181" s="62">
        <f t="shared" si="116"/>
        <v>293.33333333333837</v>
      </c>
      <c r="BI181" s="62">
        <f ca="1">AVERAGE(OFFSET($BH$3,0,0,'Données projet'!$E$11+1,1))-AVERAGE(OFFSET($H$3,0,0,'Données projet'!$E$11+1,1))</f>
        <v>258.09881752732008</v>
      </c>
      <c r="BJ181" s="62">
        <f t="shared" si="146"/>
        <v>214.72899476643335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0.10335792681843078</v>
      </c>
      <c r="BR181" s="23">
        <f>EXP(-LN(2)/2)*BR180+(1-EXP(-LN(2)/2))/(LN(2)/2)*BL181*BO181*VLOOKUP('Données projet'!$B$11,Paramètres!$A$1:$I$89,3,0)*0.475*44/12</f>
        <v>2.3044457230767343E-22</v>
      </c>
      <c r="BS181" s="24">
        <f t="shared" si="169"/>
        <v>0.10335792681843078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1.7053025658242404E-13</v>
      </c>
      <c r="O182" s="14">
        <f>N182*VLOOKUP('Données projet'!$B$9,Paramètres!$A$1:$I$89,3,0)*VLOOKUP('Données projet'!$B$9,Paramètres!$A$1:$I$89,5,0)</f>
        <v>1.5429577615577727E-13</v>
      </c>
      <c r="P182" s="14">
        <f t="shared" si="141"/>
        <v>2.2038482767263348E-12</v>
      </c>
      <c r="Q182" s="22">
        <f t="shared" si="162"/>
        <v>4.107100892103012E-12</v>
      </c>
      <c r="R182" s="62">
        <f t="shared" si="109"/>
        <v>293.33333333333741</v>
      </c>
      <c r="S182" s="62">
        <f ca="1">AVERAGE(OFFSET($R$3,0,0,'Données projet'!$E$9+1,1))-AVERAGE(OFFSET($H$3,0,0,'Données projet'!$E$9+1,1))</f>
        <v>371.75294069149942</v>
      </c>
      <c r="T182" s="62">
        <f t="shared" si="142"/>
        <v>233.32640143610547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405.09126081846171</v>
      </c>
      <c r="AO182" s="62">
        <f t="shared" si="144"/>
        <v>534.22295841722166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0.12582953092770915</v>
      </c>
      <c r="AV182" s="23">
        <f>EXP(-LN(2)/25)*AV181+(1-EXP(-LN(2)/25))/(LN(2)/25)*Calculateur!AQ182*Calculateur!AS182*VLOOKUP('Données projet'!$B$10,Paramètres!$A$1:$I$89,3,0)*0.475*44/12</f>
        <v>0.14003416908723021</v>
      </c>
      <c r="AW182" s="23">
        <f>EXP(-LN(2)/2)*AW181+(1-EXP(-LN(2)/2))/(LN(2)/2)*AQ182*AT182*VLOOKUP('Données projet'!$B$10,Paramètres!$A$1:$I$89,3,0)*0.475*44/12</f>
        <v>1.3849063428721789E-23</v>
      </c>
      <c r="AX182" s="23">
        <f t="shared" si="166"/>
        <v>0.26586370001493936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3.4106051316484809E-13</v>
      </c>
      <c r="BE182" s="14">
        <f>BD182*VLOOKUP('Données projet'!$B$11,Paramètres!$A$1:$I$89,3,0)*VLOOKUP('Données projet'!$B$11,Paramètres!$A$1:$I$89,5,0)</f>
        <v>1.9508661353029313E-13</v>
      </c>
      <c r="BF182" s="14">
        <f t="shared" si="167"/>
        <v>2.711421636700695E-12</v>
      </c>
      <c r="BG182" s="22">
        <f t="shared" si="168"/>
        <v>5.0621685358189711E-12</v>
      </c>
      <c r="BH182" s="62">
        <f t="shared" si="116"/>
        <v>293.33333333333837</v>
      </c>
      <c r="BI182" s="62">
        <f ca="1">AVERAGE(OFFSET($BH$3,0,0,'Données projet'!$E$11+1,1))-AVERAGE(OFFSET($H$3,0,0,'Données projet'!$E$11+1,1))</f>
        <v>258.09881752732008</v>
      </c>
      <c r="BJ182" s="62">
        <f t="shared" si="146"/>
        <v>214.72899476643335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0.10053159887422365</v>
      </c>
      <c r="BR182" s="23">
        <f>EXP(-LN(2)/2)*BR181+(1-EXP(-LN(2)/2))/(LN(2)/2)*BL182*BO182*VLOOKUP('Données projet'!$B$11,Paramètres!$A$1:$I$89,3,0)*0.475*44/12</f>
        <v>1.6294891976638956E-22</v>
      </c>
      <c r="BS182" s="24">
        <f t="shared" si="169"/>
        <v>0.10053159887422365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1.7053025658242404E-13</v>
      </c>
      <c r="O183" s="14">
        <f>N183*VLOOKUP('Données projet'!$B$9,Paramètres!$A$1:$I$89,3,0)*VLOOKUP('Données projet'!$B$9,Paramètres!$A$1:$I$89,5,0)</f>
        <v>1.5429577615577727E-13</v>
      </c>
      <c r="P183" s="14">
        <f t="shared" si="141"/>
        <v>2.2038482767263348E-12</v>
      </c>
      <c r="Q183" s="22">
        <f t="shared" si="162"/>
        <v>4.107100892103012E-12</v>
      </c>
      <c r="R183" s="62">
        <f t="shared" si="109"/>
        <v>293.33333333333741</v>
      </c>
      <c r="S183" s="62">
        <f ca="1">AVERAGE(OFFSET($R$3,0,0,'Données projet'!$E$9+1,1))-AVERAGE(OFFSET($H$3,0,0,'Données projet'!$E$9+1,1))</f>
        <v>371.75294069149942</v>
      </c>
      <c r="T183" s="62">
        <f t="shared" si="142"/>
        <v>233.32640143610547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405.09126081846171</v>
      </c>
      <c r="AO183" s="62">
        <f t="shared" si="144"/>
        <v>534.22295841722166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0.12336209057465236</v>
      </c>
      <c r="AV183" s="23">
        <f>EXP(-LN(2)/25)*AV182+(1-EXP(-LN(2)/25))/(LN(2)/25)*Calculateur!AQ183*Calculateur!AS183*VLOOKUP('Données projet'!$B$10,Paramètres!$A$1:$I$89,3,0)*0.475*44/12</f>
        <v>0.13620492736946299</v>
      </c>
      <c r="AW183" s="23">
        <f>EXP(-LN(2)/2)*AW182+(1-EXP(-LN(2)/2))/(LN(2)/2)*AQ183*AT183*VLOOKUP('Données projet'!$B$10,Paramètres!$A$1:$I$89,3,0)*0.475*44/12</f>
        <v>9.7927666635317962E-24</v>
      </c>
      <c r="AX183" s="23">
        <f t="shared" si="166"/>
        <v>0.25956701794411535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3.4106051316484809E-13</v>
      </c>
      <c r="BE183" s="14">
        <f>BD183*VLOOKUP('Données projet'!$B$11,Paramètres!$A$1:$I$89,3,0)*VLOOKUP('Données projet'!$B$11,Paramètres!$A$1:$I$89,5,0)</f>
        <v>1.9508661353029313E-13</v>
      </c>
      <c r="BF183" s="14">
        <f t="shared" si="167"/>
        <v>2.711421636700695E-12</v>
      </c>
      <c r="BG183" s="22">
        <f t="shared" si="168"/>
        <v>5.0621685358189711E-12</v>
      </c>
      <c r="BH183" s="62">
        <f t="shared" si="116"/>
        <v>293.33333333333837</v>
      </c>
      <c r="BI183" s="62">
        <f ca="1">AVERAGE(OFFSET($BH$3,0,0,'Données projet'!$E$11+1,1))-AVERAGE(OFFSET($H$3,0,0,'Données projet'!$E$11+1,1))</f>
        <v>258.09881752732008</v>
      </c>
      <c r="BJ183" s="62">
        <f t="shared" si="146"/>
        <v>214.72899476643335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9.7782557016280983E-2</v>
      </c>
      <c r="BR183" s="23">
        <f>EXP(-LN(2)/2)*BR182+(1-EXP(-LN(2)/2))/(LN(2)/2)*BL183*BO183*VLOOKUP('Données projet'!$B$11,Paramètres!$A$1:$I$89,3,0)*0.475*44/12</f>
        <v>1.1522228615383671E-22</v>
      </c>
      <c r="BS183" s="24">
        <f t="shared" si="169"/>
        <v>9.7782557016280983E-2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1.7053025658242404E-13</v>
      </c>
      <c r="O184" s="14">
        <f>N184*VLOOKUP('Données projet'!$B$9,Paramètres!$A$1:$I$89,3,0)*VLOOKUP('Données projet'!$B$9,Paramètres!$A$1:$I$89,5,0)</f>
        <v>1.5429577615577727E-13</v>
      </c>
      <c r="P184" s="14">
        <f t="shared" si="141"/>
        <v>2.2038482767263348E-12</v>
      </c>
      <c r="Q184" s="22">
        <f t="shared" si="162"/>
        <v>4.107100892103012E-12</v>
      </c>
      <c r="R184" s="62">
        <f t="shared" si="109"/>
        <v>293.33333333333741</v>
      </c>
      <c r="S184" s="62">
        <f ca="1">AVERAGE(OFFSET($R$3,0,0,'Données projet'!$E$9+1,1))-AVERAGE(OFFSET($H$3,0,0,'Données projet'!$E$9+1,1))</f>
        <v>371.75294069149942</v>
      </c>
      <c r="T184" s="62">
        <f t="shared" si="142"/>
        <v>233.32640143610547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405.09126081846171</v>
      </c>
      <c r="AO184" s="62">
        <f t="shared" si="144"/>
        <v>534.22295841722166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0.12094303522192901</v>
      </c>
      <c r="AV184" s="23">
        <f>EXP(-LN(2)/25)*AV183+(1-EXP(-LN(2)/25))/(LN(2)/25)*Calculateur!AQ184*Calculateur!AS184*VLOOKUP('Données projet'!$B$10,Paramètres!$A$1:$I$89,3,0)*0.475*44/12</f>
        <v>0.13248039646783918</v>
      </c>
      <c r="AW184" s="23">
        <f>EXP(-LN(2)/2)*AW183+(1-EXP(-LN(2)/2))/(LN(2)/2)*AQ184*AT184*VLOOKUP('Données projet'!$B$10,Paramètres!$A$1:$I$89,3,0)*0.475*44/12</f>
        <v>6.9245317143608946E-24</v>
      </c>
      <c r="AX184" s="23">
        <f t="shared" si="166"/>
        <v>0.25342343168976822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3.4106051316484809E-13</v>
      </c>
      <c r="BE184" s="14">
        <f>BD184*VLOOKUP('Données projet'!$B$11,Paramètres!$A$1:$I$89,3,0)*VLOOKUP('Données projet'!$B$11,Paramètres!$A$1:$I$89,5,0)</f>
        <v>1.9508661353029313E-13</v>
      </c>
      <c r="BF184" s="14">
        <f t="shared" si="167"/>
        <v>2.711421636700695E-12</v>
      </c>
      <c r="BG184" s="22">
        <f t="shared" si="168"/>
        <v>5.0621685358189711E-12</v>
      </c>
      <c r="BH184" s="62">
        <f t="shared" si="116"/>
        <v>293.33333333333837</v>
      </c>
      <c r="BI184" s="62">
        <f ca="1">AVERAGE(OFFSET($BH$3,0,0,'Données projet'!$E$11+1,1))-AVERAGE(OFFSET($H$3,0,0,'Données projet'!$E$11+1,1))</f>
        <v>258.09881752732008</v>
      </c>
      <c r="BJ184" s="62">
        <f t="shared" si="146"/>
        <v>214.72899476643335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9.5108687852509588E-2</v>
      </c>
      <c r="BR184" s="23">
        <f>EXP(-LN(2)/2)*BR183+(1-EXP(-LN(2)/2))/(LN(2)/2)*BL184*BO184*VLOOKUP('Données projet'!$B$11,Paramètres!$A$1:$I$89,3,0)*0.475*44/12</f>
        <v>8.1474459883194782E-23</v>
      </c>
      <c r="BS184" s="24">
        <f t="shared" si="169"/>
        <v>9.5108687852509588E-2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1.7053025658242404E-13</v>
      </c>
      <c r="O185" s="14">
        <f>N185*VLOOKUP('Données projet'!$B$9,Paramètres!$A$1:$I$89,3,0)*VLOOKUP('Données projet'!$B$9,Paramètres!$A$1:$I$89,5,0)</f>
        <v>1.5429577615577727E-13</v>
      </c>
      <c r="P185" s="14">
        <f t="shared" si="141"/>
        <v>2.2038482767263348E-12</v>
      </c>
      <c r="Q185" s="22">
        <f t="shared" si="162"/>
        <v>4.107100892103012E-12</v>
      </c>
      <c r="R185" s="62">
        <f t="shared" si="109"/>
        <v>293.33333333333741</v>
      </c>
      <c r="S185" s="62">
        <f ca="1">AVERAGE(OFFSET($R$3,0,0,'Données projet'!$E$9+1,1))-AVERAGE(OFFSET($H$3,0,0,'Données projet'!$E$9+1,1))</f>
        <v>371.75294069149942</v>
      </c>
      <c r="T185" s="62">
        <f t="shared" si="142"/>
        <v>233.32640143610547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405.09126081846171</v>
      </c>
      <c r="AO185" s="62">
        <f t="shared" si="144"/>
        <v>534.22295841722166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0.11857141606919448</v>
      </c>
      <c r="AV185" s="23">
        <f>EXP(-LN(2)/25)*AV184+(1-EXP(-LN(2)/25))/(LN(2)/25)*Calculateur!AQ185*Calculateur!AS185*VLOOKUP('Données projet'!$B$10,Paramètres!$A$1:$I$89,3,0)*0.475*44/12</f>
        <v>0.12885771305958485</v>
      </c>
      <c r="AW185" s="23">
        <f>EXP(-LN(2)/2)*AW184+(1-EXP(-LN(2)/2))/(LN(2)/2)*AQ185*AT185*VLOOKUP('Données projet'!$B$10,Paramètres!$A$1:$I$89,3,0)*0.475*44/12</f>
        <v>4.8963833317658981E-24</v>
      </c>
      <c r="AX185" s="23">
        <f t="shared" si="166"/>
        <v>0.24742912912877935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3.4106051316484809E-13</v>
      </c>
      <c r="BE185" s="14">
        <f>BD185*VLOOKUP('Données projet'!$B$11,Paramètres!$A$1:$I$89,3,0)*VLOOKUP('Données projet'!$B$11,Paramètres!$A$1:$I$89,5,0)</f>
        <v>1.9508661353029313E-13</v>
      </c>
      <c r="BF185" s="14">
        <f t="shared" si="167"/>
        <v>2.711421636700695E-12</v>
      </c>
      <c r="BG185" s="22">
        <f t="shared" si="168"/>
        <v>5.0621685358189711E-12</v>
      </c>
      <c r="BH185" s="62">
        <f t="shared" si="116"/>
        <v>293.33333333333837</v>
      </c>
      <c r="BI185" s="62">
        <f ca="1">AVERAGE(OFFSET($BH$3,0,0,'Données projet'!$E$11+1,1))-AVERAGE(OFFSET($H$3,0,0,'Données projet'!$E$11+1,1))</f>
        <v>258.09881752732008</v>
      </c>
      <c r="BJ185" s="62">
        <f t="shared" si="146"/>
        <v>214.72899476643335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9.2507935781634187E-2</v>
      </c>
      <c r="BR185" s="23">
        <f>EXP(-LN(2)/2)*BR184+(1-EXP(-LN(2)/2))/(LN(2)/2)*BL185*BO185*VLOOKUP('Données projet'!$B$11,Paramètres!$A$1:$I$89,3,0)*0.475*44/12</f>
        <v>5.7611143076918357E-23</v>
      </c>
      <c r="BS185" s="24">
        <f t="shared" si="169"/>
        <v>9.2507935781634187E-2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1.7053025658242404E-13</v>
      </c>
      <c r="O186" s="14">
        <f>N186*VLOOKUP('Données projet'!$B$9,Paramètres!$A$1:$I$89,3,0)*VLOOKUP('Données projet'!$B$9,Paramètres!$A$1:$I$89,5,0)</f>
        <v>1.5429577615577727E-13</v>
      </c>
      <c r="P186" s="14">
        <f t="shared" si="141"/>
        <v>2.2038482767263348E-12</v>
      </c>
      <c r="Q186" s="22">
        <f t="shared" si="162"/>
        <v>4.107100892103012E-12</v>
      </c>
      <c r="R186" s="62">
        <f t="shared" si="109"/>
        <v>293.33333333333741</v>
      </c>
      <c r="S186" s="62">
        <f ca="1">AVERAGE(OFFSET($R$3,0,0,'Données projet'!$E$9+1,1))-AVERAGE(OFFSET($H$3,0,0,'Données projet'!$E$9+1,1))</f>
        <v>371.75294069149942</v>
      </c>
      <c r="T186" s="62">
        <f t="shared" si="142"/>
        <v>233.32640143610547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405.09126081846171</v>
      </c>
      <c r="AO186" s="62">
        <f t="shared" si="144"/>
        <v>534.22295841722166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0.11624630292150023</v>
      </c>
      <c r="AV186" s="23">
        <f>EXP(-LN(2)/25)*AV185+(1-EXP(-LN(2)/25))/(LN(2)/25)*Calculateur!AQ186*Calculateur!AS186*VLOOKUP('Données projet'!$B$10,Paramètres!$A$1:$I$89,3,0)*0.475*44/12</f>
        <v>0.12533409211963789</v>
      </c>
      <c r="AW186" s="23">
        <f>EXP(-LN(2)/2)*AW185+(1-EXP(-LN(2)/2))/(LN(2)/2)*AQ186*AT186*VLOOKUP('Données projet'!$B$10,Paramètres!$A$1:$I$89,3,0)*0.475*44/12</f>
        <v>3.4622658571804473E-24</v>
      </c>
      <c r="AX186" s="23">
        <f t="shared" si="166"/>
        <v>0.24158039504113812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3.4106051316484809E-13</v>
      </c>
      <c r="BE186" s="14">
        <f>BD186*VLOOKUP('Données projet'!$B$11,Paramètres!$A$1:$I$89,3,0)*VLOOKUP('Données projet'!$B$11,Paramètres!$A$1:$I$89,5,0)</f>
        <v>1.9508661353029313E-13</v>
      </c>
      <c r="BF186" s="14">
        <f t="shared" si="167"/>
        <v>2.711421636700695E-12</v>
      </c>
      <c r="BG186" s="22">
        <f t="shared" si="168"/>
        <v>5.0621685358189711E-12</v>
      </c>
      <c r="BH186" s="62">
        <f t="shared" si="116"/>
        <v>293.33333333333837</v>
      </c>
      <c r="BI186" s="62">
        <f ca="1">AVERAGE(OFFSET($BH$3,0,0,'Données projet'!$E$11+1,1))-AVERAGE(OFFSET($H$3,0,0,'Données projet'!$E$11+1,1))</f>
        <v>258.09881752732008</v>
      </c>
      <c r="BJ186" s="62">
        <f t="shared" si="146"/>
        <v>214.72899476643335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8.9978301412904485E-2</v>
      </c>
      <c r="BR186" s="23">
        <f>EXP(-LN(2)/2)*BR185+(1-EXP(-LN(2)/2))/(LN(2)/2)*BL186*BO186*VLOOKUP('Données projet'!$B$11,Paramètres!$A$1:$I$89,3,0)*0.475*44/12</f>
        <v>4.0737229941597391E-23</v>
      </c>
      <c r="BS186" s="24">
        <f t="shared" si="169"/>
        <v>8.9978301412904485E-2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1.7053025658242404E-13</v>
      </c>
      <c r="O187" s="14">
        <f>N187*VLOOKUP('Données projet'!$B$9,Paramètres!$A$1:$I$89,3,0)*VLOOKUP('Données projet'!$B$9,Paramètres!$A$1:$I$89,5,0)</f>
        <v>1.5429577615577727E-13</v>
      </c>
      <c r="P187" s="14">
        <f t="shared" si="141"/>
        <v>2.2038482767263348E-12</v>
      </c>
      <c r="Q187" s="22">
        <f t="shared" si="162"/>
        <v>4.107100892103012E-12</v>
      </c>
      <c r="R187" s="62">
        <f t="shared" si="109"/>
        <v>293.33333333333741</v>
      </c>
      <c r="S187" s="62">
        <f ca="1">AVERAGE(OFFSET($R$3,0,0,'Données projet'!$E$9+1,1))-AVERAGE(OFFSET($H$3,0,0,'Données projet'!$E$9+1,1))</f>
        <v>371.75294069149942</v>
      </c>
      <c r="T187" s="62">
        <f t="shared" si="142"/>
        <v>233.32640143610547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405.09126081846171</v>
      </c>
      <c r="AO187" s="62">
        <f t="shared" si="144"/>
        <v>534.22295841722166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0.11396678382445329</v>
      </c>
      <c r="AV187" s="23">
        <f>EXP(-LN(2)/25)*AV186+(1-EXP(-LN(2)/25))/(LN(2)/25)*Calculateur!AQ187*Calculateur!AS187*VLOOKUP('Données projet'!$B$10,Paramètres!$A$1:$I$89,3,0)*0.475*44/12</f>
        <v>0.12190682477959294</v>
      </c>
      <c r="AW187" s="23">
        <f>EXP(-LN(2)/2)*AW186+(1-EXP(-LN(2)/2))/(LN(2)/2)*AQ187*AT187*VLOOKUP('Données projet'!$B$10,Paramètres!$A$1:$I$89,3,0)*0.475*44/12</f>
        <v>2.448191665882949E-24</v>
      </c>
      <c r="AX187" s="23">
        <f t="shared" si="166"/>
        <v>0.23587360860404621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3.4106051316484809E-13</v>
      </c>
      <c r="BE187" s="14">
        <f>BD187*VLOOKUP('Données projet'!$B$11,Paramètres!$A$1:$I$89,3,0)*VLOOKUP('Données projet'!$B$11,Paramètres!$A$1:$I$89,5,0)</f>
        <v>1.9508661353029313E-13</v>
      </c>
      <c r="BF187" s="14">
        <f t="shared" si="167"/>
        <v>2.711421636700695E-12</v>
      </c>
      <c r="BG187" s="22">
        <f t="shared" si="168"/>
        <v>5.0621685358189711E-12</v>
      </c>
      <c r="BH187" s="62">
        <f t="shared" si="116"/>
        <v>293.33333333333837</v>
      </c>
      <c r="BI187" s="62">
        <f ca="1">AVERAGE(OFFSET($BH$3,0,0,'Données projet'!$E$11+1,1))-AVERAGE(OFFSET($H$3,0,0,'Données projet'!$E$11+1,1))</f>
        <v>258.09881752732008</v>
      </c>
      <c r="BJ187" s="62">
        <f t="shared" si="146"/>
        <v>214.72899476643335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8.7517840029015387E-2</v>
      </c>
      <c r="BR187" s="23">
        <f>EXP(-LN(2)/2)*BR186+(1-EXP(-LN(2)/2))/(LN(2)/2)*BL187*BO187*VLOOKUP('Données projet'!$B$11,Paramètres!$A$1:$I$89,3,0)*0.475*44/12</f>
        <v>2.8805571538459178E-23</v>
      </c>
      <c r="BS187" s="24">
        <f t="shared" si="169"/>
        <v>8.7517840029015387E-2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1.7053025658242404E-13</v>
      </c>
      <c r="O188" s="14">
        <f>N188*VLOOKUP('Données projet'!$B$9,Paramètres!$A$1:$I$89,3,0)*VLOOKUP('Données projet'!$B$9,Paramètres!$A$1:$I$89,5,0)</f>
        <v>1.5429577615577727E-13</v>
      </c>
      <c r="P188" s="14">
        <f t="shared" si="141"/>
        <v>2.2038482767263348E-12</v>
      </c>
      <c r="Q188" s="22">
        <f t="shared" si="162"/>
        <v>4.107100892103012E-12</v>
      </c>
      <c r="R188" s="62">
        <f t="shared" si="109"/>
        <v>293.33333333333741</v>
      </c>
      <c r="S188" s="62">
        <f ca="1">AVERAGE(OFFSET($R$3,0,0,'Données projet'!$E$9+1,1))-AVERAGE(OFFSET($H$3,0,0,'Données projet'!$E$9+1,1))</f>
        <v>371.75294069149942</v>
      </c>
      <c r="T188" s="62">
        <f t="shared" si="142"/>
        <v>233.32640143610547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405.09126081846171</v>
      </c>
      <c r="AO188" s="62">
        <f t="shared" si="144"/>
        <v>534.22295841722166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0.11173196470653006</v>
      </c>
      <c r="AV188" s="23">
        <f>EXP(-LN(2)/25)*AV187+(1-EXP(-LN(2)/25))/(LN(2)/25)*Calculateur!AQ188*Calculateur!AS188*VLOOKUP('Données projet'!$B$10,Paramètres!$A$1:$I$89,3,0)*0.475*44/12</f>
        <v>0.11857327624519368</v>
      </c>
      <c r="AW188" s="23">
        <f>EXP(-LN(2)/2)*AW187+(1-EXP(-LN(2)/2))/(LN(2)/2)*AQ188*AT188*VLOOKUP('Données projet'!$B$10,Paramètres!$A$1:$I$89,3,0)*0.475*44/12</f>
        <v>1.7311329285902237E-24</v>
      </c>
      <c r="AX188" s="23">
        <f t="shared" si="166"/>
        <v>0.23030524095172372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3.4106051316484809E-13</v>
      </c>
      <c r="BE188" s="14">
        <f>BD188*VLOOKUP('Données projet'!$B$11,Paramètres!$A$1:$I$89,3,0)*VLOOKUP('Données projet'!$B$11,Paramètres!$A$1:$I$89,5,0)</f>
        <v>1.9508661353029313E-13</v>
      </c>
      <c r="BF188" s="14">
        <f t="shared" si="167"/>
        <v>2.711421636700695E-12</v>
      </c>
      <c r="BG188" s="22">
        <f t="shared" si="168"/>
        <v>5.0621685358189711E-12</v>
      </c>
      <c r="BH188" s="62">
        <f t="shared" si="116"/>
        <v>293.33333333333837</v>
      </c>
      <c r="BI188" s="62">
        <f ca="1">AVERAGE(OFFSET($BH$3,0,0,'Données projet'!$E$11+1,1))-AVERAGE(OFFSET($H$3,0,0,'Données projet'!$E$11+1,1))</f>
        <v>258.09881752732008</v>
      </c>
      <c r="BJ188" s="62">
        <f t="shared" si="146"/>
        <v>214.72899476643335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8.5124660091058776E-2</v>
      </c>
      <c r="BR188" s="23">
        <f>EXP(-LN(2)/2)*BR187+(1-EXP(-LN(2)/2))/(LN(2)/2)*BL188*BO188*VLOOKUP('Données projet'!$B$11,Paramètres!$A$1:$I$89,3,0)*0.475*44/12</f>
        <v>2.0368614970798696E-23</v>
      </c>
      <c r="BS188" s="24">
        <f t="shared" si="169"/>
        <v>8.5124660091058776E-2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1.7053025658242404E-13</v>
      </c>
      <c r="O189" s="14">
        <f>N189*VLOOKUP('Données projet'!$B$9,Paramètres!$A$1:$I$89,3,0)*VLOOKUP('Données projet'!$B$9,Paramètres!$A$1:$I$89,5,0)</f>
        <v>1.5429577615577727E-13</v>
      </c>
      <c r="P189" s="14">
        <f t="shared" si="141"/>
        <v>2.2038482767263348E-12</v>
      </c>
      <c r="Q189" s="22">
        <f t="shared" si="162"/>
        <v>4.107100892103012E-12</v>
      </c>
      <c r="R189" s="62">
        <f t="shared" si="109"/>
        <v>293.33333333333741</v>
      </c>
      <c r="S189" s="62">
        <f ca="1">AVERAGE(OFFSET($R$3,0,0,'Données projet'!$E$9+1,1))-AVERAGE(OFFSET($H$3,0,0,'Données projet'!$E$9+1,1))</f>
        <v>371.75294069149942</v>
      </c>
      <c r="T189" s="62">
        <f t="shared" si="142"/>
        <v>233.32640143610547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405.09126081846171</v>
      </c>
      <c r="AO189" s="62">
        <f t="shared" si="144"/>
        <v>534.22295841722166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0.10954096902840424</v>
      </c>
      <c r="AV189" s="23">
        <f>EXP(-LN(2)/25)*AV188+(1-EXP(-LN(2)/25))/(LN(2)/25)*Calculateur!AQ189*Calculateur!AS189*VLOOKUP('Données projet'!$B$10,Paramètres!$A$1:$I$89,3,0)*0.475*44/12</f>
        <v>0.11533088377077126</v>
      </c>
      <c r="AW189" s="23">
        <f>EXP(-LN(2)/2)*AW188+(1-EXP(-LN(2)/2))/(LN(2)/2)*AQ189*AT189*VLOOKUP('Données projet'!$B$10,Paramètres!$A$1:$I$89,3,0)*0.475*44/12</f>
        <v>1.2240958329414745E-24</v>
      </c>
      <c r="AX189" s="23">
        <f t="shared" si="166"/>
        <v>0.22487185279917549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3.4106051316484809E-13</v>
      </c>
      <c r="BE189" s="14">
        <f>BD189*VLOOKUP('Données projet'!$B$11,Paramètres!$A$1:$I$89,3,0)*VLOOKUP('Données projet'!$B$11,Paramètres!$A$1:$I$89,5,0)</f>
        <v>1.9508661353029313E-13</v>
      </c>
      <c r="BF189" s="14">
        <f t="shared" si="167"/>
        <v>2.711421636700695E-12</v>
      </c>
      <c r="BG189" s="22">
        <f t="shared" si="168"/>
        <v>5.0621685358189711E-12</v>
      </c>
      <c r="BH189" s="62">
        <f t="shared" si="116"/>
        <v>293.33333333333837</v>
      </c>
      <c r="BI189" s="62">
        <f ca="1">AVERAGE(OFFSET($BH$3,0,0,'Données projet'!$E$11+1,1))-AVERAGE(OFFSET($H$3,0,0,'Données projet'!$E$11+1,1))</f>
        <v>258.09881752732008</v>
      </c>
      <c r="BJ189" s="62">
        <f t="shared" si="146"/>
        <v>214.72899476643335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8.279692178435745E-2</v>
      </c>
      <c r="BR189" s="23">
        <f>EXP(-LN(2)/2)*BR188+(1-EXP(-LN(2)/2))/(LN(2)/2)*BL189*BO189*VLOOKUP('Données projet'!$B$11,Paramètres!$A$1:$I$89,3,0)*0.475*44/12</f>
        <v>1.4402785769229589E-23</v>
      </c>
      <c r="BS189" s="24">
        <f t="shared" si="169"/>
        <v>8.279692178435745E-2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1.7053025658242404E-13</v>
      </c>
      <c r="O190" s="14">
        <f>N190*VLOOKUP('Données projet'!$B$9,Paramètres!$A$1:$I$89,3,0)*VLOOKUP('Données projet'!$B$9,Paramètres!$A$1:$I$89,5,0)</f>
        <v>1.5429577615577727E-13</v>
      </c>
      <c r="P190" s="14">
        <f t="shared" si="141"/>
        <v>2.2038482767263348E-12</v>
      </c>
      <c r="Q190" s="22">
        <f t="shared" si="162"/>
        <v>4.107100892103012E-12</v>
      </c>
      <c r="R190" s="62">
        <f t="shared" si="109"/>
        <v>293.33333333333741</v>
      </c>
      <c r="S190" s="62">
        <f ca="1">AVERAGE(OFFSET($R$3,0,0,'Données projet'!$E$9+1,1))-AVERAGE(OFFSET($H$3,0,0,'Données projet'!$E$9+1,1))</f>
        <v>371.75294069149942</v>
      </c>
      <c r="T190" s="62">
        <f t="shared" si="142"/>
        <v>233.32640143610547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405.09126081846171</v>
      </c>
      <c r="AO190" s="62">
        <f t="shared" si="144"/>
        <v>534.22295841722166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0.10739293743915107</v>
      </c>
      <c r="AV190" s="23">
        <f>EXP(-LN(2)/25)*AV189+(1-EXP(-LN(2)/25))/(LN(2)/25)*Calculateur!AQ190*Calculateur!AS190*VLOOKUP('Données projet'!$B$10,Paramètres!$A$1:$I$89,3,0)*0.475*44/12</f>
        <v>0.11217715468907194</v>
      </c>
      <c r="AW190" s="23">
        <f>EXP(-LN(2)/2)*AW189+(1-EXP(-LN(2)/2))/(LN(2)/2)*AQ190*AT190*VLOOKUP('Données projet'!$B$10,Paramètres!$A$1:$I$89,3,0)*0.475*44/12</f>
        <v>8.6556646429511183E-25</v>
      </c>
      <c r="AX190" s="23">
        <f t="shared" si="166"/>
        <v>0.21957009212822301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3.4106051316484809E-13</v>
      </c>
      <c r="BE190" s="14">
        <f>BD190*VLOOKUP('Données projet'!$B$11,Paramètres!$A$1:$I$89,3,0)*VLOOKUP('Données projet'!$B$11,Paramètres!$A$1:$I$89,5,0)</f>
        <v>1.9508661353029313E-13</v>
      </c>
      <c r="BF190" s="14">
        <f t="shared" si="167"/>
        <v>2.711421636700695E-12</v>
      </c>
      <c r="BG190" s="22">
        <f t="shared" si="168"/>
        <v>5.0621685358189711E-12</v>
      </c>
      <c r="BH190" s="62">
        <f t="shared" si="116"/>
        <v>293.33333333333837</v>
      </c>
      <c r="BI190" s="62">
        <f ca="1">AVERAGE(OFFSET($BH$3,0,0,'Données projet'!$E$11+1,1))-AVERAGE(OFFSET($H$3,0,0,'Données projet'!$E$11+1,1))</f>
        <v>258.09881752732008</v>
      </c>
      <c r="BJ190" s="62">
        <f t="shared" si="146"/>
        <v>214.72899476643335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8.053283560406331E-2</v>
      </c>
      <c r="BR190" s="23">
        <f>EXP(-LN(2)/2)*BR189+(1-EXP(-LN(2)/2))/(LN(2)/2)*BL190*BO190*VLOOKUP('Données projet'!$B$11,Paramètres!$A$1:$I$89,3,0)*0.475*44/12</f>
        <v>1.0184307485399348E-23</v>
      </c>
      <c r="BS190" s="24">
        <f t="shared" si="169"/>
        <v>8.053283560406331E-2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1.7053025658242404E-13</v>
      </c>
      <c r="O191" s="14">
        <f>N191*VLOOKUP('Données projet'!$B$9,Paramètres!$A$1:$I$89,3,0)*VLOOKUP('Données projet'!$B$9,Paramètres!$A$1:$I$89,5,0)</f>
        <v>1.5429577615577727E-13</v>
      </c>
      <c r="P191" s="14">
        <f t="shared" si="141"/>
        <v>2.2038482767263348E-12</v>
      </c>
      <c r="Q191" s="22">
        <f t="shared" si="162"/>
        <v>4.107100892103012E-12</v>
      </c>
      <c r="R191" s="62">
        <f t="shared" si="109"/>
        <v>293.33333333333741</v>
      </c>
      <c r="S191" s="62">
        <f ca="1">AVERAGE(OFFSET($R$3,0,0,'Données projet'!$E$9+1,1))-AVERAGE(OFFSET($H$3,0,0,'Données projet'!$E$9+1,1))</f>
        <v>371.75294069149942</v>
      </c>
      <c r="T191" s="62">
        <f t="shared" si="142"/>
        <v>233.32640143610547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405.09126081846171</v>
      </c>
      <c r="AO191" s="62">
        <f t="shared" si="144"/>
        <v>534.22295841722166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0.10528702743919326</v>
      </c>
      <c r="AV191" s="23">
        <f>EXP(-LN(2)/25)*AV190+(1-EXP(-LN(2)/25))/(LN(2)/25)*Calculateur!AQ191*Calculateur!AS191*VLOOKUP('Données projet'!$B$10,Paramètres!$A$1:$I$89,3,0)*0.475*44/12</f>
        <v>0.10910966449495908</v>
      </c>
      <c r="AW191" s="23">
        <f>EXP(-LN(2)/2)*AW190+(1-EXP(-LN(2)/2))/(LN(2)/2)*AQ191*AT191*VLOOKUP('Données projet'!$B$10,Paramètres!$A$1:$I$89,3,0)*0.475*44/12</f>
        <v>6.1204791647073726E-25</v>
      </c>
      <c r="AX191" s="23">
        <f t="shared" si="166"/>
        <v>0.21439669193415234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3.4106051316484809E-13</v>
      </c>
      <c r="BE191" s="14">
        <f>BD191*VLOOKUP('Données projet'!$B$11,Paramètres!$A$1:$I$89,3,0)*VLOOKUP('Données projet'!$B$11,Paramètres!$A$1:$I$89,5,0)</f>
        <v>1.9508661353029313E-13</v>
      </c>
      <c r="BF191" s="14">
        <f t="shared" si="167"/>
        <v>2.711421636700695E-12</v>
      </c>
      <c r="BG191" s="22">
        <f t="shared" si="168"/>
        <v>5.0621685358189711E-12</v>
      </c>
      <c r="BH191" s="62">
        <f t="shared" si="116"/>
        <v>293.33333333333837</v>
      </c>
      <c r="BI191" s="62">
        <f ca="1">AVERAGE(OFFSET($BH$3,0,0,'Données projet'!$E$11+1,1))-AVERAGE(OFFSET($H$3,0,0,'Données projet'!$E$11+1,1))</f>
        <v>258.09881752732008</v>
      </c>
      <c r="BJ191" s="62">
        <f t="shared" si="146"/>
        <v>214.72899476643335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7.8330660979432434E-2</v>
      </c>
      <c r="BR191" s="23">
        <f>EXP(-LN(2)/2)*BR190+(1-EXP(-LN(2)/2))/(LN(2)/2)*BL191*BO191*VLOOKUP('Données projet'!$B$11,Paramètres!$A$1:$I$89,3,0)*0.475*44/12</f>
        <v>7.2013928846147946E-24</v>
      </c>
      <c r="BS191" s="24">
        <f t="shared" si="169"/>
        <v>7.8330660979432434E-2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1.7053025658242404E-13</v>
      </c>
      <c r="O192" s="14">
        <f>N192*VLOOKUP('Données projet'!$B$9,Paramètres!$A$1:$I$89,3,0)*VLOOKUP('Données projet'!$B$9,Paramètres!$A$1:$I$89,5,0)</f>
        <v>1.5429577615577727E-13</v>
      </c>
      <c r="P192" s="14">
        <f t="shared" si="141"/>
        <v>2.2038482767263348E-12</v>
      </c>
      <c r="Q192" s="22">
        <f t="shared" si="162"/>
        <v>4.107100892103012E-12</v>
      </c>
      <c r="R192" s="62">
        <f t="shared" si="109"/>
        <v>293.33333333333741</v>
      </c>
      <c r="S192" s="62">
        <f ca="1">AVERAGE(OFFSET($R$3,0,0,'Données projet'!$E$9+1,1))-AVERAGE(OFFSET($H$3,0,0,'Données projet'!$E$9+1,1))</f>
        <v>371.75294069149942</v>
      </c>
      <c r="T192" s="62">
        <f t="shared" si="142"/>
        <v>233.32640143610547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405.09126081846171</v>
      </c>
      <c r="AO192" s="62">
        <f t="shared" si="144"/>
        <v>534.22295841722166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0.10322241304985634</v>
      </c>
      <c r="AV192" s="23">
        <f>EXP(-LN(2)/25)*AV191+(1-EXP(-LN(2)/25))/(LN(2)/25)*Calculateur!AQ192*Calculateur!AS192*VLOOKUP('Données projet'!$B$10,Paramètres!$A$1:$I$89,3,0)*0.475*44/12</f>
        <v>0.10612605498151655</v>
      </c>
      <c r="AW192" s="23">
        <f>EXP(-LN(2)/2)*AW191+(1-EXP(-LN(2)/2))/(LN(2)/2)*AQ192*AT192*VLOOKUP('Données projet'!$B$10,Paramètres!$A$1:$I$89,3,0)*0.475*44/12</f>
        <v>4.3278323214755591E-25</v>
      </c>
      <c r="AX192" s="23">
        <f t="shared" si="166"/>
        <v>0.20934846803137289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3.4106051316484809E-13</v>
      </c>
      <c r="BE192" s="14">
        <f>BD192*VLOOKUP('Données projet'!$B$11,Paramètres!$A$1:$I$89,3,0)*VLOOKUP('Données projet'!$B$11,Paramètres!$A$1:$I$89,5,0)</f>
        <v>1.9508661353029313E-13</v>
      </c>
      <c r="BF192" s="14">
        <f t="shared" si="167"/>
        <v>2.711421636700695E-12</v>
      </c>
      <c r="BG192" s="22">
        <f t="shared" si="168"/>
        <v>5.0621685358189711E-12</v>
      </c>
      <c r="BH192" s="62">
        <f t="shared" si="116"/>
        <v>293.33333333333837</v>
      </c>
      <c r="BI192" s="62">
        <f ca="1">AVERAGE(OFFSET($BH$3,0,0,'Données projet'!$E$11+1,1))-AVERAGE(OFFSET($H$3,0,0,'Données projet'!$E$11+1,1))</f>
        <v>258.09881752732008</v>
      </c>
      <c r="BJ192" s="62">
        <f t="shared" si="146"/>
        <v>214.72899476643335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7.6188704935719415E-2</v>
      </c>
      <c r="BR192" s="23">
        <f>EXP(-LN(2)/2)*BR191+(1-EXP(-LN(2)/2))/(LN(2)/2)*BL192*BO192*VLOOKUP('Données projet'!$B$11,Paramètres!$A$1:$I$89,3,0)*0.475*44/12</f>
        <v>5.0921537426996739E-24</v>
      </c>
      <c r="BS192" s="24">
        <f t="shared" si="169"/>
        <v>7.6188704935719415E-2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1.7053025658242404E-13</v>
      </c>
      <c r="O193" s="14">
        <f>N193*VLOOKUP('Données projet'!$B$9,Paramètres!$A$1:$I$89,3,0)*VLOOKUP('Données projet'!$B$9,Paramètres!$A$1:$I$89,5,0)</f>
        <v>1.5429577615577727E-13</v>
      </c>
      <c r="P193" s="14">
        <f t="shared" si="141"/>
        <v>2.2038482767263348E-12</v>
      </c>
      <c r="Q193" s="22">
        <f t="shared" si="162"/>
        <v>4.107100892103012E-12</v>
      </c>
      <c r="R193" s="62">
        <f t="shared" si="109"/>
        <v>293.33333333333741</v>
      </c>
      <c r="S193" s="62">
        <f ca="1">AVERAGE(OFFSET($R$3,0,0,'Données projet'!$E$9+1,1))-AVERAGE(OFFSET($H$3,0,0,'Données projet'!$E$9+1,1))</f>
        <v>371.75294069149942</v>
      </c>
      <c r="T193" s="62">
        <f t="shared" si="142"/>
        <v>233.32640143610547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405.09126081846171</v>
      </c>
      <c r="AO193" s="62">
        <f t="shared" si="144"/>
        <v>534.22295841722166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0.10119828448940389</v>
      </c>
      <c r="AV193" s="23">
        <f>EXP(-LN(2)/25)*AV192+(1-EXP(-LN(2)/25))/(LN(2)/25)*Calculateur!AQ193*Calculateur!AS193*VLOOKUP('Données projet'!$B$10,Paramètres!$A$1:$I$89,3,0)*0.475*44/12</f>
        <v>0.1032240324271203</v>
      </c>
      <c r="AW193" s="23">
        <f>EXP(-LN(2)/2)*AW192+(1-EXP(-LN(2)/2))/(LN(2)/2)*AQ193*AT193*VLOOKUP('Données projet'!$B$10,Paramètres!$A$1:$I$89,3,0)*0.475*44/12</f>
        <v>3.0602395823536863E-25</v>
      </c>
      <c r="AX193" s="23">
        <f t="shared" si="166"/>
        <v>0.20442231691652418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3.4106051316484809E-13</v>
      </c>
      <c r="BE193" s="14">
        <f>BD193*VLOOKUP('Données projet'!$B$11,Paramètres!$A$1:$I$89,3,0)*VLOOKUP('Données projet'!$B$11,Paramètres!$A$1:$I$89,5,0)</f>
        <v>1.9508661353029313E-13</v>
      </c>
      <c r="BF193" s="14">
        <f t="shared" si="167"/>
        <v>2.711421636700695E-12</v>
      </c>
      <c r="BG193" s="22">
        <f t="shared" si="168"/>
        <v>5.0621685358189711E-12</v>
      </c>
      <c r="BH193" s="62">
        <f t="shared" si="116"/>
        <v>293.33333333333837</v>
      </c>
      <c r="BI193" s="62">
        <f ca="1">AVERAGE(OFFSET($BH$3,0,0,'Données projet'!$E$11+1,1))-AVERAGE(OFFSET($H$3,0,0,'Données projet'!$E$11+1,1))</f>
        <v>258.09881752732008</v>
      </c>
      <c r="BJ193" s="62">
        <f t="shared" si="146"/>
        <v>214.72899476643335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7.4105320792662313E-2</v>
      </c>
      <c r="BR193" s="23">
        <f>EXP(-LN(2)/2)*BR192+(1-EXP(-LN(2)/2))/(LN(2)/2)*BL193*BO193*VLOOKUP('Données projet'!$B$11,Paramètres!$A$1:$I$89,3,0)*0.475*44/12</f>
        <v>3.6006964423073973E-24</v>
      </c>
      <c r="BS193" s="24">
        <f t="shared" si="169"/>
        <v>7.4105320792662313E-2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1.7053025658242404E-13</v>
      </c>
      <c r="O194" s="14">
        <f>N194*VLOOKUP('Données projet'!$B$9,Paramètres!$A$1:$I$89,3,0)*VLOOKUP('Données projet'!$B$9,Paramètres!$A$1:$I$89,5,0)</f>
        <v>1.5429577615577727E-13</v>
      </c>
      <c r="P194" s="14">
        <f t="shared" si="141"/>
        <v>2.2038482767263348E-12</v>
      </c>
      <c r="Q194" s="22">
        <f t="shared" si="162"/>
        <v>4.107100892103012E-12</v>
      </c>
      <c r="R194" s="62">
        <f t="shared" si="109"/>
        <v>293.33333333333741</v>
      </c>
      <c r="S194" s="62">
        <f ca="1">AVERAGE(OFFSET($R$3,0,0,'Données projet'!$E$9+1,1))-AVERAGE(OFFSET($H$3,0,0,'Données projet'!$E$9+1,1))</f>
        <v>371.75294069149942</v>
      </c>
      <c r="T194" s="62">
        <f t="shared" si="142"/>
        <v>233.32640143610547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405.09126081846171</v>
      </c>
      <c r="AO194" s="62">
        <f t="shared" si="144"/>
        <v>534.22295841722166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9.9213847855425391E-2</v>
      </c>
      <c r="AV194" s="23">
        <f>EXP(-LN(2)/25)*AV193+(1-EXP(-LN(2)/25))/(LN(2)/25)*Calculateur!AQ194*Calculateur!AS194*VLOOKUP('Données projet'!$B$10,Paramètres!$A$1:$I$89,3,0)*0.475*44/12</f>
        <v>0.10040136583208475</v>
      </c>
      <c r="AW194" s="23">
        <f>EXP(-LN(2)/2)*AW193+(1-EXP(-LN(2)/2))/(LN(2)/2)*AQ194*AT194*VLOOKUP('Données projet'!$B$10,Paramètres!$A$1:$I$89,3,0)*0.475*44/12</f>
        <v>2.1639161607377796E-25</v>
      </c>
      <c r="AX194" s="23">
        <f t="shared" si="166"/>
        <v>0.19961521368751015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3.4106051316484809E-13</v>
      </c>
      <c r="BE194" s="14">
        <f>BD194*VLOOKUP('Données projet'!$B$11,Paramètres!$A$1:$I$89,3,0)*VLOOKUP('Données projet'!$B$11,Paramètres!$A$1:$I$89,5,0)</f>
        <v>1.9508661353029313E-13</v>
      </c>
      <c r="BF194" s="14">
        <f t="shared" si="167"/>
        <v>2.711421636700695E-12</v>
      </c>
      <c r="BG194" s="22">
        <f t="shared" si="168"/>
        <v>5.0621685358189711E-12</v>
      </c>
      <c r="BH194" s="62">
        <f t="shared" si="116"/>
        <v>293.33333333333837</v>
      </c>
      <c r="BI194" s="62">
        <f ca="1">AVERAGE(OFFSET($BH$3,0,0,'Données projet'!$E$11+1,1))-AVERAGE(OFFSET($H$3,0,0,'Données projet'!$E$11+1,1))</f>
        <v>258.09881752732008</v>
      </c>
      <c r="BJ194" s="62">
        <f t="shared" si="146"/>
        <v>214.72899476643335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7.2078906898557518E-2</v>
      </c>
      <c r="BR194" s="23">
        <f>EXP(-LN(2)/2)*BR193+(1-EXP(-LN(2)/2))/(LN(2)/2)*BL194*BO194*VLOOKUP('Données projet'!$B$11,Paramètres!$A$1:$I$89,3,0)*0.475*44/12</f>
        <v>2.5460768713498369E-24</v>
      </c>
      <c r="BS194" s="24">
        <f t="shared" si="169"/>
        <v>7.2078906898557518E-2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1.7053025658242404E-13</v>
      </c>
      <c r="O195" s="14">
        <f>N195*VLOOKUP('Données projet'!$B$9,Paramètres!$A$1:$I$89,3,0)*VLOOKUP('Données projet'!$B$9,Paramètres!$A$1:$I$89,5,0)</f>
        <v>1.5429577615577727E-13</v>
      </c>
      <c r="P195" s="14">
        <f t="shared" si="141"/>
        <v>2.2038482767263348E-12</v>
      </c>
      <c r="Q195" s="22">
        <f t="shared" si="162"/>
        <v>4.107100892103012E-12</v>
      </c>
      <c r="R195" s="62">
        <f t="shared" ref="R195:R203" si="191">Q195+(I195+J195)*44/12</f>
        <v>293.33333333333741</v>
      </c>
      <c r="S195" s="62">
        <f ca="1">AVERAGE(OFFSET($R$3,0,0,'Données projet'!$E$9+1,1))-AVERAGE(OFFSET($H$3,0,0,'Données projet'!$E$9+1,1))</f>
        <v>371.75294069149942</v>
      </c>
      <c r="T195" s="62">
        <f t="shared" si="142"/>
        <v>233.32640143610547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405.09126081846171</v>
      </c>
      <c r="AO195" s="62">
        <f t="shared" si="144"/>
        <v>534.22295841722166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9.7268324813452378E-2</v>
      </c>
      <c r="AV195" s="23">
        <f>EXP(-LN(2)/25)*AV194+(1-EXP(-LN(2)/25))/(LN(2)/25)*Calculateur!AQ195*Calculateur!AS195*VLOOKUP('Données projet'!$B$10,Paramètres!$A$1:$I$89,3,0)*0.475*44/12</f>
        <v>9.7655885203528039E-2</v>
      </c>
      <c r="AW195" s="23">
        <f>EXP(-LN(2)/2)*AW194+(1-EXP(-LN(2)/2))/(LN(2)/2)*AQ195*AT195*VLOOKUP('Données projet'!$B$10,Paramètres!$A$1:$I$89,3,0)*0.475*44/12</f>
        <v>1.5301197911768432E-25</v>
      </c>
      <c r="AX195" s="23">
        <f t="shared" si="166"/>
        <v>0.1949242100169804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3.4106051316484809E-13</v>
      </c>
      <c r="BE195" s="14">
        <f>BD195*VLOOKUP('Données projet'!$B$11,Paramètres!$A$1:$I$89,3,0)*VLOOKUP('Données projet'!$B$11,Paramètres!$A$1:$I$89,5,0)</f>
        <v>1.9508661353029313E-13</v>
      </c>
      <c r="BF195" s="14">
        <f t="shared" si="167"/>
        <v>2.711421636700695E-12</v>
      </c>
      <c r="BG195" s="22">
        <f t="shared" si="168"/>
        <v>5.0621685358189711E-12</v>
      </c>
      <c r="BH195" s="62">
        <f t="shared" si="116"/>
        <v>293.33333333333837</v>
      </c>
      <c r="BI195" s="62">
        <f ca="1">AVERAGE(OFFSET($BH$3,0,0,'Données projet'!$E$11+1,1))-AVERAGE(OFFSET($H$3,0,0,'Données projet'!$E$11+1,1))</f>
        <v>258.09881752732008</v>
      </c>
      <c r="BJ195" s="62">
        <f t="shared" si="146"/>
        <v>214.72899476643335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7.0107905398951481E-2</v>
      </c>
      <c r="BR195" s="23">
        <f>EXP(-LN(2)/2)*BR194+(1-EXP(-LN(2)/2))/(LN(2)/2)*BL195*BO195*VLOOKUP('Données projet'!$B$11,Paramètres!$A$1:$I$89,3,0)*0.475*44/12</f>
        <v>1.8003482211536986E-24</v>
      </c>
      <c r="BS195" s="24">
        <f t="shared" si="169"/>
        <v>7.0107905398951481E-2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1.7053025658242404E-13</v>
      </c>
      <c r="O196" s="14">
        <f>N196*VLOOKUP('Données projet'!$B$9,Paramètres!$A$1:$I$89,3,0)*VLOOKUP('Données projet'!$B$9,Paramètres!$A$1:$I$89,5,0)</f>
        <v>1.5429577615577727E-13</v>
      </c>
      <c r="P196" s="14">
        <f t="shared" si="141"/>
        <v>2.2038482767263348E-12</v>
      </c>
      <c r="Q196" s="22">
        <f t="shared" si="162"/>
        <v>4.107100892103012E-12</v>
      </c>
      <c r="R196" s="62">
        <f t="shared" si="191"/>
        <v>293.33333333333741</v>
      </c>
      <c r="S196" s="62">
        <f ca="1">AVERAGE(OFFSET($R$3,0,0,'Données projet'!$E$9+1,1))-AVERAGE(OFFSET($H$3,0,0,'Données projet'!$E$9+1,1))</f>
        <v>371.75294069149942</v>
      </c>
      <c r="T196" s="62">
        <f t="shared" si="142"/>
        <v>233.32640143610547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405.09126081846171</v>
      </c>
      <c r="AO196" s="62">
        <f t="shared" si="144"/>
        <v>534.22295841722166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9.5360952291680581E-2</v>
      </c>
      <c r="AV196" s="23">
        <f>EXP(-LN(2)/25)*AV195+(1-EXP(-LN(2)/25))/(LN(2)/25)*Calculateur!AQ196*Calculateur!AS196*VLOOKUP('Données projet'!$B$10,Paramètres!$A$1:$I$89,3,0)*0.475*44/12</f>
        <v>9.4985479887137764E-2</v>
      </c>
      <c r="AW196" s="23">
        <f>EXP(-LN(2)/2)*AW195+(1-EXP(-LN(2)/2))/(LN(2)/2)*AQ196*AT196*VLOOKUP('Données projet'!$B$10,Paramètres!$A$1:$I$89,3,0)*0.475*44/12</f>
        <v>1.0819580803688898E-25</v>
      </c>
      <c r="AX196" s="23">
        <f t="shared" si="166"/>
        <v>0.19034643217881836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3.4106051316484809E-13</v>
      </c>
      <c r="BE196" s="14">
        <f>BD196*VLOOKUP('Données projet'!$B$11,Paramètres!$A$1:$I$89,3,0)*VLOOKUP('Données projet'!$B$11,Paramètres!$A$1:$I$89,5,0)</f>
        <v>1.9508661353029313E-13</v>
      </c>
      <c r="BF196" s="14">
        <f t="shared" si="167"/>
        <v>2.711421636700695E-12</v>
      </c>
      <c r="BG196" s="22">
        <f t="shared" si="168"/>
        <v>5.0621685358189711E-12</v>
      </c>
      <c r="BH196" s="62">
        <f t="shared" ref="BH196:BH203" si="194">BG196+(AY196+AZ196)*44/12</f>
        <v>293.33333333333837</v>
      </c>
      <c r="BI196" s="62">
        <f ca="1">AVERAGE(OFFSET($BH$3,0,0,'Données projet'!$E$11+1,1))-AVERAGE(OFFSET($H$3,0,0,'Données projet'!$E$11+1,1))</f>
        <v>258.09881752732008</v>
      </c>
      <c r="BJ196" s="62">
        <f t="shared" si="146"/>
        <v>214.72899476643335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6.8190801039002644E-2</v>
      </c>
      <c r="BR196" s="23">
        <f>EXP(-LN(2)/2)*BR195+(1-EXP(-LN(2)/2))/(LN(2)/2)*BL196*BO196*VLOOKUP('Données projet'!$B$11,Paramètres!$A$1:$I$89,3,0)*0.475*44/12</f>
        <v>1.2730384356749185E-24</v>
      </c>
      <c r="BS196" s="24">
        <f t="shared" si="169"/>
        <v>6.8190801039002644E-2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1.7053025658242404E-13</v>
      </c>
      <c r="O197" s="14">
        <f>N197*VLOOKUP('Données projet'!$B$9,Paramètres!$A$1:$I$89,3,0)*VLOOKUP('Données projet'!$B$9,Paramètres!$A$1:$I$89,5,0)</f>
        <v>1.5429577615577727E-13</v>
      </c>
      <c r="P197" s="14">
        <f t="shared" ref="P197:P203" si="203">EXP(-1.0587+0.8836*LN(O197)+0.284)</f>
        <v>2.2038482767263348E-12</v>
      </c>
      <c r="Q197" s="22">
        <f t="shared" si="162"/>
        <v>4.107100892103012E-12</v>
      </c>
      <c r="R197" s="62">
        <f t="shared" si="191"/>
        <v>293.33333333333741</v>
      </c>
      <c r="S197" s="62">
        <f ca="1">AVERAGE(OFFSET($R$3,0,0,'Données projet'!$E$9+1,1))-AVERAGE(OFFSET($H$3,0,0,'Données projet'!$E$9+1,1))</f>
        <v>371.75294069149942</v>
      </c>
      <c r="T197" s="62">
        <f t="shared" ref="T197:T203" si="204">$T$3</f>
        <v>233.32640143610547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405.09126081846171</v>
      </c>
      <c r="AO197" s="62">
        <f t="shared" ref="AO197:AO203" si="205">$AO$3</f>
        <v>534.22295841722166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9.3490982181678367E-2</v>
      </c>
      <c r="AV197" s="23">
        <f>EXP(-LN(2)/25)*AV196+(1-EXP(-LN(2)/25))/(LN(2)/25)*Calculateur!AQ197*Calculateur!AS197*VLOOKUP('Données projet'!$B$10,Paramètres!$A$1:$I$89,3,0)*0.475*44/12</f>
        <v>9.2388096944554687E-2</v>
      </c>
      <c r="AW197" s="23">
        <f>EXP(-LN(2)/2)*AW196+(1-EXP(-LN(2)/2))/(LN(2)/2)*AQ197*AT197*VLOOKUP('Données projet'!$B$10,Paramètres!$A$1:$I$89,3,0)*0.475*44/12</f>
        <v>7.6505989558842158E-26</v>
      </c>
      <c r="AX197" s="23">
        <f t="shared" si="166"/>
        <v>0.18587907912623305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3.4106051316484809E-13</v>
      </c>
      <c r="BE197" s="14">
        <f>BD197*VLOOKUP('Données projet'!$B$11,Paramètres!$A$1:$I$89,3,0)*VLOOKUP('Données projet'!$B$11,Paramètres!$A$1:$I$89,5,0)</f>
        <v>1.9508661353029313E-13</v>
      </c>
      <c r="BF197" s="14">
        <f t="shared" si="167"/>
        <v>2.711421636700695E-12</v>
      </c>
      <c r="BG197" s="22">
        <f t="shared" si="168"/>
        <v>5.0621685358189711E-12</v>
      </c>
      <c r="BH197" s="62">
        <f t="shared" si="194"/>
        <v>293.33333333333837</v>
      </c>
      <c r="BI197" s="62">
        <f ca="1">AVERAGE(OFFSET($BH$3,0,0,'Données projet'!$E$11+1,1))-AVERAGE(OFFSET($H$3,0,0,'Données projet'!$E$11+1,1))</f>
        <v>258.09881752732008</v>
      </c>
      <c r="BJ197" s="62">
        <f t="shared" ref="BJ197:BJ203" si="206">$BJ$3</f>
        <v>214.72899476643335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6.6326119998592739E-2</v>
      </c>
      <c r="BR197" s="23">
        <f>EXP(-LN(2)/2)*BR196+(1-EXP(-LN(2)/2))/(LN(2)/2)*BL197*BO197*VLOOKUP('Données projet'!$B$11,Paramètres!$A$1:$I$89,3,0)*0.475*44/12</f>
        <v>9.0017411057684932E-25</v>
      </c>
      <c r="BS197" s="24">
        <f t="shared" si="169"/>
        <v>6.6326119998592739E-2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1.7053025658242404E-13</v>
      </c>
      <c r="O198" s="14">
        <f>N198*VLOOKUP('Données projet'!$B$9,Paramètres!$A$1:$I$89,3,0)*VLOOKUP('Données projet'!$B$9,Paramètres!$A$1:$I$89,5,0)</f>
        <v>1.5429577615577727E-13</v>
      </c>
      <c r="P198" s="14">
        <f t="shared" si="203"/>
        <v>2.2038482767263348E-12</v>
      </c>
      <c r="Q198" s="22">
        <f t="shared" si="162"/>
        <v>4.107100892103012E-12</v>
      </c>
      <c r="R198" s="62">
        <f t="shared" si="191"/>
        <v>293.33333333333741</v>
      </c>
      <c r="S198" s="62">
        <f ca="1">AVERAGE(OFFSET($R$3,0,0,'Données projet'!$E$9+1,1))-AVERAGE(OFFSET($H$3,0,0,'Données projet'!$E$9+1,1))</f>
        <v>371.75294069149942</v>
      </c>
      <c r="T198" s="62">
        <f t="shared" si="204"/>
        <v>233.32640143610547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405.09126081846171</v>
      </c>
      <c r="AO198" s="62">
        <f t="shared" si="205"/>
        <v>534.22295841722166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9.1657681044964148E-2</v>
      </c>
      <c r="AV198" s="23">
        <f>EXP(-LN(2)/25)*AV197+(1-EXP(-LN(2)/25))/(LN(2)/25)*Calculateur!AQ198*Calculateur!AS198*VLOOKUP('Données projet'!$B$10,Paramètres!$A$1:$I$89,3,0)*0.475*44/12</f>
        <v>8.9861739575126984E-2</v>
      </c>
      <c r="AW198" s="23">
        <f>EXP(-LN(2)/2)*AW197+(1-EXP(-LN(2)/2))/(LN(2)/2)*AQ198*AT198*VLOOKUP('Données projet'!$B$10,Paramètres!$A$1:$I$89,3,0)*0.475*44/12</f>
        <v>5.4097904018444489E-26</v>
      </c>
      <c r="AX198" s="23">
        <f t="shared" si="166"/>
        <v>0.18151942062009113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3.4106051316484809E-13</v>
      </c>
      <c r="BE198" s="14">
        <f>BD198*VLOOKUP('Données projet'!$B$11,Paramètres!$A$1:$I$89,3,0)*VLOOKUP('Données projet'!$B$11,Paramètres!$A$1:$I$89,5,0)</f>
        <v>1.9508661353029313E-13</v>
      </c>
      <c r="BF198" s="14">
        <f t="shared" si="167"/>
        <v>2.711421636700695E-12</v>
      </c>
      <c r="BG198" s="22">
        <f t="shared" si="168"/>
        <v>5.0621685358189711E-12</v>
      </c>
      <c r="BH198" s="62">
        <f t="shared" si="194"/>
        <v>293.33333333333837</v>
      </c>
      <c r="BI198" s="62">
        <f ca="1">AVERAGE(OFFSET($BH$3,0,0,'Données projet'!$E$11+1,1))-AVERAGE(OFFSET($H$3,0,0,'Données projet'!$E$11+1,1))</f>
        <v>258.09881752732008</v>
      </c>
      <c r="BJ198" s="62">
        <f t="shared" si="206"/>
        <v>214.72899476643335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6.4512428759292154E-2</v>
      </c>
      <c r="BR198" s="23">
        <f>EXP(-LN(2)/2)*BR197+(1-EXP(-LN(2)/2))/(LN(2)/2)*BL198*BO198*VLOOKUP('Données projet'!$B$11,Paramètres!$A$1:$I$89,3,0)*0.475*44/12</f>
        <v>6.3651921783745924E-25</v>
      </c>
      <c r="BS198" s="24">
        <f t="shared" si="169"/>
        <v>6.4512428759292154E-2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1.7053025658242404E-13</v>
      </c>
      <c r="O199" s="14">
        <f>N199*VLOOKUP('Données projet'!$B$9,Paramètres!$A$1:$I$89,3,0)*VLOOKUP('Données projet'!$B$9,Paramètres!$A$1:$I$89,5,0)</f>
        <v>1.5429577615577727E-13</v>
      </c>
      <c r="P199" s="14">
        <f t="shared" si="203"/>
        <v>2.2038482767263348E-12</v>
      </c>
      <c r="Q199" s="22">
        <f t="shared" si="162"/>
        <v>4.107100892103012E-12</v>
      </c>
      <c r="R199" s="62">
        <f t="shared" si="191"/>
        <v>293.33333333333741</v>
      </c>
      <c r="S199" s="62">
        <f ca="1">AVERAGE(OFFSET($R$3,0,0,'Données projet'!$E$9+1,1))-AVERAGE(OFFSET($H$3,0,0,'Données projet'!$E$9+1,1))</f>
        <v>371.75294069149942</v>
      </c>
      <c r="T199" s="62">
        <f t="shared" si="204"/>
        <v>233.32640143610547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405.09126081846171</v>
      </c>
      <c r="AO199" s="62">
        <f t="shared" si="205"/>
        <v>534.22295841722166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8.9860329825337606E-2</v>
      </c>
      <c r="AV199" s="23">
        <f>EXP(-LN(2)/25)*AV198+(1-EXP(-LN(2)/25))/(LN(2)/25)*Calculateur!AQ199*Calculateur!AS199*VLOOKUP('Données projet'!$B$10,Paramètres!$A$1:$I$89,3,0)*0.475*44/12</f>
        <v>8.7404465580821628E-2</v>
      </c>
      <c r="AW199" s="23">
        <f>EXP(-LN(2)/2)*AW198+(1-EXP(-LN(2)/2))/(LN(2)/2)*AQ199*AT199*VLOOKUP('Données projet'!$B$10,Paramètres!$A$1:$I$89,3,0)*0.475*44/12</f>
        <v>3.8252994779421079E-26</v>
      </c>
      <c r="AX199" s="23">
        <f t="shared" si="166"/>
        <v>0.17726479540615925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3.4106051316484809E-13</v>
      </c>
      <c r="BE199" s="14">
        <f>BD199*VLOOKUP('Données projet'!$B$11,Paramètres!$A$1:$I$89,3,0)*VLOOKUP('Données projet'!$B$11,Paramètres!$A$1:$I$89,5,0)</f>
        <v>1.9508661353029313E-13</v>
      </c>
      <c r="BF199" s="14">
        <f t="shared" si="167"/>
        <v>2.711421636700695E-12</v>
      </c>
      <c r="BG199" s="22">
        <f t="shared" si="168"/>
        <v>5.0621685358189711E-12</v>
      </c>
      <c r="BH199" s="62">
        <f t="shared" si="194"/>
        <v>293.33333333333837</v>
      </c>
      <c r="BI199" s="62">
        <f ca="1">AVERAGE(OFFSET($BH$3,0,0,'Données projet'!$E$11+1,1))-AVERAGE(OFFSET($H$3,0,0,'Données projet'!$E$11+1,1))</f>
        <v>258.09881752732008</v>
      </c>
      <c r="BJ199" s="62">
        <f t="shared" si="206"/>
        <v>214.72899476643335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6.2748333002308129E-2</v>
      </c>
      <c r="BR199" s="23">
        <f>EXP(-LN(2)/2)*BR198+(1-EXP(-LN(2)/2))/(LN(2)/2)*BL199*BO199*VLOOKUP('Données projet'!$B$11,Paramètres!$A$1:$I$89,3,0)*0.475*44/12</f>
        <v>4.5008705528842466E-25</v>
      </c>
      <c r="BS199" s="24">
        <f t="shared" si="169"/>
        <v>6.2748333002308129E-2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1.7053025658242404E-13</v>
      </c>
      <c r="O200" s="14">
        <f>N200*VLOOKUP('Données projet'!$B$9,Paramètres!$A$1:$I$89,3,0)*VLOOKUP('Données projet'!$B$9,Paramètres!$A$1:$I$89,5,0)</f>
        <v>1.5429577615577727E-13</v>
      </c>
      <c r="P200" s="14">
        <f t="shared" si="203"/>
        <v>2.2038482767263348E-12</v>
      </c>
      <c r="Q200" s="22">
        <f t="shared" si="162"/>
        <v>4.107100892103012E-12</v>
      </c>
      <c r="R200" s="62">
        <f t="shared" si="191"/>
        <v>293.33333333333741</v>
      </c>
      <c r="S200" s="62">
        <f ca="1">AVERAGE(OFFSET($R$3,0,0,'Données projet'!$E$9+1,1))-AVERAGE(OFFSET($H$3,0,0,'Données projet'!$E$9+1,1))</f>
        <v>371.75294069149942</v>
      </c>
      <c r="T200" s="62">
        <f t="shared" si="204"/>
        <v>233.32640143610547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405.09126081846171</v>
      </c>
      <c r="AO200" s="62">
        <f t="shared" si="205"/>
        <v>534.22295841722166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8.8098223566851958E-2</v>
      </c>
      <c r="AV200" s="23">
        <f>EXP(-LN(2)/25)*AV199+(1-EXP(-LN(2)/25))/(LN(2)/25)*Calculateur!AQ200*Calculateur!AS200*VLOOKUP('Données projet'!$B$10,Paramètres!$A$1:$I$89,3,0)*0.475*44/12</f>
        <v>8.5014385873112983E-2</v>
      </c>
      <c r="AW200" s="23">
        <f>EXP(-LN(2)/2)*AW199+(1-EXP(-LN(2)/2))/(LN(2)/2)*AQ200*AT200*VLOOKUP('Données projet'!$B$10,Paramètres!$A$1:$I$89,3,0)*0.475*44/12</f>
        <v>2.7048952009222245E-26</v>
      </c>
      <c r="AX200" s="23">
        <f t="shared" si="166"/>
        <v>0.17311260943996493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3.4106051316484809E-13</v>
      </c>
      <c r="BE200" s="14">
        <f>BD200*VLOOKUP('Données projet'!$B$11,Paramètres!$A$1:$I$89,3,0)*VLOOKUP('Données projet'!$B$11,Paramètres!$A$1:$I$89,5,0)</f>
        <v>1.9508661353029313E-13</v>
      </c>
      <c r="BF200" s="14">
        <f t="shared" si="167"/>
        <v>2.711421636700695E-12</v>
      </c>
      <c r="BG200" s="22">
        <f t="shared" si="168"/>
        <v>5.0621685358189711E-12</v>
      </c>
      <c r="BH200" s="62">
        <f t="shared" si="194"/>
        <v>293.33333333333837</v>
      </c>
      <c r="BI200" s="62">
        <f ca="1">AVERAGE(OFFSET($BH$3,0,0,'Données projet'!$E$11+1,1))-AVERAGE(OFFSET($H$3,0,0,'Données projet'!$E$11+1,1))</f>
        <v>258.09881752732008</v>
      </c>
      <c r="BJ200" s="62">
        <f t="shared" si="206"/>
        <v>214.72899476643335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6.1032476536568597E-2</v>
      </c>
      <c r="BR200" s="23">
        <f>EXP(-LN(2)/2)*BR199+(1-EXP(-LN(2)/2))/(LN(2)/2)*BL200*BO200*VLOOKUP('Données projet'!$B$11,Paramètres!$A$1:$I$89,3,0)*0.475*44/12</f>
        <v>3.1825960891872962E-25</v>
      </c>
      <c r="BS200" s="24">
        <f t="shared" si="169"/>
        <v>6.1032476536568597E-2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1.7053025658242404E-13</v>
      </c>
      <c r="O201" s="14">
        <f>N201*VLOOKUP('Données projet'!$B$9,Paramètres!$A$1:$I$89,3,0)*VLOOKUP('Données projet'!$B$9,Paramètres!$A$1:$I$89,5,0)</f>
        <v>1.5429577615577727E-13</v>
      </c>
      <c r="P201" s="14">
        <f t="shared" si="203"/>
        <v>2.2038482767263348E-12</v>
      </c>
      <c r="Q201" s="22">
        <f t="shared" si="162"/>
        <v>4.107100892103012E-12</v>
      </c>
      <c r="R201" s="62">
        <f t="shared" si="191"/>
        <v>293.33333333333741</v>
      </c>
      <c r="S201" s="62">
        <f ca="1">AVERAGE(OFFSET($R$3,0,0,'Données projet'!$E$9+1,1))-AVERAGE(OFFSET($H$3,0,0,'Données projet'!$E$9+1,1))</f>
        <v>371.75294069149942</v>
      </c>
      <c r="T201" s="62">
        <f t="shared" si="204"/>
        <v>233.32640143610547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405.09126081846171</v>
      </c>
      <c r="AO201" s="62">
        <f t="shared" si="205"/>
        <v>534.22295841722166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8.6370671137316515E-2</v>
      </c>
      <c r="AV201" s="23">
        <f>EXP(-LN(2)/25)*AV200+(1-EXP(-LN(2)/25))/(LN(2)/25)*Calculateur!AQ201*Calculateur!AS201*VLOOKUP('Données projet'!$B$10,Paramètres!$A$1:$I$89,3,0)*0.475*44/12</f>
        <v>8.2689663020700452E-2</v>
      </c>
      <c r="AW201" s="23">
        <f>EXP(-LN(2)/2)*AW200+(1-EXP(-LN(2)/2))/(LN(2)/2)*AQ201*AT201*VLOOKUP('Données projet'!$B$10,Paramètres!$A$1:$I$89,3,0)*0.475*44/12</f>
        <v>1.9126497389710539E-26</v>
      </c>
      <c r="AX201" s="23">
        <f t="shared" si="166"/>
        <v>0.16906033415801697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3.4106051316484809E-13</v>
      </c>
      <c r="BE201" s="14">
        <f>BD201*VLOOKUP('Données projet'!$B$11,Paramètres!$A$1:$I$89,3,0)*VLOOKUP('Données projet'!$B$11,Paramètres!$A$1:$I$89,5,0)</f>
        <v>1.9508661353029313E-13</v>
      </c>
      <c r="BF201" s="14">
        <f t="shared" si="167"/>
        <v>2.711421636700695E-12</v>
      </c>
      <c r="BG201" s="22">
        <f t="shared" si="168"/>
        <v>5.0621685358189711E-12</v>
      </c>
      <c r="BH201" s="62">
        <f t="shared" si="194"/>
        <v>293.33333333333837</v>
      </c>
      <c r="BI201" s="62">
        <f ca="1">AVERAGE(OFFSET($BH$3,0,0,'Données projet'!$E$11+1,1))-AVERAGE(OFFSET($H$3,0,0,'Données projet'!$E$11+1,1))</f>
        <v>258.09881752732008</v>
      </c>
      <c r="BJ201" s="62">
        <f t="shared" si="206"/>
        <v>214.72899476643335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5.9363540256117682E-2</v>
      </c>
      <c r="BR201" s="23">
        <f>EXP(-LN(2)/2)*BR200+(1-EXP(-LN(2)/2))/(LN(2)/2)*BL201*BO201*VLOOKUP('Données projet'!$B$11,Paramètres!$A$1:$I$89,3,0)*0.475*44/12</f>
        <v>2.2504352764421233E-25</v>
      </c>
      <c r="BS201" s="24">
        <f t="shared" si="169"/>
        <v>5.9363540256117682E-2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1.7053025658242404E-13</v>
      </c>
      <c r="O202" s="14">
        <f>N202*VLOOKUP('Données projet'!$B$9,Paramètres!$A$1:$I$89,3,0)*VLOOKUP('Données projet'!$B$9,Paramètres!$A$1:$I$89,5,0)</f>
        <v>1.5429577615577727E-13</v>
      </c>
      <c r="P202" s="14">
        <f t="shared" si="203"/>
        <v>2.2038482767263348E-12</v>
      </c>
      <c r="Q202" s="22">
        <f t="shared" si="162"/>
        <v>4.107100892103012E-12</v>
      </c>
      <c r="R202" s="62">
        <f t="shared" si="191"/>
        <v>293.33333333333741</v>
      </c>
      <c r="S202" s="62">
        <f ca="1">AVERAGE(OFFSET($R$3,0,0,'Données projet'!$E$9+1,1))-AVERAGE(OFFSET($H$3,0,0,'Données projet'!$E$9+1,1))</f>
        <v>371.75294069149942</v>
      </c>
      <c r="T202" s="62">
        <f t="shared" si="204"/>
        <v>233.32640143610547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405.09126081846171</v>
      </c>
      <c r="AO202" s="62">
        <f t="shared" si="205"/>
        <v>534.22295841722166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8.4676994957221322E-2</v>
      </c>
      <c r="AV202" s="23">
        <f>EXP(-LN(2)/25)*AV201+(1-EXP(-LN(2)/25))/(LN(2)/25)*Calculateur!AQ202*Calculateur!AS202*VLOOKUP('Données projet'!$B$10,Paramètres!$A$1:$I$89,3,0)*0.475*44/12</f>
        <v>8.0428509836939013E-2</v>
      </c>
      <c r="AW202" s="23">
        <f>EXP(-LN(2)/2)*AW201+(1-EXP(-LN(2)/2))/(LN(2)/2)*AQ202*AT202*VLOOKUP('Données projet'!$B$10,Paramètres!$A$1:$I$89,3,0)*0.475*44/12</f>
        <v>1.3524476004611122E-26</v>
      </c>
      <c r="AX202" s="23">
        <f t="shared" si="166"/>
        <v>0.16510550479416033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3.4106051316484809E-13</v>
      </c>
      <c r="BE202" s="14">
        <f>BD202*VLOOKUP('Données projet'!$B$11,Paramètres!$A$1:$I$89,3,0)*VLOOKUP('Données projet'!$B$11,Paramètres!$A$1:$I$89,5,0)</f>
        <v>1.9508661353029313E-13</v>
      </c>
      <c r="BF202" s="14">
        <f t="shared" si="167"/>
        <v>2.711421636700695E-12</v>
      </c>
      <c r="BG202" s="22">
        <f t="shared" si="168"/>
        <v>5.0621685358189711E-12</v>
      </c>
      <c r="BH202" s="62">
        <f t="shared" si="194"/>
        <v>293.33333333333837</v>
      </c>
      <c r="BI202" s="62">
        <f ca="1">AVERAGE(OFFSET($BH$3,0,0,'Données projet'!$E$11+1,1))-AVERAGE(OFFSET($H$3,0,0,'Données projet'!$E$11+1,1))</f>
        <v>258.09881752732008</v>
      </c>
      <c r="BJ202" s="62">
        <f t="shared" si="206"/>
        <v>214.72899476643335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5.774024112602124E-2</v>
      </c>
      <c r="BR202" s="23">
        <f>EXP(-LN(2)/2)*BR201+(1-EXP(-LN(2)/2))/(LN(2)/2)*BL202*BO202*VLOOKUP('Données projet'!$B$11,Paramètres!$A$1:$I$89,3,0)*0.475*44/12</f>
        <v>1.5912980445936481E-25</v>
      </c>
      <c r="BS202" s="24">
        <f t="shared" si="169"/>
        <v>5.774024112602124E-2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1.7053025658242404E-13</v>
      </c>
      <c r="O203" s="14">
        <f>N203*VLOOKUP('Données projet'!$B$9,Paramètres!$A$1:$I$89,3,0)*VLOOKUP('Données projet'!$B$9,Paramètres!$A$1:$I$89,5,0)</f>
        <v>1.5429577615577727E-13</v>
      </c>
      <c r="P203" s="14">
        <f t="shared" si="203"/>
        <v>2.2038482767263348E-12</v>
      </c>
      <c r="Q203" s="22">
        <f t="shared" si="162"/>
        <v>4.107100892103012E-12</v>
      </c>
      <c r="R203" s="62">
        <f t="shared" si="191"/>
        <v>293.33333333333741</v>
      </c>
      <c r="S203" s="62">
        <f ca="1">AVERAGE(OFFSET($R$3,0,0,'Données projet'!$E$9+1,1))-AVERAGE(OFFSET($H$3,0,0,'Données projet'!$E$9+1,1))</f>
        <v>371.75294069149942</v>
      </c>
      <c r="T203" s="62">
        <f t="shared" si="204"/>
        <v>233.32640143610547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405.09126081846171</v>
      </c>
      <c r="AO203" s="62">
        <f t="shared" si="205"/>
        <v>534.22295841722166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8.3016530733977328E-2</v>
      </c>
      <c r="AV203" s="23">
        <f>EXP(-LN(2)/25)*AV202+(1-EXP(-LN(2)/25))/(LN(2)/25)*Calculateur!AQ203*Calculateur!AS203*VLOOKUP('Données projet'!$B$10,Paramètres!$A$1:$I$89,3,0)*0.475*44/12</f>
        <v>7.82291880058964E-2</v>
      </c>
      <c r="AW203" s="23">
        <f>EXP(-LN(2)/2)*AW202+(1-EXP(-LN(2)/2))/(LN(2)/2)*AQ203*AT203*VLOOKUP('Données projet'!$B$10,Paramètres!$A$1:$I$89,3,0)*0.475*44/12</f>
        <v>9.5632486948552697E-27</v>
      </c>
      <c r="AX203" s="23">
        <f t="shared" si="166"/>
        <v>0.16124571873987373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3.4106051316484809E-13</v>
      </c>
      <c r="BE203" s="14">
        <f>BD203*VLOOKUP('Données projet'!$B$11,Paramètres!$A$1:$I$89,3,0)*VLOOKUP('Données projet'!$B$11,Paramètres!$A$1:$I$89,5,0)</f>
        <v>1.9508661353029313E-13</v>
      </c>
      <c r="BF203" s="14">
        <f t="shared" si="167"/>
        <v>2.711421636700695E-12</v>
      </c>
      <c r="BG203" s="22">
        <f t="shared" si="168"/>
        <v>5.0621685358189711E-12</v>
      </c>
      <c r="BH203" s="62">
        <f t="shared" si="194"/>
        <v>293.33333333333837</v>
      </c>
      <c r="BI203" s="62">
        <f ca="1">AVERAGE(OFFSET($BH$3,0,0,'Données projet'!$E$11+1,1))-AVERAGE(OFFSET($H$3,0,0,'Données projet'!$E$11+1,1))</f>
        <v>258.09881752732008</v>
      </c>
      <c r="BJ203" s="62">
        <f t="shared" si="206"/>
        <v>214.72899476643335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5.6161331196002875E-2</v>
      </c>
      <c r="BR203" s="23">
        <f>EXP(-LN(2)/2)*BR202+(1-EXP(-LN(2)/2))/(LN(2)/2)*BL203*BO203*VLOOKUP('Données projet'!$B$11,Paramètres!$A$1:$I$89,3,0)*0.475*44/12</f>
        <v>1.1252176382210617E-25</v>
      </c>
      <c r="BS203" s="24">
        <f t="shared" si="169"/>
        <v>5.6161331196002875E-2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1.185906184594963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1.3539956307764309</v>
      </c>
      <c r="BA205" s="88">
        <f>EXP(LN('Données projet'!B88)/'Données projet'!A88)</f>
        <v>1.201293267214846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workbookViewId="0">
      <selection activeCell="L28" sqref="L2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Chêne sessile</v>
      </c>
      <c r="B6" s="155">
        <f>'Données projet'!D9</f>
        <v>0.84719999999999995</v>
      </c>
      <c r="C6" s="156">
        <f ca="1">IF(OR('Données projet'!B9="",'Données projet'!C9="",'Données projet'!C9=0%),0,Calculateur!S3)</f>
        <v>371.75294069149942</v>
      </c>
      <c r="D6" s="156">
        <f>IF(OR('Données projet'!B9="",'Données projet'!C9="",'Données projet'!C9=0%),0,Calculateur!T3)</f>
        <v>233.32640143610547</v>
      </c>
      <c r="E6" s="156">
        <f ca="1">MIN(C6,D6)</f>
        <v>233.32640143610547</v>
      </c>
      <c r="F6" s="156">
        <f ca="1">E6*B6</f>
        <v>197.67412729666853</v>
      </c>
      <c r="G6" s="156">
        <f ca="1">F6*(100%-'Données projet'!$C$24)*(100%-'Données projet'!$C$25)*(100%-'Données projet'!$C$26)*(100%-'Données projet'!$C$27)</f>
        <v>151.22070738195143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6.1421999999999999</v>
      </c>
      <c r="K6" s="160">
        <f>J6*(100%-'Données projet'!$C$24)*(100%-'Données projet'!$C$25)*(100%-'Données projet'!$C$26)*(100%-'Données projet'!$C$27)</f>
        <v>4.6987830000000006</v>
      </c>
      <c r="L6" s="161">
        <f ca="1">G6+I6+K6</f>
        <v>155.91949038195142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Douglas</v>
      </c>
      <c r="B7" s="163">
        <f>'Données projet'!D10</f>
        <v>1.9062000000000001</v>
      </c>
      <c r="C7" s="156">
        <f ca="1">IF(OR('Données projet'!B10="",'Données projet'!C10="",'Données projet'!C10=0%),0,Calculateur!AN3)</f>
        <v>405.09126081846171</v>
      </c>
      <c r="D7" s="156">
        <f>IF(OR('Données projet'!B10="",'Données projet'!C10="",'Données projet'!C10=0%),0,Calculateur!AO3)</f>
        <v>534.22295841722166</v>
      </c>
      <c r="E7" s="156">
        <f t="shared" ref="E7:E15" ca="1" si="0">MIN(C7,D7)</f>
        <v>405.09126081846171</v>
      </c>
      <c r="F7" s="156">
        <f t="shared" ref="F7:F15" ca="1" si="1">E7*B7</f>
        <v>772.18496137215175</v>
      </c>
      <c r="G7" s="156">
        <f ca="1">F7*(100%-'Données projet'!$C$24)*(100%-'Données projet'!$C$25)*(100%-'Données projet'!$C$26)*(100%-'Données projet'!$C$27)</f>
        <v>590.72149544969602</v>
      </c>
      <c r="H7" s="164">
        <f>IF(OR('Données projet'!B10="",'Données projet'!C10="",'Données projet'!C10=0%),0,AVERAGE(Calculateur!$AX$3:$AX$33)*B7)</f>
        <v>15.361728252040505</v>
      </c>
      <c r="I7" s="158">
        <f>H7*(100%-'Données projet'!$C$24)*(100%-'Données projet'!$C$25)*(100%-'Données projet'!$C$26)*(100%-'Données projet'!$C$27)</f>
        <v>11.751722112810986</v>
      </c>
      <c r="J7" s="159">
        <f>IF(OR('Données projet'!B10="",'Données projet'!C10="",'Données projet'!C10=0%),0,SUM(Calculateur!$AQ$3:$AQ$33)*VLOOKUP('Données projet'!$B$10,Paramètres!$A$1:$I$89,9,0)*B7)</f>
        <v>169.81840188000001</v>
      </c>
      <c r="K7" s="160">
        <f>J7*(100%-'Données projet'!$C$24)*(100%-'Données projet'!$C$25)*(100%-'Données projet'!$C$26)*(100%-'Données projet'!$C$27)</f>
        <v>129.91107743820001</v>
      </c>
      <c r="L7" s="161">
        <f t="shared" ref="L7:L15" ca="1" si="2">G7+I7+K7</f>
        <v>732.38429500070697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Pin sylvestre</v>
      </c>
      <c r="B8" s="163">
        <f>'Données projet'!D11</f>
        <v>0.77659999999999996</v>
      </c>
      <c r="C8" s="156">
        <f ca="1">IF(OR('Données projet'!B11="",'Données projet'!C11="",'Données projet'!C11=0%),0,Calculateur!BI3)</f>
        <v>258.09881752732008</v>
      </c>
      <c r="D8" s="156">
        <f>IF(OR('Données projet'!B11="",'Données projet'!C11="",'Données projet'!C11=0%),0,Calculateur!BJ3)</f>
        <v>214.72899476643335</v>
      </c>
      <c r="E8" s="156">
        <f t="shared" ca="1" si="0"/>
        <v>214.72899476643335</v>
      </c>
      <c r="F8" s="156">
        <f t="shared" ca="1" si="1"/>
        <v>166.75853733561212</v>
      </c>
      <c r="G8" s="156">
        <f ca="1">F8*(100%-'Données projet'!$C$24)*(100%-'Données projet'!$C$25)*(100%-'Données projet'!$C$26)*(100%-'Données projet'!$C$27)</f>
        <v>127.57028106174327</v>
      </c>
      <c r="H8" s="164">
        <f>IF(OR('Données projet'!B11="",'Données projet'!C11="",'Données projet'!C11=0%),0,AVERAGE(Calculateur!$BS$3:$BS$33)*B8)</f>
        <v>0.8130376852862603</v>
      </c>
      <c r="I8" s="158">
        <f>H8*(100%-'Données projet'!$C$24)*(100%-'Données projet'!$C$25)*(100%-'Données projet'!$C$26)*(100%-'Données projet'!$C$27)</f>
        <v>0.62197382924398914</v>
      </c>
      <c r="J8" s="159">
        <f>IF(OR('Données projet'!B11="",'Données projet'!C11="",'Données projet'!C11=0%),0,SUM(Calculateur!$BL$3:$BL$33)*VLOOKUP('Données projet'!$B$11,Paramètres!$A$1:$I$89,9,0)*B8)</f>
        <v>11.687829999999998</v>
      </c>
      <c r="K8" s="160">
        <f>J8*(100%-'Données projet'!$C$24)*(100%-'Données projet'!$C$25)*(100%-'Données projet'!$C$26)*(100%-'Données projet'!$C$27)</f>
        <v>8.9411899499999983</v>
      </c>
      <c r="L8" s="161">
        <f t="shared" ca="1" si="2"/>
        <v>137.13344484098727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1136.6176260044324</v>
      </c>
      <c r="G16" s="175">
        <f t="shared" ca="1" si="3"/>
        <v>869.51248389339071</v>
      </c>
      <c r="H16" s="176">
        <f t="shared" si="3"/>
        <v>16.174765937326764</v>
      </c>
      <c r="I16" s="176">
        <f t="shared" si="3"/>
        <v>12.373695942054976</v>
      </c>
      <c r="J16" s="177">
        <f t="shared" si="3"/>
        <v>187.64843188</v>
      </c>
      <c r="K16" s="177">
        <f t="shared" si="3"/>
        <v>143.5510503882</v>
      </c>
      <c r="L16" s="178">
        <f t="shared" ca="1" si="3"/>
        <v>1025.4372302236457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Chêne sessile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Douglas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Pin sylvestre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D1" zoomScale="90" zoomScaleNormal="90" workbookViewId="0">
      <selection activeCell="I24" sqref="I24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sessile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1262.2336676238142</v>
      </c>
      <c r="U10" s="190">
        <f>'Données projet'!D9</f>
        <v>0.84719999999999995</v>
      </c>
      <c r="V10" s="189">
        <f>U10*T10</f>
        <v>1069.3643632108954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Douglas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3940.039158152797</v>
      </c>
      <c r="U11" s="190">
        <f>'Données projet'!D10</f>
        <v>1.9062000000000001</v>
      </c>
      <c r="V11" s="189">
        <f t="shared" ref="V11" si="0">U11*T11</f>
        <v>7510.5026432708619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Pin sylvestre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1819.4797702723422</v>
      </c>
      <c r="U12" s="190">
        <f>'Données projet'!D11</f>
        <v>0.77659999999999996</v>
      </c>
      <c r="V12" s="189">
        <f t="shared" ref="V12:V19" si="1">U12*T12</f>
        <v>1413.007989593501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Chêne sessile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1</v>
      </c>
      <c r="I20" s="204">
        <f>19639/3.53</f>
        <v>5563.456090651558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2</v>
      </c>
      <c r="I21" s="204">
        <f>4144/3.53</f>
        <v>1173.9376770538245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3</v>
      </c>
      <c r="I22" s="204">
        <f>4144/3.53</f>
        <v>1173.9376770538245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25</v>
      </c>
      <c r="B23" s="193">
        <f>'Données projet'!D36</f>
        <v>8</v>
      </c>
      <c r="C23" s="206">
        <v>10</v>
      </c>
      <c r="D23" s="194">
        <f>B23*C23</f>
        <v>80</v>
      </c>
      <c r="E23" s="206"/>
      <c r="F23" s="261"/>
      <c r="H23" s="203">
        <v>4</v>
      </c>
      <c r="I23" s="204">
        <f>4144/3.53</f>
        <v>1173.9376770538245</v>
      </c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-19701.582692312964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30</v>
      </c>
      <c r="B24" s="193">
        <f>'Données projet'!D37</f>
        <v>21</v>
      </c>
      <c r="C24" s="206">
        <v>10</v>
      </c>
      <c r="D24" s="194">
        <f t="shared" ref="D24:D42" si="2">B24*C24</f>
        <v>210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35</v>
      </c>
      <c r="B25" s="193">
        <f>'Données projet'!D38</f>
        <v>21</v>
      </c>
      <c r="C25" s="206">
        <v>10</v>
      </c>
      <c r="D25" s="194">
        <f t="shared" si="2"/>
        <v>210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1">
        <f ca="1">T23-T24</f>
        <v>-19701.582692312964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40</v>
      </c>
      <c r="B26" s="193">
        <f>'Données projet'!D39</f>
        <v>21</v>
      </c>
      <c r="C26" s="206">
        <v>10</v>
      </c>
      <c r="D26" s="194">
        <f t="shared" si="2"/>
        <v>210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45</v>
      </c>
      <c r="B27" s="193">
        <f>'Données projet'!D40</f>
        <v>21</v>
      </c>
      <c r="C27" s="206">
        <v>20</v>
      </c>
      <c r="D27" s="194">
        <f t="shared" si="2"/>
        <v>420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50</v>
      </c>
      <c r="B28" s="193">
        <f>'Données projet'!D41</f>
        <v>21</v>
      </c>
      <c r="C28" s="206">
        <v>30</v>
      </c>
      <c r="D28" s="194">
        <f t="shared" si="2"/>
        <v>630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55</v>
      </c>
      <c r="B29" s="193">
        <f>'Données projet'!D42</f>
        <v>21</v>
      </c>
      <c r="C29" s="206">
        <v>30</v>
      </c>
      <c r="D29" s="194">
        <f t="shared" si="2"/>
        <v>630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60</v>
      </c>
      <c r="B30" s="193">
        <f>'Données projet'!D43</f>
        <v>21</v>
      </c>
      <c r="C30" s="206">
        <v>40</v>
      </c>
      <c r="D30" s="194">
        <f t="shared" si="2"/>
        <v>840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65</v>
      </c>
      <c r="B31" s="193">
        <f>'Données projet'!D44</f>
        <v>21</v>
      </c>
      <c r="C31" s="206">
        <v>50</v>
      </c>
      <c r="D31" s="194">
        <f t="shared" si="2"/>
        <v>1050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70</v>
      </c>
      <c r="B32" s="193">
        <f>'Données projet'!D45</f>
        <v>21</v>
      </c>
      <c r="C32" s="206">
        <v>60</v>
      </c>
      <c r="D32" s="194">
        <f t="shared" si="2"/>
        <v>1260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75</v>
      </c>
      <c r="B33" s="193">
        <f>'Données projet'!D46</f>
        <v>21</v>
      </c>
      <c r="C33" s="206">
        <v>70</v>
      </c>
      <c r="D33" s="194">
        <f t="shared" si="2"/>
        <v>1470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80</v>
      </c>
      <c r="B34" s="193">
        <f>'Données projet'!D47</f>
        <v>21</v>
      </c>
      <c r="C34" s="206">
        <v>70</v>
      </c>
      <c r="D34" s="194">
        <f t="shared" si="2"/>
        <v>1470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85</v>
      </c>
      <c r="B35" s="193">
        <f>'Données projet'!D48</f>
        <v>21</v>
      </c>
      <c r="C35" s="206">
        <v>80</v>
      </c>
      <c r="D35" s="194">
        <f t="shared" si="2"/>
        <v>1680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90</v>
      </c>
      <c r="B36" s="193">
        <f>'Données projet'!D49</f>
        <v>21</v>
      </c>
      <c r="C36" s="206">
        <v>80</v>
      </c>
      <c r="D36" s="194">
        <f t="shared" si="2"/>
        <v>1680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95</v>
      </c>
      <c r="B37" s="193">
        <f>'Données projet'!D50</f>
        <v>21</v>
      </c>
      <c r="C37" s="206">
        <v>90</v>
      </c>
      <c r="D37" s="194">
        <f t="shared" si="2"/>
        <v>1890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100</v>
      </c>
      <c r="B38" s="193">
        <f>'Données projet'!D51</f>
        <v>21</v>
      </c>
      <c r="C38" s="206">
        <v>90</v>
      </c>
      <c r="D38" s="194">
        <f t="shared" si="2"/>
        <v>1890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105</v>
      </c>
      <c r="B39" s="193">
        <f>'Données projet'!D52</f>
        <v>20</v>
      </c>
      <c r="C39" s="206">
        <v>130</v>
      </c>
      <c r="D39" s="194">
        <f t="shared" si="2"/>
        <v>2600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110</v>
      </c>
      <c r="B40" s="193">
        <f>'Données projet'!D53</f>
        <v>19</v>
      </c>
      <c r="C40" s="206">
        <v>200</v>
      </c>
      <c r="D40" s="194">
        <f t="shared" si="2"/>
        <v>3800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115</v>
      </c>
      <c r="B41" s="193">
        <f>'Données projet'!D54</f>
        <v>18</v>
      </c>
      <c r="C41" s="206">
        <v>250</v>
      </c>
      <c r="D41" s="194">
        <f t="shared" si="2"/>
        <v>4500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120</v>
      </c>
      <c r="B42" s="193">
        <f>'Données projet'!D55</f>
        <v>283</v>
      </c>
      <c r="C42" s="206">
        <v>300</v>
      </c>
      <c r="D42" s="194">
        <f t="shared" si="2"/>
        <v>84900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Douglas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17</v>
      </c>
      <c r="B54" s="193">
        <f>'Données projet'!D62</f>
        <v>0</v>
      </c>
      <c r="C54" s="204">
        <v>12</v>
      </c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18</v>
      </c>
      <c r="B55" s="193">
        <f>'Données projet'!D63</f>
        <v>74.819999999999993</v>
      </c>
      <c r="C55" s="204">
        <v>18</v>
      </c>
      <c r="D55" s="191">
        <f t="shared" ref="D55:D73" si="4">B55*C55</f>
        <v>1346.7599999999998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19</v>
      </c>
      <c r="B56" s="193">
        <f>'Données projet'!D64</f>
        <v>0</v>
      </c>
      <c r="C56" s="204">
        <v>24</v>
      </c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23</v>
      </c>
      <c r="B57" s="193">
        <f>'Données projet'!D65</f>
        <v>0</v>
      </c>
      <c r="C57" s="204">
        <v>35</v>
      </c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24</v>
      </c>
      <c r="B58" s="193">
        <f>'Données projet'!D66</f>
        <v>51.39</v>
      </c>
      <c r="C58" s="204">
        <v>46</v>
      </c>
      <c r="D58" s="191">
        <f t="shared" si="4"/>
        <v>2363.94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26</v>
      </c>
      <c r="B59" s="193">
        <f>'Données projet'!D67</f>
        <v>0</v>
      </c>
      <c r="C59" s="204">
        <v>54</v>
      </c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28</v>
      </c>
      <c r="B60" s="193">
        <f>'Données projet'!D68</f>
        <v>0</v>
      </c>
      <c r="C60" s="204">
        <v>62</v>
      </c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30</v>
      </c>
      <c r="B61" s="193">
        <f>'Données projet'!D69</f>
        <v>80.97</v>
      </c>
      <c r="C61" s="204">
        <v>75</v>
      </c>
      <c r="D61" s="191">
        <f t="shared" si="4"/>
        <v>6072.75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32</v>
      </c>
      <c r="B62" s="193">
        <f>'Données projet'!D70</f>
        <v>0</v>
      </c>
      <c r="C62" s="204">
        <v>85</v>
      </c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34</v>
      </c>
      <c r="B63" s="193">
        <f>'Données projet'!D71</f>
        <v>0</v>
      </c>
      <c r="C63" s="204">
        <v>85</v>
      </c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36</v>
      </c>
      <c r="B64" s="193">
        <f>'Données projet'!D72</f>
        <v>85.88</v>
      </c>
      <c r="C64" s="204">
        <v>85</v>
      </c>
      <c r="D64" s="191">
        <f t="shared" si="4"/>
        <v>7299.7999999999993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38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40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42</v>
      </c>
      <c r="B67" s="193">
        <f>'Données projet'!D75</f>
        <v>91.25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44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46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48</v>
      </c>
      <c r="B70" s="193">
        <f>'Données projet'!D78</f>
        <v>101.34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50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52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54</v>
      </c>
      <c r="B73" s="193">
        <f>'Données projet'!D81</f>
        <v>707.75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Pin sylvestre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25</v>
      </c>
      <c r="B85" s="193">
        <f>'Données projet'!D88</f>
        <v>12</v>
      </c>
      <c r="C85" s="204">
        <v>20</v>
      </c>
      <c r="D85" s="191">
        <f>B85*C85</f>
        <v>240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30</v>
      </c>
      <c r="B86" s="193">
        <f>'Données projet'!D89</f>
        <v>23</v>
      </c>
      <c r="C86" s="204">
        <v>25</v>
      </c>
      <c r="D86" s="191">
        <f t="shared" ref="D86:D104" si="6">B86*C86</f>
        <v>575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35</v>
      </c>
      <c r="B87" s="193">
        <f>'Données projet'!D90</f>
        <v>28</v>
      </c>
      <c r="C87" s="204">
        <v>30</v>
      </c>
      <c r="D87" s="191">
        <f t="shared" si="6"/>
        <v>840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40</v>
      </c>
      <c r="B88" s="193">
        <f>'Données projet'!D91</f>
        <v>37</v>
      </c>
      <c r="C88" s="204">
        <v>35</v>
      </c>
      <c r="D88" s="191">
        <f t="shared" si="6"/>
        <v>1295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str">
        <f>IF(O87+1&lt;=MIN('Données projet'!$E$9:$E$18),O87+1,"STOP")</f>
        <v>STOP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50</v>
      </c>
      <c r="B89" s="193">
        <f>'Données projet'!D92</f>
        <v>65</v>
      </c>
      <c r="C89" s="204">
        <v>40</v>
      </c>
      <c r="D89" s="191">
        <f t="shared" si="6"/>
        <v>2600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60</v>
      </c>
      <c r="B90" s="193">
        <f>'Données projet'!D93</f>
        <v>60</v>
      </c>
      <c r="C90" s="204">
        <v>45</v>
      </c>
      <c r="D90" s="191">
        <f t="shared" si="6"/>
        <v>2700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70</v>
      </c>
      <c r="B91" s="193">
        <f>'Données projet'!D94</f>
        <v>52</v>
      </c>
      <c r="C91" s="204">
        <v>50</v>
      </c>
      <c r="D91" s="191">
        <f t="shared" si="6"/>
        <v>2600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80</v>
      </c>
      <c r="B92" s="193">
        <f>'Données projet'!D95</f>
        <v>395</v>
      </c>
      <c r="C92" s="204">
        <v>50</v>
      </c>
      <c r="D92" s="191">
        <f t="shared" si="6"/>
        <v>19750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2024-06-17T09:32:58Z</dcterms:modified>
</cp:coreProperties>
</file>