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DE ROUGé (Montguillon) - 15794271 LE/"/>
    </mc:Choice>
  </mc:AlternateContent>
  <xr:revisionPtr revIDLastSave="148" documentId="13_ncr:1_{91C62E09-7A97-40C6-8A6D-8C8B5668C142}" xr6:coauthVersionLast="47" xr6:coauthVersionMax="47" xr10:uidLastSave="{9227EFDB-618A-4BDB-ADAE-921BAA2895A3}"/>
  <bookViews>
    <workbookView xWindow="-28920" yWindow="7515" windowWidth="29040" windowHeight="1572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4" i="6"/>
  <c r="I21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H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B179" i="2"/>
  <c r="HH179" i="2"/>
  <c r="EV179" i="2"/>
  <c r="EY179" i="2" s="1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D192" i="2" s="1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Z6" i="2"/>
  <c r="EW202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" i="2" a="1"/>
  <c r="GT11" i="2" s="1"/>
  <c r="EI166" i="2" a="1"/>
  <c r="EI166" i="2" s="1"/>
  <c r="EI106" i="2" a="1"/>
  <c r="EI106" i="2" s="1"/>
  <c r="DN50" i="2" a="1"/>
  <c r="DN50" i="2" s="1"/>
  <c r="CS116" i="2" a="1"/>
  <c r="CS116" i="2" s="1"/>
  <c r="EI195" i="2" a="1"/>
  <c r="EI195" i="2" s="1"/>
  <c r="CS137" i="2" a="1"/>
  <c r="CS137" i="2" s="1"/>
  <c r="AH151" i="2" a="1"/>
  <c r="AH151" i="2" s="1"/>
  <c r="DN103" i="2" a="1"/>
  <c r="DN103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EI38" i="2" a="1"/>
  <c r="EI38" i="2" s="1"/>
  <c r="EI109" i="2" a="1"/>
  <c r="EI109" i="2" s="1"/>
  <c r="EI87" i="2" a="1"/>
  <c r="EI87" i="2" s="1"/>
  <c r="EI36" i="2" a="1"/>
  <c r="EI3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80" i="2" a="1"/>
  <c r="DN80" i="2" s="1"/>
  <c r="DN190" i="2" a="1"/>
  <c r="DN190" i="2" s="1"/>
  <c r="DN6" i="2" a="1"/>
  <c r="DN6" i="2" s="1"/>
  <c r="DO6" i="2" s="1"/>
  <c r="CS134" i="2" a="1"/>
  <c r="CS134" i="2" s="1"/>
  <c r="CS72" i="2" a="1"/>
  <c r="CS72" i="2" s="1"/>
  <c r="FD82" i="2" a="1"/>
  <c r="FD82" i="2" s="1"/>
  <c r="HJ202" i="2"/>
  <c r="EY202" i="2"/>
  <c r="AX200" i="2"/>
  <c r="BC83" i="2" l="1" a="1"/>
  <c r="BC83" i="2" s="1"/>
  <c r="BC58" i="2" a="1"/>
  <c r="BC58" i="2" s="1"/>
  <c r="BC68" i="2" a="1"/>
  <c r="BC68" i="2" s="1"/>
  <c r="BC151" i="2" a="1"/>
  <c r="BC151" i="2" s="1"/>
  <c r="BC7" i="2" a="1"/>
  <c r="BC7" i="2" s="1"/>
  <c r="BC34" i="2" a="1"/>
  <c r="BC34" i="2" s="1"/>
  <c r="DN133" i="2" a="1"/>
  <c r="DN133" i="2" s="1"/>
  <c r="DN65" i="2" a="1"/>
  <c r="DN65" i="2" s="1"/>
  <c r="DN123" i="2" a="1"/>
  <c r="DN123" i="2" s="1"/>
  <c r="DN29" i="2" a="1"/>
  <c r="DN29" i="2" s="1"/>
  <c r="DN150" i="2" a="1"/>
  <c r="DN150" i="2" s="1"/>
  <c r="DN45" i="2" a="1"/>
  <c r="DN45" i="2" s="1"/>
  <c r="FY142" i="2" a="1"/>
  <c r="FY142" i="2" s="1"/>
  <c r="GT122" i="2" a="1"/>
  <c r="GT122" i="2" s="1"/>
  <c r="GT38" i="2" a="1"/>
  <c r="GT38" i="2" s="1"/>
  <c r="CS129" i="2" a="1"/>
  <c r="CS129" i="2" s="1"/>
  <c r="GT126" i="2" a="1"/>
  <c r="GT126" i="2" s="1"/>
  <c r="CS52" i="2" a="1"/>
  <c r="CS52" i="2" s="1"/>
  <c r="DN135" i="2" a="1"/>
  <c r="DN135" i="2" s="1"/>
  <c r="GT74" i="2" a="1"/>
  <c r="GT74" i="2" s="1"/>
  <c r="CS105" i="2" a="1"/>
  <c r="CS105" i="2" s="1"/>
  <c r="DN115" i="2" a="1"/>
  <c r="DN115" i="2" s="1"/>
  <c r="DN124" i="2" a="1"/>
  <c r="DN124" i="2" s="1"/>
  <c r="GT181" i="2" a="1"/>
  <c r="GT181" i="2" s="1"/>
  <c r="FY78" i="2" a="1"/>
  <c r="FY78" i="2" s="1"/>
  <c r="DN113" i="2" a="1"/>
  <c r="DN113" i="2" s="1"/>
  <c r="DN168" i="2" a="1"/>
  <c r="DN168" i="2" s="1"/>
  <c r="DN70" i="2" a="1"/>
  <c r="DN70" i="2" s="1"/>
  <c r="DN184" i="2" a="1"/>
  <c r="DN184" i="2" s="1"/>
  <c r="DN55" i="2" a="1"/>
  <c r="DN55" i="2" s="1"/>
  <c r="GT147" i="2" a="1"/>
  <c r="GT147" i="2" s="1"/>
  <c r="GT138" i="2" a="1"/>
  <c r="GT138" i="2" s="1"/>
  <c r="GT152" i="2" a="1"/>
  <c r="GT152" i="2" s="1"/>
  <c r="BX107" i="2" a="1"/>
  <c r="BX107" i="2" s="1"/>
  <c r="GT107" i="2" a="1"/>
  <c r="GT107" i="2" s="1"/>
  <c r="DN41" i="2" a="1"/>
  <c r="DN41" i="2" s="1"/>
  <c r="GT174" i="2" a="1"/>
  <c r="GT174" i="2" s="1"/>
  <c r="DN192" i="2" a="1"/>
  <c r="DN192" i="2" s="1"/>
  <c r="EI16" i="2" a="1"/>
  <c r="EI16" i="2" s="1"/>
  <c r="DN66" i="2" a="1"/>
  <c r="DN66" i="2" s="1"/>
  <c r="GT121" i="2" a="1"/>
  <c r="GT121" i="2" s="1"/>
  <c r="EI113" i="2" a="1"/>
  <c r="EI113" i="2" s="1"/>
  <c r="DN188" i="2" a="1"/>
  <c r="DN188" i="2" s="1"/>
  <c r="DN137" i="2" a="1"/>
  <c r="DN137" i="2" s="1"/>
  <c r="CS24" i="2" a="1"/>
  <c r="CS24" i="2" s="1"/>
  <c r="GT51" i="2" a="1"/>
  <c r="GT51" i="2" s="1"/>
  <c r="EI20" i="2" a="1"/>
  <c r="EI20" i="2" s="1"/>
  <c r="DN177" i="2" a="1"/>
  <c r="DN177" i="2" s="1"/>
  <c r="FY190" i="2" a="1"/>
  <c r="FY190" i="2" s="1"/>
  <c r="DN30" i="2" a="1"/>
  <c r="DN30" i="2" s="1"/>
  <c r="DN46" i="2" a="1"/>
  <c r="DN46" i="2" s="1"/>
  <c r="DN38" i="2" a="1"/>
  <c r="DN38" i="2" s="1"/>
  <c r="EI165" i="2" a="1"/>
  <c r="EI165" i="2" s="1"/>
  <c r="GT178" i="2" a="1"/>
  <c r="GT178" i="2" s="1"/>
  <c r="CS161" i="2" a="1"/>
  <c r="CS161" i="2" s="1"/>
  <c r="DN153" i="2" a="1"/>
  <c r="DN153" i="2" s="1"/>
  <c r="CS66" i="2" a="1"/>
  <c r="CS66" i="2" s="1"/>
  <c r="GT184" i="2" a="1"/>
  <c r="GT184" i="2" s="1"/>
  <c r="FY186" i="2" a="1"/>
  <c r="FY186" i="2" s="1"/>
  <c r="GT15" i="2" a="1"/>
  <c r="GT15" i="2" s="1"/>
  <c r="DN152" i="2" a="1"/>
  <c r="DN152" i="2" s="1"/>
  <c r="DN110" i="2" a="1"/>
  <c r="DN110" i="2" s="1"/>
  <c r="DN167" i="2" a="1"/>
  <c r="DN167" i="2" s="1"/>
  <c r="DN43" i="2" a="1"/>
  <c r="DN43" i="2" s="1"/>
  <c r="GT190" i="2" a="1"/>
  <c r="GT190" i="2" s="1"/>
  <c r="FS203" i="2"/>
  <c r="GT191" i="2" a="1"/>
  <c r="GT191" i="2" s="1"/>
  <c r="EI128" i="2" a="1"/>
  <c r="EI128" i="2" s="1"/>
  <c r="DN86" i="2" a="1"/>
  <c r="DN86" i="2" s="1"/>
  <c r="DN132" i="2" a="1"/>
  <c r="DN132" i="2" s="1"/>
  <c r="GT68" i="2" a="1"/>
  <c r="GT68" i="2" s="1"/>
  <c r="CS114" i="2" a="1"/>
  <c r="CS114" i="2" s="1"/>
  <c r="EI71" i="2" a="1"/>
  <c r="EI71" i="2" s="1"/>
  <c r="GT189" i="2" a="1"/>
  <c r="GT189" i="2" s="1"/>
  <c r="CS77" i="2" a="1"/>
  <c r="CS77" i="2" s="1"/>
  <c r="DN170" i="2" a="1"/>
  <c r="DN170" i="2" s="1"/>
  <c r="DN155" i="2" a="1"/>
  <c r="DN155" i="2" s="1"/>
  <c r="GT115" i="2" a="1"/>
  <c r="GT115" i="2" s="1"/>
  <c r="FY69" i="2" a="1"/>
  <c r="FY69" i="2" s="1"/>
  <c r="DN25" i="2" a="1"/>
  <c r="DN25" i="2" s="1"/>
  <c r="DN63" i="2" a="1"/>
  <c r="DN63" i="2" s="1"/>
  <c r="GT102" i="2" a="1"/>
  <c r="GT102" i="2" s="1"/>
  <c r="DN187" i="2" a="1"/>
  <c r="DN187" i="2" s="1"/>
  <c r="DN31" i="2" a="1"/>
  <c r="DN31" i="2" s="1"/>
  <c r="FD48" i="2" a="1"/>
  <c r="FD48" i="2" s="1"/>
  <c r="GT33" i="2" a="1"/>
  <c r="GT33" i="2" s="1"/>
  <c r="FD188" i="2" a="1"/>
  <c r="FD188" i="2" s="1"/>
  <c r="GT133" i="2" a="1"/>
  <c r="GT133" i="2" s="1"/>
  <c r="DN16" i="2" a="1"/>
  <c r="DN16" i="2" s="1"/>
  <c r="DN186" i="2" a="1"/>
  <c r="DN186" i="2" s="1"/>
  <c r="DN162" i="2" a="1"/>
  <c r="DN162" i="2" s="1"/>
  <c r="FY30" i="2" a="1"/>
  <c r="FY30" i="2" s="1"/>
  <c r="DN49" i="2" a="1"/>
  <c r="DN49" i="2" s="1"/>
  <c r="FY196" i="2" a="1"/>
  <c r="FY196" i="2" s="1"/>
  <c r="FY104" i="2" a="1"/>
  <c r="FY104" i="2" s="1"/>
  <c r="DN164" i="2" a="1"/>
  <c r="DN164" i="2" s="1"/>
  <c r="CS38" i="2" a="1"/>
  <c r="CS38" i="2" s="1"/>
  <c r="EI34" i="2" a="1"/>
  <c r="EI34" i="2" s="1"/>
  <c r="DN176" i="2" a="1"/>
  <c r="DN176" i="2" s="1"/>
  <c r="CS56" i="2" a="1"/>
  <c r="CS56" i="2" s="1"/>
  <c r="EI57" i="2" a="1"/>
  <c r="EI57" i="2" s="1"/>
  <c r="GT198" i="2" a="1"/>
  <c r="GT198" i="2" s="1"/>
  <c r="DN114" i="2" a="1"/>
  <c r="DN114" i="2" s="1"/>
  <c r="DN129" i="2" a="1"/>
  <c r="DN129" i="2" s="1"/>
  <c r="EI142" i="2" a="1"/>
  <c r="EI142" i="2" s="1"/>
  <c r="DN56" i="2" a="1"/>
  <c r="DN56" i="2" s="1"/>
  <c r="FY35" i="2" a="1"/>
  <c r="FY35" i="2" s="1"/>
  <c r="AH163" i="2" a="1"/>
  <c r="AH163" i="2" s="1"/>
  <c r="AH166" i="2" a="1"/>
  <c r="AH166" i="2" s="1"/>
  <c r="AH92" i="2" a="1"/>
  <c r="AH92" i="2" s="1"/>
  <c r="AH62" i="2" a="1"/>
  <c r="AH62" i="2" s="1"/>
  <c r="AH199" i="2" a="1"/>
  <c r="AH199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AN126" i="2" s="1"/>
  <c r="BS74" i="2"/>
  <c r="BE76" i="2"/>
  <c r="BF75" i="2"/>
  <c r="BG75" i="2" s="1"/>
  <c r="BH75" i="2" s="1"/>
  <c r="AN191" i="2" l="1"/>
  <c r="AN32" i="2"/>
  <c r="AN169" i="2"/>
  <c r="AN17" i="2"/>
  <c r="AN56" i="2"/>
  <c r="AN10" i="2"/>
  <c r="AN196" i="2"/>
  <c r="AN24" i="2"/>
  <c r="AN44" i="2"/>
  <c r="AN130" i="2"/>
  <c r="AN147" i="2"/>
  <c r="AN114" i="2"/>
  <c r="AN39" i="2"/>
  <c r="AN81" i="2"/>
  <c r="AN158" i="2"/>
  <c r="AN89" i="2"/>
  <c r="AN152" i="2"/>
  <c r="AN173" i="2"/>
  <c r="AN15" i="2"/>
  <c r="AN71" i="2"/>
  <c r="AN40" i="2"/>
  <c r="AN124" i="2"/>
  <c r="AN198" i="2"/>
  <c r="AN87" i="2"/>
  <c r="AN41" i="2"/>
  <c r="AN28" i="2"/>
  <c r="AN186" i="2"/>
  <c r="AN99" i="2"/>
  <c r="AN76" i="2"/>
  <c r="AN118" i="2"/>
  <c r="AN159" i="2"/>
  <c r="AN16" i="2"/>
  <c r="AN135" i="2"/>
  <c r="AN192" i="2"/>
  <c r="AN8" i="2"/>
  <c r="AN154" i="2"/>
  <c r="AN116" i="2"/>
  <c r="AN48" i="2"/>
  <c r="AN68" i="2"/>
  <c r="AN143" i="2"/>
  <c r="AN197" i="2"/>
  <c r="AN180" i="2"/>
  <c r="AN84" i="2"/>
  <c r="AN107" i="2"/>
  <c r="AN166" i="2"/>
  <c r="AN37" i="2"/>
  <c r="AN43" i="2"/>
  <c r="AN167" i="2"/>
  <c r="AN161" i="2"/>
  <c r="AN175" i="2"/>
  <c r="AN88" i="2"/>
  <c r="AN46" i="2"/>
  <c r="AN200" i="2"/>
  <c r="AN121" i="2"/>
  <c r="AN35" i="2"/>
  <c r="AN123" i="2"/>
  <c r="AN50" i="2"/>
  <c r="AN22" i="2"/>
  <c r="AN6" i="2"/>
  <c r="AN18" i="2"/>
  <c r="AN45" i="2"/>
  <c r="AN201" i="2"/>
  <c r="AN120" i="2"/>
  <c r="AN172" i="2"/>
  <c r="AN21" i="2"/>
  <c r="AN105" i="2"/>
  <c r="AN36" i="2"/>
  <c r="AN112" i="2"/>
  <c r="AN62" i="2"/>
  <c r="AN165" i="2"/>
  <c r="AN129" i="2"/>
  <c r="AN163" i="2"/>
  <c r="AN185" i="2"/>
  <c r="AN104" i="2"/>
  <c r="AN65" i="2"/>
  <c r="AN69" i="2"/>
  <c r="AN131" i="2"/>
  <c r="AN64" i="2"/>
  <c r="AN11" i="2"/>
  <c r="AN151" i="2"/>
  <c r="AN95" i="2"/>
  <c r="AN162" i="2"/>
  <c r="AN86" i="2"/>
  <c r="AN78" i="2"/>
  <c r="AN52" i="2"/>
  <c r="AN5" i="2"/>
  <c r="AN117" i="2"/>
  <c r="AN194" i="2"/>
  <c r="AN7" i="2"/>
  <c r="AN31" i="2"/>
  <c r="AN63" i="2"/>
  <c r="AN136" i="2"/>
  <c r="AN138" i="2"/>
  <c r="AN60" i="2"/>
  <c r="AN176" i="2"/>
  <c r="AN168" i="2"/>
  <c r="AN155" i="2"/>
  <c r="AN100" i="2"/>
  <c r="AN115" i="2"/>
  <c r="AN72" i="2"/>
  <c r="AN103" i="2"/>
  <c r="AN20" i="2"/>
  <c r="AN184" i="2"/>
  <c r="AN113" i="2"/>
  <c r="AN188" i="2"/>
  <c r="AN187" i="2"/>
  <c r="AN146" i="2"/>
  <c r="AN67" i="2"/>
  <c r="AN164" i="2"/>
  <c r="AN12" i="2"/>
  <c r="AN160" i="2"/>
  <c r="AN195" i="2"/>
  <c r="AN26" i="2"/>
  <c r="AN142" i="2"/>
  <c r="AN49" i="2"/>
  <c r="AN102" i="2"/>
  <c r="AN141" i="2"/>
  <c r="AN73" i="2"/>
  <c r="AN97" i="2"/>
  <c r="AN42" i="2"/>
  <c r="AN171" i="2"/>
  <c r="AN96" i="2"/>
  <c r="AN119" i="2"/>
  <c r="AN157" i="2"/>
  <c r="AN91" i="2"/>
  <c r="AN4" i="2"/>
  <c r="AN47" i="2"/>
  <c r="AN133" i="2"/>
  <c r="AN90" i="2"/>
  <c r="AN54" i="2"/>
  <c r="AN82" i="2"/>
  <c r="AN109" i="2"/>
  <c r="AN77" i="2"/>
  <c r="AN74" i="2"/>
  <c r="AN106" i="2"/>
  <c r="AN57" i="2"/>
  <c r="AN94" i="2"/>
  <c r="AN110" i="2"/>
  <c r="AN140" i="2"/>
  <c r="AN3" i="2"/>
  <c r="C7" i="4" s="1"/>
  <c r="E7" i="4" s="1"/>
  <c r="F7" i="4" s="1"/>
  <c r="G7" i="4" s="1"/>
  <c r="L7" i="4" s="1"/>
  <c r="AN83" i="2"/>
  <c r="AN101" i="2"/>
  <c r="AN19" i="2"/>
  <c r="AN53" i="2"/>
  <c r="AN202" i="2"/>
  <c r="AN51" i="2"/>
  <c r="AN34" i="2"/>
  <c r="AN23" i="2"/>
  <c r="AN25" i="2"/>
  <c r="AN98" i="2"/>
  <c r="AN179" i="2"/>
  <c r="AN189" i="2"/>
  <c r="AN79" i="2"/>
  <c r="AN9" i="2"/>
  <c r="AN92" i="2"/>
  <c r="AN132" i="2"/>
  <c r="AN178" i="2"/>
  <c r="AN59" i="2"/>
  <c r="AN108" i="2"/>
  <c r="AN177" i="2"/>
  <c r="AN134" i="2"/>
  <c r="AN148" i="2"/>
  <c r="AN170" i="2"/>
  <c r="AN181" i="2"/>
  <c r="AN125" i="2"/>
  <c r="AN182" i="2"/>
  <c r="AN193" i="2"/>
  <c r="AN183" i="2"/>
  <c r="AN137" i="2"/>
  <c r="AN156" i="2"/>
  <c r="AN128" i="2"/>
  <c r="AN127" i="2"/>
  <c r="AN111" i="2"/>
  <c r="AN66" i="2"/>
  <c r="AN150" i="2"/>
  <c r="AN75" i="2"/>
  <c r="AN33" i="2"/>
  <c r="AN93" i="2"/>
  <c r="AN149" i="2"/>
  <c r="AN27" i="2"/>
  <c r="AN139" i="2"/>
  <c r="AN58" i="2"/>
  <c r="AN38" i="2"/>
  <c r="AN70" i="2"/>
  <c r="AN174" i="2"/>
  <c r="AN199" i="2"/>
  <c r="AN29" i="2"/>
  <c r="AN14" i="2"/>
  <c r="AN85" i="2"/>
  <c r="AN30" i="2"/>
  <c r="AN190" i="2"/>
  <c r="AN203" i="2"/>
  <c r="AN61" i="2"/>
  <c r="AN13" i="2"/>
  <c r="AN122" i="2"/>
  <c r="AN80" i="2"/>
  <c r="AN153" i="2"/>
  <c r="AN144" i="2"/>
  <c r="AN55" i="2"/>
  <c r="AN145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BI32" i="2" l="1"/>
  <c r="BI16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I157" i="2" s="1"/>
  <c r="BS108" i="2"/>
  <c r="BE110" i="2"/>
  <c r="BI166" i="2" l="1"/>
  <c r="BI186" i="2"/>
  <c r="BI98" i="2"/>
  <c r="BI107" i="2"/>
  <c r="BI22" i="2"/>
  <c r="BI20" i="2"/>
  <c r="BI96" i="2"/>
  <c r="BI52" i="2"/>
  <c r="BI133" i="2"/>
  <c r="BI161" i="2"/>
  <c r="BI128" i="2"/>
  <c r="BI86" i="2"/>
  <c r="BI99" i="2"/>
  <c r="BI198" i="2"/>
  <c r="BI39" i="2"/>
  <c r="BI42" i="2"/>
  <c r="BI59" i="2"/>
  <c r="BI137" i="2"/>
  <c r="BI92" i="2"/>
  <c r="BI57" i="2"/>
  <c r="BI197" i="2"/>
  <c r="BI12" i="2"/>
  <c r="BI11" i="2"/>
  <c r="BI150" i="2"/>
  <c r="BI102" i="2"/>
  <c r="BI117" i="2"/>
  <c r="BI140" i="2"/>
  <c r="BI160" i="2"/>
  <c r="BI93" i="2"/>
  <c r="BI146" i="2"/>
  <c r="BI179" i="2"/>
  <c r="BI64" i="2"/>
  <c r="BI174" i="2"/>
  <c r="BI112" i="2"/>
  <c r="BI131" i="2"/>
  <c r="BI119" i="2"/>
  <c r="BI172" i="2"/>
  <c r="BI46" i="2"/>
  <c r="BI125" i="2"/>
  <c r="BI156" i="2"/>
  <c r="BI158" i="2"/>
  <c r="BI34" i="2"/>
  <c r="BI44" i="2"/>
  <c r="BI154" i="2"/>
  <c r="BI77" i="2"/>
  <c r="BI110" i="2"/>
  <c r="BI21" i="2"/>
  <c r="BI45" i="2"/>
  <c r="BI5" i="2"/>
  <c r="BI19" i="2"/>
  <c r="BI10" i="2"/>
  <c r="BI194" i="2"/>
  <c r="BI83" i="2"/>
  <c r="BI84" i="2"/>
  <c r="BI47" i="2"/>
  <c r="BI185" i="2"/>
  <c r="BI68" i="2"/>
  <c r="BI3" i="2"/>
  <c r="C8" i="4" s="1"/>
  <c r="E8" i="4" s="1"/>
  <c r="F8" i="4" s="1"/>
  <c r="G8" i="4" s="1"/>
  <c r="L8" i="4" s="1"/>
  <c r="BI70" i="2"/>
  <c r="BI73" i="2"/>
  <c r="BI36" i="2"/>
  <c r="BI155" i="2"/>
  <c r="BI81" i="2"/>
  <c r="BI145" i="2"/>
  <c r="BI159" i="2"/>
  <c r="BI173" i="2"/>
  <c r="BI195" i="2"/>
  <c r="BI147" i="2"/>
  <c r="BI184" i="2"/>
  <c r="BI127" i="2"/>
  <c r="BI67" i="2"/>
  <c r="BI58" i="2"/>
  <c r="BI40" i="2"/>
  <c r="BI25" i="2"/>
  <c r="BI88" i="2"/>
  <c r="BI71" i="2"/>
  <c r="BI136" i="2"/>
  <c r="BI72" i="2"/>
  <c r="BI182" i="2"/>
  <c r="BI144" i="2"/>
  <c r="BI132" i="2"/>
  <c r="BI15" i="2"/>
  <c r="BI69" i="2"/>
  <c r="BI113" i="2"/>
  <c r="BI78" i="2"/>
  <c r="BI76" i="2"/>
  <c r="BI130" i="2"/>
  <c r="BI41" i="2"/>
  <c r="BI51" i="2"/>
  <c r="BI169" i="2"/>
  <c r="BI24" i="2"/>
  <c r="BI87" i="2"/>
  <c r="BI23" i="2"/>
  <c r="BI124" i="2"/>
  <c r="BI152" i="2"/>
  <c r="BI49" i="2"/>
  <c r="BI106" i="2"/>
  <c r="BI8" i="2"/>
  <c r="BI62" i="2"/>
  <c r="BI89" i="2"/>
  <c r="BI202" i="2"/>
  <c r="BI30" i="2"/>
  <c r="BI66" i="2"/>
  <c r="BI91" i="2"/>
  <c r="BI9" i="2"/>
  <c r="BI191" i="2"/>
  <c r="BI61" i="2"/>
  <c r="BI95" i="2"/>
  <c r="BI80" i="2"/>
  <c r="BI162" i="2"/>
  <c r="BI149" i="2"/>
  <c r="BI111" i="2"/>
  <c r="BI4" i="2"/>
  <c r="BI90" i="2"/>
  <c r="BI176" i="2"/>
  <c r="BI103" i="2"/>
  <c r="BI181" i="2"/>
  <c r="BI6" i="2"/>
  <c r="BI82" i="2"/>
  <c r="BI100" i="2"/>
  <c r="BI187" i="2"/>
  <c r="BI171" i="2"/>
  <c r="BI27" i="2"/>
  <c r="BI48" i="2"/>
  <c r="BI153" i="2"/>
  <c r="BI17" i="2"/>
  <c r="BI33" i="2"/>
  <c r="BI165" i="2"/>
  <c r="BI123" i="2"/>
  <c r="BI43" i="2"/>
  <c r="BI164" i="2"/>
  <c r="BI105" i="2"/>
  <c r="BI138" i="2"/>
  <c r="BI85" i="2"/>
  <c r="BI203" i="2"/>
  <c r="BI14" i="2"/>
  <c r="BI167" i="2"/>
  <c r="BI122" i="2"/>
  <c r="BI183" i="2"/>
  <c r="BI63" i="2"/>
  <c r="BI7" i="2"/>
  <c r="BI79" i="2"/>
  <c r="BI178" i="2"/>
  <c r="BI16" i="2"/>
  <c r="BI18" i="2"/>
  <c r="BI190" i="2"/>
  <c r="BI192" i="2"/>
  <c r="BI53" i="2"/>
  <c r="BI65" i="2"/>
  <c r="BI94" i="2"/>
  <c r="BI31" i="2"/>
  <c r="BI38" i="2"/>
  <c r="BI118" i="2"/>
  <c r="BI143" i="2"/>
  <c r="BI170" i="2"/>
  <c r="BI134" i="2"/>
  <c r="BI54" i="2"/>
  <c r="BI50" i="2"/>
  <c r="BI168" i="2"/>
  <c r="BI177" i="2"/>
  <c r="BI97" i="2"/>
  <c r="BI75" i="2"/>
  <c r="BI109" i="2"/>
  <c r="BI55" i="2"/>
  <c r="BI120" i="2"/>
  <c r="BI142" i="2"/>
  <c r="BI139" i="2"/>
  <c r="BI141" i="2"/>
  <c r="BI104" i="2"/>
  <c r="BI74" i="2"/>
  <c r="BI35" i="2"/>
  <c r="BI108" i="2"/>
  <c r="BI37" i="2"/>
  <c r="BI28" i="2"/>
  <c r="BI201" i="2"/>
  <c r="BI101" i="2"/>
  <c r="BI180" i="2"/>
  <c r="BI26" i="2"/>
  <c r="BI151" i="2"/>
  <c r="BI60" i="2"/>
  <c r="BI193" i="2"/>
  <c r="BI175" i="2"/>
  <c r="BI148" i="2"/>
  <c r="BI188" i="2"/>
  <c r="BI129" i="2"/>
  <c r="BI115" i="2"/>
  <c r="BI121" i="2"/>
  <c r="BI200" i="2"/>
  <c r="BI13" i="2"/>
  <c r="BI189" i="2"/>
  <c r="BI199" i="2"/>
  <c r="BI29" i="2"/>
  <c r="BI196" i="2"/>
  <c r="BI126" i="2"/>
  <c r="BI56" i="2"/>
  <c r="BI114" i="2"/>
  <c r="BI135" i="2"/>
  <c r="BI116" i="2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<sst xmlns="http://schemas.openxmlformats.org/spreadsheetml/2006/main" count="1177" uniqueCount="328">
  <si>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</si>
  <si>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</si>
  <si>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</si>
  <si>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</si>
  <si>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</si>
  <si>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</si>
  <si>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</si>
  <si>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</si>
  <si>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</si>
  <si>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</si>
  <si>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</si>
  <si>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</si>
  <si>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</si>
  <si>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</si>
  <si>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</si>
  <si>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</si>
  <si>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</si>
  <si>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</si>
  <si>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</si>
  <si>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</si>
  <si>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</si>
  <si>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</si>
  <si>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</si>
  <si>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</si>
  <si>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</si>
  <si>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</si>
  <si>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</si>
  <si>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</si>
  <si>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</si>
  <si>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</si>
  <si>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</si>
  <si>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</si>
  <si>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</si>
  <si>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</si>
  <si>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</si>
  <si>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</si>
  <si>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</si>
  <si>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</si>
  <si>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</si>
  <si>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</si>
  <si>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</si>
  <si>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</si>
  <si>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</si>
  <si>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</si>
  <si>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</si>
  <si>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</si>
  <si>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</si>
  <si>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</si>
  <si>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</si>
  <si>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</si>
  <si>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</si>
  <si>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</si>
  <si>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</si>
  <si>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</si>
  <si>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</si>
  <si>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</si>
  <si>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</si>
  <si>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</si>
  <si>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</si>
  <si>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</si>
  <si>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</si>
  <si>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</si>
  <si>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</si>
  <si>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</si>
  <si>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</si>
  <si>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</si>
  <si>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</si>
  <si>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</si>
  <si>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</si>
  <si>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</si>
  <si>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</si>
  <si>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</si>
  <si>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</si>
  <si>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</si>
  <si>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</si>
  <si>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</si>
  <si>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</si>
  <si>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</si>
  <si>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</si>
  <si>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</si>
  <si>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</si>
  <si>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</si>
  <si>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</si>
  <si>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</si>
  <si>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</si>
  <si>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</si>
  <si>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</si>
  <si>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</si>
  <si>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</si>
  <si>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</si>
  <si>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</si>
  <si>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</si>
  <si>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</si>
  <si>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</si>
  <si>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</si>
  <si>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</si>
  <si>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</si>
  <si>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</si>
  <si>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</si>
  <si>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</si>
  <si>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</si>
  <si>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</si>
  <si>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</si>
  <si>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</si>
  <si>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</si>
  <si>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</si>
  <si>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</si>
  <si>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</si>
  <si>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</si>
  <si>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</si>
  <si>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</si>
  <si>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</si>
  <si>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</si>
  <si>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</si>
  <si>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</si>
  <si>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</si>
  <si>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</si>
  <si>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</si>
  <si>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</si>
  <si>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</si>
  <si>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</si>
  <si>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</si>
  <si>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</si>
  <si>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</si>
  <si>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</si>
  <si>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</si>
  <si>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</si>
  <si>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</si>
  <si>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</si>
  <si>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</si>
  <si>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</si>
  <si>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</si>
  <si>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</si>
  <si>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</si>
  <si>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</si>
  <si>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</si>
  <si>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</si>
  <si>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</si>
  <si>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</si>
  <si>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</si>
  <si>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</si>
  <si>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</si>
  <si>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</si>
  <si>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</si>
  <si>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</si>
  <si>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</si>
  <si>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</si>
  <si>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</si>
  <si>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</si>
  <si>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</si>
  <si>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</si>
  <si>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</si>
  <si>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</si>
  <si>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</si>
  <si>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</si>
  <si>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</si>
  <si>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</si>
  <si>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</si>
  <si>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</si>
  <si>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</si>
  <si>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</si>
  <si>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</si>
  <si>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</si>
  <si>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</si>
  <si>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</si>
  <si>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</si>
  <si>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</si>
  <si>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</si>
  <si>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</si>
  <si>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</si>
  <si>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</si>
  <si>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</si>
  <si>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</si>
  <si>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</si>
  <si>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</si>
  <si>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</si>
  <si>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</si>
  <si>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</si>
  <si>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</si>
  <si>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</si>
  <si>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</si>
  <si>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</si>
  <si>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</si>
  <si>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</si>
  <si>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</si>
  <si>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</si>
  <si>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</si>
  <si>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</si>
  <si>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</si>
  <si>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</si>
  <si>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</si>
  <si>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</si>
  <si>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</si>
  <si>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</si>
  <si>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</si>
  <si>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</si>
  <si>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</si>
  <si>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</si>
  <si>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</si>
  <si>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</si>
  <si>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</si>
  <si>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</si>
  <si>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</si>
  <si>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</si>
  <si>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</si>
  <si>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</si>
  <si>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</si>
  <si>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</si>
  <si>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</si>
  <si>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</si>
  <si>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</si>
  <si>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</si>
  <si>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</si>
  <si>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</si>
  <si>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</si>
  <si>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</si>
  <si>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</si>
  <si>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</si>
  <si>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</si>
  <si>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</si>
  <si>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</si>
  <si>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</si>
  <si>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</si>
  <si>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</si>
  <si>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</si>
  <si>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</si>
  <si>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</si>
  <si>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</si>
  <si>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</si>
  <si>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</si>
  <si>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</si>
  <si>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</si>
  <si>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</si>
  <si>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</si>
  <si>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</si>
  <si>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</si>
  <si>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</si>
  <si>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</si>
  <si>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</si>
  <si>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</si>
  <si>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</si>
  <si>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</si>
  <si>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</si>
  <si>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</si>
  <si>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</si>
  <si>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</si>
  <si>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</si>
  <si>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</si>
  <si>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</si>
  <si>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</si>
  <si>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</si>
  <si>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</si>
  <si>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</si>
  <si>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</si>
  <si>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</si>
  <si>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</si>
  <si>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</si>
  <si>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</si>
  <si>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</si>
  <si>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</si>
  <si>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</si>
  <si>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</si>
  <si>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</si>
  <si>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</si>
  <si>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</si>
  <si>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</si>
  <si>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</si>
  <si>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</si>
  <si>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</si>
  <si>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</si>
  <si>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</si>
  <si>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</si>
  <si>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</si>
  <si>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</si>
  <si>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</si>
  <si>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</si>
  <si>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</si>
  <si>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</si>
  <si>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</si>
  <si>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</si>
  <si>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</si>
  <si>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</si>
  <si>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</si>
  <si>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</si>
  <si>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</si>
  <si>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</si>
  <si>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</si>
  <si>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</si>
  <si>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</si>
  <si>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</si>
  <si>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</si>
  <si>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</si>
  <si>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</si>
  <si>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</si>
  <si>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</si>
  <si>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</si>
  <si>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</si>
  <si>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</si>
  <si>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</si>
  <si>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</si>
  <si>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</si>
  <si>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</si>
  <si>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</si>
  <si>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</si>
  <si>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</si>
  <si>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</si>
  <si>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</si>
  <si>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</si>
  <si>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</si>
  <si>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</si>
  <si>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</si>
  <si>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</si>
  <si>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</si>
  <si>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</si>
  <si>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</si>
  <si>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</si>
  <si>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</si>
  <si>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</si>
  <si>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</si>
  <si>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</si>
  <si>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</si>
  <si>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</si>
  <si>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</si>
  <si>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</si>
  <si>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</si>
  <si>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ONF_Loire basin_plantation_F1</t>
  </si>
  <si>
    <t>ONF_F1_PLANTATION</t>
  </si>
  <si>
    <t>ONF_CHP_F2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</si>
</sst>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0" fillId="14" borderId="1" xfId="1" quotePrefix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2.5214086749849955</c:v>
                </c:pt>
                <c:pt idx="2">
                  <c:v>2.9476746959687219</c:v>
                </c:pt>
                <c:pt idx="3">
                  <c:v>3.4462679343355425</c:v>
                </c:pt>
                <c:pt idx="4">
                  <c:v>4.0295028091066616</c:v>
                </c:pt>
                <c:pt idx="5">
                  <c:v>4.7117971330513244</c:v>
                </c:pt>
                <c:pt idx="6">
                  <c:v>5.5100324614070191</c:v>
                </c:pt>
                <c:pt idx="7">
                  <c:v>6.443976345102846</c:v>
                </c:pt>
                <c:pt idx="8">
                  <c:v>7.5367771500501375</c:v>
                </c:pt>
                <c:pt idx="9">
                  <c:v>8.8155439445162127</c:v>
                </c:pt>
                <c:pt idx="10">
                  <c:v>10.312026115425956</c:v>
                </c:pt>
                <c:pt idx="11">
                  <c:v>12.063409906823109</c:v>
                </c:pt>
                <c:pt idx="12">
                  <c:v>14.113252044429068</c:v>
                </c:pt>
                <c:pt idx="13">
                  <c:v>16.512574095269713</c:v>
                </c:pt>
                <c:pt idx="14">
                  <c:v>19.321145299909375</c:v>
                </c:pt>
                <c:pt idx="15">
                  <c:v>22.608986411643873</c:v>
                </c:pt>
                <c:pt idx="16">
                  <c:v>26.458132704965564</c:v>
                </c:pt>
                <c:pt idx="17">
                  <c:v>30.964700918988459</c:v>
                </c:pt>
                <c:pt idx="18">
                  <c:v>36.241312649655946</c:v>
                </c:pt>
                <c:pt idx="19">
                  <c:v>42.419935796240964</c:v>
                </c:pt>
                <c:pt idx="20">
                  <c:v>49.655216336254263</c:v>
                </c:pt>
                <c:pt idx="21">
                  <c:v>58.12838522236234</c:v>
                </c:pt>
                <c:pt idx="22">
                  <c:v>68.05183988691067</c:v>
                </c:pt>
                <c:pt idx="23">
                  <c:v>79.674517081749613</c:v>
                </c:pt>
                <c:pt idx="24">
                  <c:v>93.288194016590026</c:v>
                </c:pt>
                <c:pt idx="25">
                  <c:v>109.23487850857845</c:v>
                </c:pt>
                <c:pt idx="26">
                  <c:v>127.91547673030321</c:v>
                </c:pt>
                <c:pt idx="27">
                  <c:v>149.79995986059552</c:v>
                </c:pt>
                <c:pt idx="28">
                  <c:v>175.43928934481758</c:v>
                </c:pt>
                <c:pt idx="29">
                  <c:v>205.47940554818516</c:v>
                </c:pt>
                <c:pt idx="30">
                  <c:v>240.67763749877909</c:v>
                </c:pt>
                <c:pt idx="31">
                  <c:v>281.92195353046623</c:v>
                </c:pt>
                <c:pt idx="32">
                  <c:v>186.15874891220116</c:v>
                </c:pt>
                <c:pt idx="33">
                  <c:v>209.83368794515187</c:v>
                </c:pt>
                <c:pt idx="34">
                  <c:v>233.44697549877742</c:v>
                </c:pt>
                <c:pt idx="35">
                  <c:v>257.00572454608067</c:v>
                </c:pt>
                <c:pt idx="36">
                  <c:v>280.51563609526079</c:v>
                </c:pt>
                <c:pt idx="37">
                  <c:v>303.9813769502631</c:v>
                </c:pt>
                <c:pt idx="38">
                  <c:v>249.93134365355093</c:v>
                </c:pt>
                <c:pt idx="39">
                  <c:v>275.24300456507007</c:v>
                </c:pt>
                <c:pt idx="40">
                  <c:v>300.50238084792096</c:v>
                </c:pt>
                <c:pt idx="41">
                  <c:v>325.71448267949529</c:v>
                </c:pt>
                <c:pt idx="42">
                  <c:v>350.88348121626149</c:v>
                </c:pt>
                <c:pt idx="43">
                  <c:v>376.01290047897925</c:v>
                </c:pt>
                <c:pt idx="44">
                  <c:v>401.10575519534768</c:v>
                </c:pt>
                <c:pt idx="45">
                  <c:v>325.22050406363837</c:v>
                </c:pt>
                <c:pt idx="46">
                  <c:v>350.81669879053698</c:v>
                </c:pt>
                <c:pt idx="47">
                  <c:v>376.37195036636803</c:v>
                </c:pt>
                <c:pt idx="48">
                  <c:v>401.88942714694684</c:v>
                </c:pt>
                <c:pt idx="49">
                  <c:v>427.3718625323624</c:v>
                </c:pt>
                <c:pt idx="50">
                  <c:v>452.82163758400475</c:v>
                </c:pt>
                <c:pt idx="51">
                  <c:v>478.24084409423403</c:v>
                </c:pt>
                <c:pt idx="52">
                  <c:v>404.40156465488667</c:v>
                </c:pt>
                <c:pt idx="53">
                  <c:v>429.70934519857565</c:v>
                </c:pt>
                <c:pt idx="54">
                  <c:v>454.98510429602402</c:v>
                </c:pt>
                <c:pt idx="55">
                  <c:v>480.23086913061974</c:v>
                </c:pt>
                <c:pt idx="56">
                  <c:v>505.44843654803253</c:v>
                </c:pt>
                <c:pt idx="57">
                  <c:v>530.63940964580081</c:v>
                </c:pt>
                <c:pt idx="58">
                  <c:v>555.8052270551816</c:v>
                </c:pt>
                <c:pt idx="59">
                  <c:v>484.25885843561099</c:v>
                </c:pt>
                <c:pt idx="60">
                  <c:v>508.95737395672654</c:v>
                </c:pt>
                <c:pt idx="61">
                  <c:v>533.63057203582343</c:v>
                </c:pt>
                <c:pt idx="62">
                  <c:v>558.27978660587723</c:v>
                </c:pt>
                <c:pt idx="63">
                  <c:v>582.90622432661985</c:v>
                </c:pt>
                <c:pt idx="64">
                  <c:v>607.51098169934687</c:v>
                </c:pt>
                <c:pt idx="65">
                  <c:v>632.09505926670727</c:v>
                </c:pt>
                <c:pt idx="66">
                  <c:v>555.18973040239189</c:v>
                </c:pt>
                <c:pt idx="67">
                  <c:v>578.99055234834634</c:v>
                </c:pt>
                <c:pt idx="68">
                  <c:v>602.77097241840545</c:v>
                </c:pt>
                <c:pt idx="69">
                  <c:v>626.53190782078082</c:v>
                </c:pt>
                <c:pt idx="70">
                  <c:v>650.27420060140787</c:v>
                </c:pt>
                <c:pt idx="71">
                  <c:v>673.99862637735123</c:v>
                </c:pt>
                <c:pt idx="72">
                  <c:v>697.7059017777359</c:v>
                </c:pt>
                <c:pt idx="73">
                  <c:v>602.93967730666452</c:v>
                </c:pt>
                <c:pt idx="74">
                  <c:v>625.51680524449841</c:v>
                </c:pt>
                <c:pt idx="75">
                  <c:v>648.07707164832061</c:v>
                </c:pt>
                <c:pt idx="76">
                  <c:v>670.62114542387724</c:v>
                </c:pt>
                <c:pt idx="77">
                  <c:v>693.14964688919997</c:v>
                </c:pt>
                <c:pt idx="78">
                  <c:v>715.6631527999167</c:v>
                </c:pt>
                <c:pt idx="79">
                  <c:v>738.16220070997394</c:v>
                </c:pt>
                <c:pt idx="80">
                  <c:v>760.6472927736221</c:v>
                </c:pt>
                <c:pt idx="81">
                  <c:v>783.11889907497971</c:v>
                </c:pt>
                <c:pt idx="82">
                  <c:v>649.41198661029523</c:v>
                </c:pt>
                <c:pt idx="83">
                  <c:v>670.53247445778163</c:v>
                </c:pt>
                <c:pt idx="84">
                  <c:v>691.63929237213654</c:v>
                </c:pt>
                <c:pt idx="85">
                  <c:v>712.73291578265901</c:v>
                </c:pt>
                <c:pt idx="86">
                  <c:v>733.81378971522111</c:v>
                </c:pt>
                <c:pt idx="87">
                  <c:v>754.88233157162733</c:v>
                </c:pt>
                <c:pt idx="88">
                  <c:v>775.93893358289245</c:v>
                </c:pt>
                <c:pt idx="89">
                  <c:v>796.98396498266914</c:v>
                </c:pt>
                <c:pt idx="90">
                  <c:v>818.01777393944451</c:v>
                </c:pt>
                <c:pt idx="91">
                  <c:v>680.82655733150739</c:v>
                </c:pt>
                <c:pt idx="92">
                  <c:v>700.70631747336199</c:v>
                </c:pt>
                <c:pt idx="93">
                  <c:v>720.57453904071701</c:v>
                </c:pt>
                <c:pt idx="94">
                  <c:v>740.43158463823545</c:v>
                </c:pt>
                <c:pt idx="95">
                  <c:v>760.27779585760072</c:v>
                </c:pt>
                <c:pt idx="96">
                  <c:v>780.11349502299515</c:v>
                </c:pt>
                <c:pt idx="97">
                  <c:v>799.93898675001083</c:v>
                </c:pt>
                <c:pt idx="98">
                  <c:v>819.75455934216086</c:v>
                </c:pt>
                <c:pt idx="99">
                  <c:v>839.56048604549721</c:v>
                </c:pt>
                <c:pt idx="100">
                  <c:v>450.03971253828541</c:v>
                </c:pt>
                <c:pt idx="101">
                  <c:v>462.6078555511578</c:v>
                </c:pt>
                <c:pt idx="102">
                  <c:v>323.18652647116113</c:v>
                </c:pt>
                <c:pt idx="103">
                  <c:v>331.85696738542345</c:v>
                </c:pt>
                <c:pt idx="104">
                  <c:v>232.05276952362252</c:v>
                </c:pt>
                <c:pt idx="105">
                  <c:v>238.1604703053099</c:v>
                </c:pt>
                <c:pt idx="106">
                  <c:v>244.26460221870877</c:v>
                </c:pt>
                <c:pt idx="107">
                  <c:v>1.4484243304663672E-12</c:v>
                </c:pt>
                <c:pt idx="108">
                  <c:v>1.4484243304663672E-12</c:v>
                </c:pt>
                <c:pt idx="109">
                  <c:v>1.4484243304663672E-12</c:v>
                </c:pt>
                <c:pt idx="110">
                  <c:v>1.4484243304663672E-12</c:v>
                </c:pt>
                <c:pt idx="111">
                  <c:v>1.4484243304663672E-12</c:v>
                </c:pt>
                <c:pt idx="112">
                  <c:v>1.4484243304663672E-12</c:v>
                </c:pt>
                <c:pt idx="113">
                  <c:v>1.4484243304663672E-12</c:v>
                </c:pt>
                <c:pt idx="114">
                  <c:v>1.4484243304663672E-12</c:v>
                </c:pt>
                <c:pt idx="115">
                  <c:v>1.4484243304663672E-12</c:v>
                </c:pt>
                <c:pt idx="116">
                  <c:v>1.4484243304663672E-12</c:v>
                </c:pt>
                <c:pt idx="117">
                  <c:v>1.4484243304663672E-12</c:v>
                </c:pt>
                <c:pt idx="118">
                  <c:v>1.4484243304663672E-12</c:v>
                </c:pt>
                <c:pt idx="119">
                  <c:v>1.4484243304663672E-12</c:v>
                </c:pt>
                <c:pt idx="120">
                  <c:v>1.4484243304663672E-12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6" zoomScale="80" zoomScaleNormal="80" workbookViewId="0">
      <selection activeCell="C6" sqref="C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18.670000000000002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257">
        <v>0.3</v>
      </c>
      <c r="D9" s="33">
        <f t="shared" ref="D9:D18" si="0">C9*$C$5</f>
        <v>5.601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14</v>
      </c>
      <c r="C10" s="32">
        <v>0.36</v>
      </c>
      <c r="D10" s="33">
        <f t="shared" si="0"/>
        <v>6.7212000000000005</v>
      </c>
      <c r="E10" s="34">
        <v>159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11</v>
      </c>
      <c r="C11" s="32">
        <v>0.2</v>
      </c>
      <c r="D11" s="33">
        <f t="shared" si="0"/>
        <v>3.7340000000000004</v>
      </c>
      <c r="E11" s="34">
        <v>106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6</v>
      </c>
      <c r="C12" s="32">
        <v>0.14000000000000001</v>
      </c>
      <c r="D12" s="33">
        <f t="shared" si="0"/>
        <v>2.6138000000000003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18.670000000000002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21</v>
      </c>
      <c r="B36" s="60">
        <v>195.31</v>
      </c>
      <c r="C36" s="60">
        <v>1</v>
      </c>
      <c r="D36" s="60">
        <v>64.599999999999994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28</v>
      </c>
      <c r="B37" s="60">
        <v>282.01</v>
      </c>
      <c r="C37" s="60">
        <v>2</v>
      </c>
      <c r="D37" s="60">
        <v>67.639999999999986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35</v>
      </c>
      <c r="B38" s="60">
        <v>377.23</v>
      </c>
      <c r="C38" s="60">
        <v>3</v>
      </c>
      <c r="D38" s="60">
        <v>86.700000000000045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42</v>
      </c>
      <c r="B39" s="60">
        <v>450.49</v>
      </c>
      <c r="C39" s="60">
        <v>4</v>
      </c>
      <c r="D39" s="60">
        <v>100.04000000000002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49</v>
      </c>
      <c r="B40" s="60">
        <v>504.24</v>
      </c>
      <c r="C40" s="60">
        <v>5</v>
      </c>
      <c r="D40" s="60">
        <v>112.69999999999999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56</v>
      </c>
      <c r="B41" s="60">
        <v>534.03</v>
      </c>
      <c r="C41" s="60">
        <v>6</v>
      </c>
      <c r="D41" s="60">
        <v>94.669999999999959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63</v>
      </c>
      <c r="B42" s="60">
        <v>569.67999999999995</v>
      </c>
      <c r="C42" s="60">
        <v>7</v>
      </c>
      <c r="D42" s="60">
        <v>99.599999999999966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70</v>
      </c>
      <c r="B43" s="60">
        <v>586.86</v>
      </c>
      <c r="C43" s="60">
        <v>8</v>
      </c>
      <c r="D43" s="60">
        <v>586.86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34</v>
      </c>
      <c r="B62" s="60">
        <v>173.04</v>
      </c>
      <c r="C62" s="60">
        <v>1</v>
      </c>
      <c r="D62" s="60">
        <v>36.679999999999978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5.0894117647058819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42</v>
      </c>
      <c r="B63" s="60">
        <v>248.01</v>
      </c>
      <c r="C63" s="60">
        <v>2</v>
      </c>
      <c r="D63" s="60">
        <v>58.099999999999994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13.956249999999997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50</v>
      </c>
      <c r="B64" s="60">
        <v>304.72000000000003</v>
      </c>
      <c r="C64" s="60">
        <v>3</v>
      </c>
      <c r="D64" s="60">
        <v>70.730000000000018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14.351250000000004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58</v>
      </c>
      <c r="B65" s="60">
        <v>346.58</v>
      </c>
      <c r="C65" s="60">
        <v>4</v>
      </c>
      <c r="D65" s="60">
        <v>65.819999999999993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14.073749999999997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66</v>
      </c>
      <c r="B66" s="60">
        <v>388.92</v>
      </c>
      <c r="C66" s="60">
        <v>5</v>
      </c>
      <c r="D66" s="60">
        <v>76.480000000000018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13.520000000000003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74</v>
      </c>
      <c r="B67" s="60">
        <v>414.8</v>
      </c>
      <c r="C67" s="60">
        <v>6</v>
      </c>
      <c r="D67" s="60">
        <v>75.29000000000002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12.795000000000002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82</v>
      </c>
      <c r="B68" s="60">
        <v>436.17</v>
      </c>
      <c r="C68" s="60">
        <v>7</v>
      </c>
      <c r="D68" s="60">
        <v>58.140000000000043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12.082500000000003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90</v>
      </c>
      <c r="B69" s="50">
        <v>471.37</v>
      </c>
      <c r="C69" s="50">
        <v>8</v>
      </c>
      <c r="D69" s="50">
        <v>68.54000000000002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11.667500000000004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100</v>
      </c>
      <c r="B70" s="50">
        <v>515.66999999999996</v>
      </c>
      <c r="C70" s="50">
        <v>9</v>
      </c>
      <c r="D70" s="50">
        <v>93.039999999999964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11.283999999999997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110</v>
      </c>
      <c r="B71" s="50">
        <v>531.04</v>
      </c>
      <c r="C71" s="50">
        <v>10</v>
      </c>
      <c r="D71" s="50">
        <v>73.299999999999955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10.840999999999998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120</v>
      </c>
      <c r="B72" s="50">
        <v>565</v>
      </c>
      <c r="C72" s="50">
        <v>11</v>
      </c>
      <c r="D72" s="50">
        <v>66.050000000000011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10.725999999999999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130</v>
      </c>
      <c r="B73" s="50">
        <v>606.41</v>
      </c>
      <c r="C73" s="50">
        <v>12</v>
      </c>
      <c r="D73" s="50">
        <v>75.799999999999955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10.745999999999999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140</v>
      </c>
      <c r="B74" s="50">
        <v>639.04999999999995</v>
      </c>
      <c r="C74" s="50">
        <v>13</v>
      </c>
      <c r="D74" s="50">
        <v>74.669999999999959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10.843999999999994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150</v>
      </c>
      <c r="B75" s="50">
        <v>673.13</v>
      </c>
      <c r="C75" s="50">
        <v>14</v>
      </c>
      <c r="D75" s="50">
        <v>259.52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10.875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153</v>
      </c>
      <c r="B76" s="50">
        <v>434.97</v>
      </c>
      <c r="C76" s="50">
        <v>15</v>
      </c>
      <c r="D76" s="50">
        <v>156.29000000000002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7.1200000000000045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156</v>
      </c>
      <c r="B77" s="50">
        <v>290.93</v>
      </c>
      <c r="C77" s="50">
        <v>16</v>
      </c>
      <c r="D77" s="50">
        <v>96.65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4.083333333333333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159</v>
      </c>
      <c r="B78" s="50">
        <v>201.48</v>
      </c>
      <c r="C78" s="50">
        <v>17</v>
      </c>
      <c r="D78" s="50">
        <v>201.48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2.3999999999999964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pédonculé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31</v>
      </c>
      <c r="B88" s="60">
        <v>152.27000000000001</v>
      </c>
      <c r="C88" s="60">
        <v>1</v>
      </c>
      <c r="D88" s="60">
        <v>65.77000000000001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4.9119354838709679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37</v>
      </c>
      <c r="B89" s="60">
        <v>164.49</v>
      </c>
      <c r="C89" s="60">
        <v>2</v>
      </c>
      <c r="D89" s="60">
        <v>43.890000000000015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12.998333333333335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44</v>
      </c>
      <c r="B90" s="60">
        <v>218.51</v>
      </c>
      <c r="C90" s="60">
        <v>3</v>
      </c>
      <c r="D90" s="60">
        <v>56.45999999999998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13.987142857142857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51</v>
      </c>
      <c r="B91" s="60">
        <v>261.62</v>
      </c>
      <c r="C91" s="60">
        <v>4</v>
      </c>
      <c r="D91" s="60">
        <v>55.400000000000006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14.224285714285713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58</v>
      </c>
      <c r="B92" s="60">
        <v>305.12</v>
      </c>
      <c r="C92" s="60">
        <v>5</v>
      </c>
      <c r="D92" s="60">
        <v>53.97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14.12857142857143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65</v>
      </c>
      <c r="B93" s="60">
        <v>348.03</v>
      </c>
      <c r="C93" s="60">
        <v>6</v>
      </c>
      <c r="D93" s="60">
        <v>56.629999999999995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13.839999999999995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72</v>
      </c>
      <c r="B94" s="60">
        <v>385.02</v>
      </c>
      <c r="C94" s="60">
        <v>7</v>
      </c>
      <c r="D94" s="60">
        <v>66.109999999999957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13.374285714285715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81</v>
      </c>
      <c r="B95" s="60">
        <v>433.28</v>
      </c>
      <c r="C95" s="60">
        <v>8</v>
      </c>
      <c r="D95" s="60">
        <v>87.399999999999977</v>
      </c>
      <c r="E95" s="87">
        <v>0.5</v>
      </c>
      <c r="F95" s="87">
        <v>0.2</v>
      </c>
      <c r="G95" s="87">
        <v>0</v>
      </c>
      <c r="H95" s="87">
        <v>0.3</v>
      </c>
      <c r="I95" s="53">
        <f t="shared" si="3"/>
        <v>12.707777777777771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90</v>
      </c>
      <c r="B96" s="60">
        <v>453.03</v>
      </c>
      <c r="C96" s="60">
        <v>9</v>
      </c>
      <c r="D96" s="60">
        <v>88.75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11.905555555555553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99</v>
      </c>
      <c r="B97" s="60">
        <v>465.23</v>
      </c>
      <c r="C97" s="60">
        <v>10</v>
      </c>
      <c r="D97" s="60">
        <v>226.42000000000002</v>
      </c>
      <c r="E97" s="87">
        <v>0.45</v>
      </c>
      <c r="F97" s="87">
        <v>0.05</v>
      </c>
      <c r="G97" s="87">
        <v>0.05</v>
      </c>
      <c r="H97" s="87">
        <v>0.45</v>
      </c>
      <c r="I97" s="53">
        <f t="shared" si="3"/>
        <v>11.216666666666672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101</v>
      </c>
      <c r="B98" s="60">
        <v>252.87</v>
      </c>
      <c r="C98" s="60">
        <v>11</v>
      </c>
      <c r="D98" s="60">
        <v>82.539999999999992</v>
      </c>
      <c r="E98" s="87">
        <v>0.45</v>
      </c>
      <c r="F98" s="87">
        <v>0.05</v>
      </c>
      <c r="G98" s="87">
        <v>0.05</v>
      </c>
      <c r="H98" s="87">
        <v>0.45</v>
      </c>
      <c r="I98" s="53">
        <f t="shared" si="3"/>
        <v>7.0300000000000011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103</v>
      </c>
      <c r="B99" s="60">
        <v>179.96</v>
      </c>
      <c r="C99" s="60">
        <v>12</v>
      </c>
      <c r="D99" s="60">
        <v>58.600000000000009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4.8149999999999977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106</v>
      </c>
      <c r="B100" s="60">
        <v>131.46</v>
      </c>
      <c r="C100" s="60">
        <v>13</v>
      </c>
      <c r="D100" s="60">
        <v>131.46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3.3666666666666694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Charme</v>
      </c>
      <c r="C110" s="23" t="s">
        <v>327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38</v>
      </c>
      <c r="B114" s="60">
        <v>152.63</v>
      </c>
      <c r="C114" s="50">
        <v>1</v>
      </c>
      <c r="D114" s="60">
        <v>71.569999999999993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4.016578947368421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45</v>
      </c>
      <c r="B115" s="60">
        <v>149.75</v>
      </c>
      <c r="C115" s="50">
        <v>2</v>
      </c>
      <c r="D115" s="60">
        <v>41.69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9.8128571428571423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52</v>
      </c>
      <c r="B116" s="60">
        <v>178.07</v>
      </c>
      <c r="C116" s="50">
        <v>3</v>
      </c>
      <c r="D116" s="60">
        <v>44.400000000000006</v>
      </c>
      <c r="E116" s="51">
        <v>0.25</v>
      </c>
      <c r="F116" s="51">
        <v>0.25</v>
      </c>
      <c r="G116" s="51">
        <v>0.25</v>
      </c>
      <c r="H116" s="51">
        <v>0.25</v>
      </c>
      <c r="I116" s="53">
        <f t="shared" si="4"/>
        <v>10.001428571428571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59</v>
      </c>
      <c r="B117" s="60">
        <v>202.85</v>
      </c>
      <c r="C117" s="50">
        <v>4</v>
      </c>
      <c r="D117" s="60">
        <v>41.81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9.8828571428571443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67</v>
      </c>
      <c r="B118" s="60">
        <v>239.06</v>
      </c>
      <c r="C118" s="50">
        <v>5</v>
      </c>
      <c r="D118" s="60">
        <v>42.550000000000011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9.7525000000000013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75</v>
      </c>
      <c r="B119" s="60">
        <v>273.76</v>
      </c>
      <c r="C119" s="50">
        <v>6</v>
      </c>
      <c r="D119" s="60">
        <v>43.519999999999982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9.65625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83</v>
      </c>
      <c r="B120" s="60">
        <v>306.11</v>
      </c>
      <c r="C120" s="60">
        <v>7</v>
      </c>
      <c r="D120" s="60">
        <v>49.980000000000018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9.4837500000000006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93</v>
      </c>
      <c r="B121" s="60">
        <v>348.87</v>
      </c>
      <c r="C121" s="60">
        <v>8</v>
      </c>
      <c r="D121" s="60">
        <v>67.45999999999998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9.2740000000000009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103</v>
      </c>
      <c r="B122" s="60">
        <v>371.4</v>
      </c>
      <c r="C122" s="60">
        <v>9</v>
      </c>
      <c r="D122" s="60">
        <v>67.759999999999991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8.9989999999999952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113</v>
      </c>
      <c r="B123" s="60">
        <v>391.18</v>
      </c>
      <c r="C123" s="60">
        <v>10</v>
      </c>
      <c r="D123" s="60">
        <v>68.670000000000016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8.7540000000000013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123</v>
      </c>
      <c r="B124" s="60">
        <v>409.53</v>
      </c>
      <c r="C124" s="60">
        <v>11</v>
      </c>
      <c r="D124" s="60">
        <v>203.78999999999996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8.7019999999999982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125</v>
      </c>
      <c r="B125" s="60">
        <v>215.44</v>
      </c>
      <c r="C125" s="60">
        <v>12</v>
      </c>
      <c r="D125" s="60">
        <v>70.609999999999985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4.8499999999999943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127</v>
      </c>
      <c r="B126" s="60">
        <v>151.47999999999999</v>
      </c>
      <c r="C126" s="60">
        <v>13</v>
      </c>
      <c r="D126" s="60">
        <v>46.039999999999992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3.3249999999999886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130</v>
      </c>
      <c r="B127" s="60">
        <v>112.75</v>
      </c>
      <c r="C127" s="60">
        <v>14</v>
      </c>
      <c r="D127" s="60">
        <v>112.75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2.4366666666666674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24" sqref="G24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sessile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pédonculé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Charme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407.05634973057056</v>
      </c>
      <c r="T3" s="59">
        <f>IF('Données projet'!E9&gt;30,$R$33-$H$33,LOOKUP('Données projet'!$E$9,$A$3:$A$203,R3:R203)-LOOKUP('Données projet'!$E$9,$A$3:$A$203,$H$3:$H$203))</f>
        <v>375.32891954889965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737.40414421611001</v>
      </c>
      <c r="AO3" s="59">
        <f>IF('Données projet'!E10&gt;30,$AM$33-$H$33,LOOKUP('Données projet'!$E$10,$A$3:$A$203,AM3:AM203)-LOOKUP('Données projet'!$E$10,$A$3:$A$203,$H$3:$H$203))</f>
        <v>245.32893490531674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456.35333554128226</v>
      </c>
      <c r="BJ3" s="59">
        <f>IF('Données projet'!E11&gt;30,$BH$33-$H$33,LOOKUP('Données projet'!$E$11,$A$3:$A$203,BH3:BH203)-LOOKUP('Données projet'!$E$11,$A$3:$A$203,$H$3:$H$203))</f>
        <v>296.4517290984877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486.36097333679697</v>
      </c>
      <c r="CE3" s="59">
        <f>IF('Données projet'!E12&gt;30,$CC$33-$H$33,LOOKUP('Données projet'!$E$12,$A$3:$A$203,CC3:CC203)-LOOKUP('Données projet'!$E$12,$A$3:$A$203,$H$3:$H$203))</f>
        <v>308.47736602748159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169.66341275657115</v>
      </c>
      <c r="S4" s="59">
        <f ca="1">AVERAGE(OFFSET($R$3,0,0,'Données projet'!$E$9+1,1))-AVERAGE(OFFSET($H$3,0,0,'Données projet'!$E$9+1,1))</f>
        <v>407.05634973057056</v>
      </c>
      <c r="T4" s="59">
        <f>$T$3</f>
        <v>375.32891954889965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5.0894117647058819</v>
      </c>
      <c r="AI4" s="13">
        <f>IF('Données projet'!$A$62&gt;35,AI3+AH4-AQ3,IF(A4&lt;'Données projet'!$A$62,$AF$205^A4,IF(A4='Données projet'!$A$62,'Données projet'!$B$62,AI3+AH4-AQ3)))</f>
        <v>1.1636646418946561</v>
      </c>
      <c r="AJ4" s="13">
        <f>AI4*VLOOKUP('Données projet'!$B$10,Paramètres!$A$1:$I$89,3,0)*VLOOKUP('Données projet'!$B$10,Paramètres!$A$1:$I$89,5,0)</f>
        <v>1.0528837679862848</v>
      </c>
      <c r="AK4" s="13">
        <f>EXP(-1.0587+0.8836*LN(AJ4)+0.284)</f>
        <v>0.48231127341028485</v>
      </c>
      <c r="AL4" s="20">
        <f t="shared" ref="AL4:AL67" si="4">(AJ4+AK4)*0.475*44/12</f>
        <v>2.6737980304323585</v>
      </c>
      <c r="AM4" s="59">
        <f t="shared" ref="AM4:AM67" si="5">AL4+(AD4+AE4)*44/12</f>
        <v>170.48623198335619</v>
      </c>
      <c r="AN4" s="59">
        <f ca="1">AVERAGE(OFFSET($AM$3,0,0,'Données projet'!$E$10+1,1))-AVERAGE(OFFSET($H$3,0,0,'Données projet'!$E$10+1,1))</f>
        <v>737.40414421611001</v>
      </c>
      <c r="AO4" s="59">
        <f>$AO$3</f>
        <v>245.32893490531674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4.9119354838709679</v>
      </c>
      <c r="BD4" s="12">
        <f>IF('Données projet'!$A$88&gt;35,BD3+BC4-BL3,IF(A4&lt;'Données projet'!$A$88,$BA$205^A4,IF(A4='Données projet'!$A$88,'Données projet'!$B$88,BD3+BC4-BL3)))</f>
        <v>1.175998897105349</v>
      </c>
      <c r="BE4" s="13">
        <f>BD4*VLOOKUP('Données projet'!$B$11,Paramètres!$A$1:$I$89,3,0)*VLOOKUP('Données projet'!$B$11,Paramètres!$A$1:$I$89,5,0)</f>
        <v>0.99066147092154599</v>
      </c>
      <c r="BF4" s="13">
        <f>EXP(-1.0587+0.8836*LN(BE4)+0.284)</f>
        <v>0.45703728983538922</v>
      </c>
      <c r="BG4" s="20">
        <f t="shared" ref="BG4:BG67" si="7">(BE4+BF4)*0.475*44/12</f>
        <v>2.5214086749849955</v>
      </c>
      <c r="BH4" s="59">
        <f t="shared" ref="BH4:BH67" si="8">BG4+(AY4+AZ4)*44/12</f>
        <v>170.33384262790884</v>
      </c>
      <c r="BI4" s="59">
        <f ca="1">AVERAGE(OFFSET($BH$3,0,0,'Données projet'!$E$11+1,1))-AVERAGE(OFFSET($H$3,0,0,'Données projet'!$E$11+1,1))</f>
        <v>456.35333554128226</v>
      </c>
      <c r="BJ4" s="59">
        <f>$BJ$3</f>
        <v>296.4517290984877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4.016578947368421</v>
      </c>
      <c r="BY4" s="12">
        <f>IF('Données projet'!$A$114&gt;35,BY3+BX4-CG3,IF(A4&lt;'Données projet'!$A$114,$BV$205^A4,IF(A4='Données projet'!$A$114,'Données projet'!$B$114,BY3+BX4-CG3)))</f>
        <v>4.016578947368421</v>
      </c>
      <c r="BZ4" s="13">
        <f>BY4*VLOOKUP('Données projet'!$B$12,Paramètres!$A$1:$I$89,3,0)*VLOOKUP('Données projet'!$B$12,Paramètres!$A$1:$I$89,5,0)</f>
        <v>3.8221765263157894</v>
      </c>
      <c r="CA4" s="13">
        <f>EXP(-1.0587+0.8836*LN(BZ4)+0.284)</f>
        <v>1.5068909880440347</v>
      </c>
      <c r="CB4" s="20">
        <f t="shared" ref="CB4:CB67" si="10">(BZ4+CA4)*0.475*44/12</f>
        <v>9.2814592541766938</v>
      </c>
      <c r="CC4" s="59">
        <f t="shared" ref="CC4:CC67" si="11">CB4+(BT4+BU4)*44/12</f>
        <v>177.09389320710054</v>
      </c>
      <c r="CD4" s="59">
        <f ca="1">AVERAGE(OFFSET($CC$3,0,0,'Données projet'!$E$12+1,1))-AVERAGE(OFFSET($H$3,0,0,'Données projet'!$E$12+1,1))</f>
        <v>486.36097333679697</v>
      </c>
      <c r="CE4" s="59">
        <f>$CE$3</f>
        <v>308.47736602748159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172.95456782462998</v>
      </c>
      <c r="S5" s="59">
        <f ca="1">AVERAGE(OFFSET($R$3,0,0,'Données projet'!$E$9+1,1))-AVERAGE(OFFSET($H$3,0,0,'Données projet'!$E$9+1,1))</f>
        <v>407.05634973057056</v>
      </c>
      <c r="T5" s="59">
        <f t="shared" ref="T5:T68" si="34">$T$3</f>
        <v>375.32891954889965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5.0894117647058819</v>
      </c>
      <c r="AI5" s="13">
        <f>IF('Données projet'!$A$62&gt;35,AI4+AH5-AQ4,IF(A5&lt;'Données projet'!$A$62,$AF$205^A5,IF(A5='Données projet'!$A$62,'Données projet'!$B$62,AI4+AH5-AQ4)))</f>
        <v>1.3541153987958183</v>
      </c>
      <c r="AJ5" s="13">
        <f>AI5*VLOOKUP('Données projet'!$B$10,Paramètres!$A$1:$I$89,3,0)*VLOOKUP('Données projet'!$B$10,Paramètres!$A$1:$I$89,5,0)</f>
        <v>1.2252036128304564</v>
      </c>
      <c r="AK5" s="13">
        <f t="shared" ref="AK5:AK68" si="35">EXP(-1.0587+0.8836*LN(AJ5)+0.284)</f>
        <v>0.55143317604780007</v>
      </c>
      <c r="AL5" s="20">
        <f t="shared" si="4"/>
        <v>3.0943090739629628</v>
      </c>
      <c r="AM5" s="59">
        <f t="shared" si="5"/>
        <v>173.6915903614638</v>
      </c>
      <c r="AN5" s="59">
        <f ca="1">AVERAGE(OFFSET($AM$3,0,0,'Données projet'!$E$10+1,1))-AVERAGE(OFFSET($H$3,0,0,'Données projet'!$E$10+1,1))</f>
        <v>737.40414421611001</v>
      </c>
      <c r="AO5" s="59">
        <f t="shared" ref="AO5:AO68" si="36">$AO$3</f>
        <v>245.32893490531674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4.9119354838709679</v>
      </c>
      <c r="BD5" s="12">
        <f>IF('Données projet'!$A$88&gt;35,BD4+BC5-BL4,IF(A5&lt;'Données projet'!$A$88,$BA$205^A5,IF(A5='Données projet'!$A$88,'Données projet'!$B$88,BD4+BC5-BL4)))</f>
        <v>1.3829734059929972</v>
      </c>
      <c r="BE5" s="13">
        <f>BD5*VLOOKUP('Données projet'!$B$11,Paramètres!$A$1:$I$89,3,0)*VLOOKUP('Données projet'!$B$11,Paramètres!$A$1:$I$89,5,0)</f>
        <v>1.165016797208501</v>
      </c>
      <c r="BF5" s="13">
        <f t="shared" ref="BF5:BF68" si="37">EXP(-1.0587+0.8836*LN(BE5)+0.284)</f>
        <v>0.52742800430464087</v>
      </c>
      <c r="BG5" s="20">
        <f t="shared" si="7"/>
        <v>2.9476746959687219</v>
      </c>
      <c r="BH5" s="59">
        <f t="shared" si="8"/>
        <v>173.54495598346955</v>
      </c>
      <c r="BI5" s="59">
        <f ca="1">AVERAGE(OFFSET($BH$3,0,0,'Données projet'!$E$11+1,1))-AVERAGE(OFFSET($H$3,0,0,'Données projet'!$E$11+1,1))</f>
        <v>456.35333554128226</v>
      </c>
      <c r="BJ5" s="59">
        <f t="shared" ref="BJ5:BJ68" si="38">$BJ$3</f>
        <v>296.4517290984877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4.016578947368421</v>
      </c>
      <c r="BY5" s="12">
        <f>IF('Données projet'!$A$114&gt;35,BY4+BX5-CG4,IF(A5&lt;'Données projet'!$A$114,$BV$205^A5,IF(A5='Données projet'!$A$114,'Données projet'!$B$114,BY4+BX5-CG4)))</f>
        <v>8.0331578947368421</v>
      </c>
      <c r="BZ5" s="13">
        <f>BY5*VLOOKUP('Données projet'!$B$12,Paramètres!$A$1:$I$89,3,0)*VLOOKUP('Données projet'!$B$12,Paramètres!$A$1:$I$89,5,0)</f>
        <v>7.6443530526315788</v>
      </c>
      <c r="CA5" s="13">
        <f t="shared" ref="CA5:CA68" si="39">EXP(-1.0587+0.8836*LN(BZ5)+0.284)</f>
        <v>2.7801737582204993</v>
      </c>
      <c r="CB5" s="20">
        <f t="shared" si="10"/>
        <v>18.156050862234036</v>
      </c>
      <c r="CC5" s="59">
        <f t="shared" si="11"/>
        <v>188.75333214973486</v>
      </c>
      <c r="CD5" s="59">
        <f ca="1">AVERAGE(OFFSET($CC$3,0,0,'Données projet'!$E$12+1,1))-AVERAGE(OFFSET($H$3,0,0,'Données projet'!$E$12+1,1))</f>
        <v>486.36097333679697</v>
      </c>
      <c r="CE5" s="59">
        <f t="shared" ref="CE5:CE68" si="40">$CE$3</f>
        <v>308.47736602748159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176.35766384542933</v>
      </c>
      <c r="S6" s="59">
        <f ca="1">AVERAGE(OFFSET($R$3,0,0,'Données projet'!$E$9+1,1))-AVERAGE(OFFSET($H$3,0,0,'Données projet'!$E$9+1,1))</f>
        <v>407.05634973057056</v>
      </c>
      <c r="T6" s="59">
        <f t="shared" si="34"/>
        <v>375.32891954889965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5.0894117647058819</v>
      </c>
      <c r="AI6" s="13">
        <f>IF('Données projet'!$A$62&gt;35,AI5+AH6-AQ5,IF(A6&lt;'Données projet'!$A$62,$AF$205^A6,IF(A6='Données projet'!$A$62,'Données projet'!$B$62,AI5+AH6-AQ5)))</f>
        <v>1.5757362106237753</v>
      </c>
      <c r="AJ6" s="13">
        <f>AI6*VLOOKUP('Données projet'!$B$10,Paramètres!$A$1:$I$89,3,0)*VLOOKUP('Données projet'!$B$10,Paramètres!$A$1:$I$89,5,0)</f>
        <v>1.4257261233723919</v>
      </c>
      <c r="AK6" s="13">
        <f t="shared" si="35"/>
        <v>0.63046120712898079</v>
      </c>
      <c r="AL6" s="20">
        <f t="shared" si="4"/>
        <v>3.5811929339565567</v>
      </c>
      <c r="AM6" s="59">
        <f t="shared" si="5"/>
        <v>176.93621350384143</v>
      </c>
      <c r="AN6" s="59">
        <f ca="1">AVERAGE(OFFSET($AM$3,0,0,'Données projet'!$E$10+1,1))-AVERAGE(OFFSET($H$3,0,0,'Données projet'!$E$10+1,1))</f>
        <v>737.40414421611001</v>
      </c>
      <c r="AO6" s="59">
        <f t="shared" si="36"/>
        <v>245.32893490531674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4.9119354838709679</v>
      </c>
      <c r="BD6" s="12">
        <f>IF('Données projet'!$A$88&gt;35,BD5+BC6-BL5,IF(A6&lt;'Données projet'!$A$88,$BA$205^A6,IF(A6='Données projet'!$A$88,'Données projet'!$B$88,BD5+BC6-BL5)))</f>
        <v>1.6263752001737928</v>
      </c>
      <c r="BE6" s="13">
        <f>BD6*VLOOKUP('Données projet'!$B$11,Paramètres!$A$1:$I$89,3,0)*VLOOKUP('Données projet'!$B$11,Paramètres!$A$1:$I$89,5,0)</f>
        <v>1.3700584686264032</v>
      </c>
      <c r="BF6" s="13">
        <f t="shared" si="37"/>
        <v>0.60865996257103727</v>
      </c>
      <c r="BG6" s="20">
        <f t="shared" si="7"/>
        <v>3.4462679343355425</v>
      </c>
      <c r="BH6" s="59">
        <f t="shared" si="8"/>
        <v>176.80128850422042</v>
      </c>
      <c r="BI6" s="59">
        <f ca="1">AVERAGE(OFFSET($BH$3,0,0,'Données projet'!$E$11+1,1))-AVERAGE(OFFSET($H$3,0,0,'Données projet'!$E$11+1,1))</f>
        <v>456.35333554128226</v>
      </c>
      <c r="BJ6" s="59">
        <f t="shared" si="38"/>
        <v>296.4517290984877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4.016578947368421</v>
      </c>
      <c r="BY6" s="12">
        <f>IF('Données projet'!$A$114&gt;35,BY5+BX6-CG5,IF(A6&lt;'Données projet'!$A$114,$BV$205^A6,IF(A6='Données projet'!$A$114,'Données projet'!$B$114,BY5+BX6-CG5)))</f>
        <v>12.049736842105263</v>
      </c>
      <c r="BZ6" s="13">
        <f>BY6*VLOOKUP('Données projet'!$B$12,Paramètres!$A$1:$I$89,3,0)*VLOOKUP('Données projet'!$B$12,Paramètres!$A$1:$I$89,5,0)</f>
        <v>11.466529578947368</v>
      </c>
      <c r="CA6" s="13">
        <f t="shared" si="39"/>
        <v>3.9780128004247182</v>
      </c>
      <c r="CB6" s="20">
        <f t="shared" si="10"/>
        <v>26.89924464407305</v>
      </c>
      <c r="CC6" s="59">
        <f t="shared" si="11"/>
        <v>200.25426521395792</v>
      </c>
      <c r="CD6" s="59">
        <f ca="1">AVERAGE(OFFSET($CC$3,0,0,'Données projet'!$E$12+1,1))-AVERAGE(OFFSET($H$3,0,0,'Données projet'!$E$12+1,1))</f>
        <v>486.36097333679697</v>
      </c>
      <c r="CE6" s="59">
        <f t="shared" si="40"/>
        <v>308.47736602748159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179.91150281351352</v>
      </c>
      <c r="S7" s="59">
        <f ca="1">AVERAGE(OFFSET($R$3,0,0,'Données projet'!$E$9+1,1))-AVERAGE(OFFSET($H$3,0,0,'Données projet'!$E$9+1,1))</f>
        <v>407.05634973057056</v>
      </c>
      <c r="T7" s="59">
        <f t="shared" si="34"/>
        <v>375.32891954889965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5.0894117647058819</v>
      </c>
      <c r="AI7" s="13">
        <f>IF('Données projet'!$A$62&gt;35,AI6+AH7-AQ6,IF(A7&lt;'Données projet'!$A$62,$AF$205^A7,IF(A7='Données projet'!$A$62,'Données projet'!$B$62,AI6+AH7-AQ6)))</f>
        <v>1.833628513255958</v>
      </c>
      <c r="AJ7" s="13">
        <f>AI7*VLOOKUP('Données projet'!$B$10,Paramètres!$A$1:$I$89,3,0)*VLOOKUP('Données projet'!$B$10,Paramètres!$A$1:$I$89,5,0)</f>
        <v>1.6590670787939907</v>
      </c>
      <c r="AK7" s="13">
        <f t="shared" si="35"/>
        <v>0.72081505241185662</v>
      </c>
      <c r="AL7" s="20">
        <f t="shared" si="4"/>
        <v>4.1449613785168511</v>
      </c>
      <c r="AM7" s="59">
        <f t="shared" si="5"/>
        <v>180.2310834426938</v>
      </c>
      <c r="AN7" s="59">
        <f ca="1">AVERAGE(OFFSET($AM$3,0,0,'Données projet'!$E$10+1,1))-AVERAGE(OFFSET($H$3,0,0,'Données projet'!$E$10+1,1))</f>
        <v>737.40414421611001</v>
      </c>
      <c r="AO7" s="59">
        <f t="shared" si="36"/>
        <v>245.32893490531674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4.9119354838709679</v>
      </c>
      <c r="BD7" s="12">
        <f>IF('Données projet'!$A$88&gt;35,BD6+BC7-BL6,IF(A7&lt;'Données projet'!$A$88,$BA$205^A7,IF(A7='Données projet'!$A$88,'Données projet'!$B$88,BD6+BC7-BL6)))</f>
        <v>1.9126154416838717</v>
      </c>
      <c r="BE7" s="13">
        <f>BD7*VLOOKUP('Données projet'!$B$11,Paramètres!$A$1:$I$89,3,0)*VLOOKUP('Données projet'!$B$11,Paramètres!$A$1:$I$89,5,0)</f>
        <v>1.6111872480744935</v>
      </c>
      <c r="BF7" s="13">
        <f t="shared" si="37"/>
        <v>0.70240288155612574</v>
      </c>
      <c r="BG7" s="20">
        <f t="shared" si="7"/>
        <v>4.0295028091066616</v>
      </c>
      <c r="BH7" s="59">
        <f t="shared" si="8"/>
        <v>180.11562487328362</v>
      </c>
      <c r="BI7" s="59">
        <f ca="1">AVERAGE(OFFSET($BH$3,0,0,'Données projet'!$E$11+1,1))-AVERAGE(OFFSET($H$3,0,0,'Données projet'!$E$11+1,1))</f>
        <v>456.35333554128226</v>
      </c>
      <c r="BJ7" s="59">
        <f t="shared" si="38"/>
        <v>296.4517290984877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4.016578947368421</v>
      </c>
      <c r="BY7" s="12">
        <f>IF('Données projet'!$A$114&gt;35,BY6+BX7-CG6,IF(A7&lt;'Données projet'!$A$114,$BV$205^A7,IF(A7='Données projet'!$A$114,'Données projet'!$B$114,BY6+BX7-CG6)))</f>
        <v>16.066315789473684</v>
      </c>
      <c r="BZ7" s="13">
        <f>BY7*VLOOKUP('Données projet'!$B$12,Paramètres!$A$1:$I$89,3,0)*VLOOKUP('Données projet'!$B$12,Paramètres!$A$1:$I$89,5,0)</f>
        <v>15.288706105263158</v>
      </c>
      <c r="CA7" s="13">
        <f t="shared" si="39"/>
        <v>5.1293465733249333</v>
      </c>
      <c r="CB7" s="20">
        <f t="shared" si="10"/>
        <v>35.561441748540922</v>
      </c>
      <c r="CC7" s="59">
        <f t="shared" si="11"/>
        <v>211.64756381271786</v>
      </c>
      <c r="CD7" s="59">
        <f ca="1">AVERAGE(OFFSET($CC$3,0,0,'Données projet'!$E$12+1,1))-AVERAGE(OFFSET($H$3,0,0,'Données projet'!$E$12+1,1))</f>
        <v>486.36097333679697</v>
      </c>
      <c r="CE7" s="59">
        <f t="shared" si="40"/>
        <v>308.47736602748159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183.66548276084478</v>
      </c>
      <c r="S8" s="59">
        <f ca="1">AVERAGE(OFFSET($R$3,0,0,'Données projet'!$E$9+1,1))-AVERAGE(OFFSET($H$3,0,0,'Données projet'!$E$9+1,1))</f>
        <v>407.05634973057056</v>
      </c>
      <c r="T8" s="59">
        <f t="shared" si="34"/>
        <v>375.32891954889965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5.0894117647058819</v>
      </c>
      <c r="AI8" s="13">
        <f>IF('Données projet'!$A$62&gt;35,AI7+AH8-AQ7,IF(A8&lt;'Données projet'!$A$62,$AF$205^A8,IF(A8='Données projet'!$A$62,'Données projet'!$B$62,AI7+AH8-AQ7)))</f>
        <v>2.1337286672458249</v>
      </c>
      <c r="AJ8" s="13">
        <f>AI8*VLOOKUP('Données projet'!$B$10,Paramètres!$A$1:$I$89,3,0)*VLOOKUP('Données projet'!$B$10,Paramètres!$A$1:$I$89,5,0)</f>
        <v>1.9305976981240223</v>
      </c>
      <c r="AK8" s="13">
        <f t="shared" si="35"/>
        <v>0.82411785833670215</v>
      </c>
      <c r="AL8" s="20">
        <f t="shared" si="4"/>
        <v>4.7977962608357618</v>
      </c>
      <c r="AM8" s="59">
        <f t="shared" si="5"/>
        <v>183.5888441372831</v>
      </c>
      <c r="AN8" s="59">
        <f ca="1">AVERAGE(OFFSET($AM$3,0,0,'Données projet'!$E$10+1,1))-AVERAGE(OFFSET($H$3,0,0,'Données projet'!$E$10+1,1))</f>
        <v>737.40414421611001</v>
      </c>
      <c r="AO8" s="59">
        <f t="shared" si="36"/>
        <v>245.32893490531674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4.9119354838709679</v>
      </c>
      <c r="BD8" s="12">
        <f>IF('Données projet'!$A$88&gt;35,BD7+BC8-BL7,IF(A8&lt;'Données projet'!$A$88,$BA$205^A8,IF(A8='Données projet'!$A$88,'Données projet'!$B$88,BD7+BC8-BL7)))</f>
        <v>2.249233650006893</v>
      </c>
      <c r="BE8" s="13">
        <f>BD8*VLOOKUP('Données projet'!$B$11,Paramètres!$A$1:$I$89,3,0)*VLOOKUP('Données projet'!$B$11,Paramètres!$A$1:$I$89,5,0)</f>
        <v>1.8947544267658067</v>
      </c>
      <c r="BF8" s="13">
        <f t="shared" si="37"/>
        <v>0.81058364005792016</v>
      </c>
      <c r="BG8" s="20">
        <f t="shared" si="7"/>
        <v>4.7117971330513244</v>
      </c>
      <c r="BH8" s="59">
        <f t="shared" si="8"/>
        <v>183.50284500949869</v>
      </c>
      <c r="BI8" s="59">
        <f ca="1">AVERAGE(OFFSET($BH$3,0,0,'Données projet'!$E$11+1,1))-AVERAGE(OFFSET($H$3,0,0,'Données projet'!$E$11+1,1))</f>
        <v>456.35333554128226</v>
      </c>
      <c r="BJ8" s="59">
        <f t="shared" si="38"/>
        <v>296.4517290984877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4.016578947368421</v>
      </c>
      <c r="BY8" s="12">
        <f>IF('Données projet'!$A$114&gt;35,BY7+BX8-CG7,IF(A8&lt;'Données projet'!$A$114,$BV$205^A8,IF(A8='Données projet'!$A$114,'Données projet'!$B$114,BY7+BX8-CG7)))</f>
        <v>20.082894736842107</v>
      </c>
      <c r="BZ8" s="13">
        <f>BY8*VLOOKUP('Données projet'!$B$12,Paramètres!$A$1:$I$89,3,0)*VLOOKUP('Données projet'!$B$12,Paramètres!$A$1:$I$89,5,0)</f>
        <v>19.110882631578949</v>
      </c>
      <c r="CA8" s="13">
        <f t="shared" si="39"/>
        <v>6.2472909350549983</v>
      </c>
      <c r="CB8" s="20">
        <f t="shared" si="10"/>
        <v>44.16548562855413</v>
      </c>
      <c r="CC8" s="59">
        <f t="shared" si="11"/>
        <v>222.95653350500149</v>
      </c>
      <c r="CD8" s="59">
        <f ca="1">AVERAGE(OFFSET($CC$3,0,0,'Données projet'!$E$12+1,1))-AVERAGE(OFFSET($H$3,0,0,'Données projet'!$E$12+1,1))</f>
        <v>486.36097333679697</v>
      </c>
      <c r="CE8" s="59">
        <f t="shared" si="40"/>
        <v>308.47736602748159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187.68254106256205</v>
      </c>
      <c r="S9" s="59">
        <f ca="1">AVERAGE(OFFSET($R$3,0,0,'Données projet'!$E$9+1,1))-AVERAGE(OFFSET($H$3,0,0,'Données projet'!$E$9+1,1))</f>
        <v>407.05634973057056</v>
      </c>
      <c r="T9" s="59">
        <f t="shared" si="34"/>
        <v>375.32891954889965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5.0894117647058819</v>
      </c>
      <c r="AI9" s="13">
        <f>IF('Données projet'!$A$62&gt;35,AI8+AH9-AQ8,IF(A9&lt;'Données projet'!$A$62,$AF$205^A9,IF(A9='Données projet'!$A$62,'Données projet'!$B$62,AI8+AH9-AQ8)))</f>
        <v>2.482944605470975</v>
      </c>
      <c r="AJ9" s="13">
        <f>AI9*VLOOKUP('Données projet'!$B$10,Paramètres!$A$1:$I$89,3,0)*VLOOKUP('Données projet'!$B$10,Paramètres!$A$1:$I$89,5,0)</f>
        <v>2.246568279030138</v>
      </c>
      <c r="AK9" s="13">
        <f t="shared" si="35"/>
        <v>0.94222539076696599</v>
      </c>
      <c r="AL9" s="20">
        <f t="shared" si="4"/>
        <v>5.5538156415632898</v>
      </c>
      <c r="AM9" s="59">
        <f t="shared" si="5"/>
        <v>187.02406773782226</v>
      </c>
      <c r="AN9" s="59">
        <f ca="1">AVERAGE(OFFSET($AM$3,0,0,'Données projet'!$E$10+1,1))-AVERAGE(OFFSET($H$3,0,0,'Données projet'!$E$10+1,1))</f>
        <v>737.40414421611001</v>
      </c>
      <c r="AO9" s="59">
        <f t="shared" si="36"/>
        <v>245.32893490531674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4.9119354838709679</v>
      </c>
      <c r="BD9" s="12">
        <f>IF('Données projet'!$A$88&gt;35,BD8+BC9-BL8,IF(A9&lt;'Données projet'!$A$88,$BA$205^A9,IF(A9='Données projet'!$A$88,'Données projet'!$B$88,BD8+BC9-BL8)))</f>
        <v>2.6450962917403449</v>
      </c>
      <c r="BE9" s="13">
        <f>BD9*VLOOKUP('Données projet'!$B$11,Paramètres!$A$1:$I$89,3,0)*VLOOKUP('Données projet'!$B$11,Paramètres!$A$1:$I$89,5,0)</f>
        <v>2.2282291161620664</v>
      </c>
      <c r="BF9" s="13">
        <f t="shared" si="37"/>
        <v>0.93542588560272921</v>
      </c>
      <c r="BG9" s="20">
        <f t="shared" si="7"/>
        <v>5.5100324614070191</v>
      </c>
      <c r="BH9" s="59">
        <f t="shared" si="8"/>
        <v>186.98028455766598</v>
      </c>
      <c r="BI9" s="59">
        <f ca="1">AVERAGE(OFFSET($BH$3,0,0,'Données projet'!$E$11+1,1))-AVERAGE(OFFSET($H$3,0,0,'Données projet'!$E$11+1,1))</f>
        <v>456.35333554128226</v>
      </c>
      <c r="BJ9" s="59">
        <f t="shared" si="38"/>
        <v>296.4517290984877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4.016578947368421</v>
      </c>
      <c r="BY9" s="12">
        <f>IF('Données projet'!$A$114&gt;35,BY8+BX9-CG8,IF(A9&lt;'Données projet'!$A$114,$BV$205^A9,IF(A9='Données projet'!$A$114,'Données projet'!$B$114,BY8+BX9-CG8)))</f>
        <v>24.09947368421053</v>
      </c>
      <c r="BZ9" s="13">
        <f>BY9*VLOOKUP('Données projet'!$B$12,Paramètres!$A$1:$I$89,3,0)*VLOOKUP('Données projet'!$B$12,Paramètres!$A$1:$I$89,5,0)</f>
        <v>22.933059157894743</v>
      </c>
      <c r="CA9" s="13">
        <f t="shared" si="39"/>
        <v>7.3393277186968353</v>
      </c>
      <c r="CB9" s="20">
        <f t="shared" si="10"/>
        <v>52.724407143396995</v>
      </c>
      <c r="CC9" s="59">
        <f t="shared" si="11"/>
        <v>234.19465923965598</v>
      </c>
      <c r="CD9" s="59">
        <f ca="1">AVERAGE(OFFSET($CC$3,0,0,'Données projet'!$E$12+1,1))-AVERAGE(OFFSET($H$3,0,0,'Données projet'!$E$12+1,1))</f>
        <v>486.36097333679697</v>
      </c>
      <c r="CE9" s="59">
        <f t="shared" si="40"/>
        <v>308.47736602748159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192.04291706680789</v>
      </c>
      <c r="S10" s="59">
        <f ca="1">AVERAGE(OFFSET($R$3,0,0,'Données projet'!$E$9+1,1))-AVERAGE(OFFSET($H$3,0,0,'Données projet'!$E$9+1,1))</f>
        <v>407.05634973057056</v>
      </c>
      <c r="T10" s="59">
        <f t="shared" si="34"/>
        <v>375.32891954889965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5.0894117647058819</v>
      </c>
      <c r="AI10" s="13">
        <f>IF('Données projet'!$A$62&gt;35,AI9+AH10-AQ9,IF(A10&lt;'Données projet'!$A$62,$AF$205^A10,IF(A10='Données projet'!$A$62,'Données projet'!$B$62,AI9+AH10-AQ9)))</f>
        <v>2.8893148451696504</v>
      </c>
      <c r="AJ10" s="13">
        <f>AI10*VLOOKUP('Données projet'!$B$10,Paramètres!$A$1:$I$89,3,0)*VLOOKUP('Données projet'!$B$10,Paramètres!$A$1:$I$89,5,0)</f>
        <v>2.6142520719094997</v>
      </c>
      <c r="AK10" s="13">
        <f t="shared" si="35"/>
        <v>1.0772593725826609</v>
      </c>
      <c r="AL10" s="20">
        <f t="shared" si="4"/>
        <v>6.4293824324905131</v>
      </c>
      <c r="AM10" s="59">
        <f t="shared" si="5"/>
        <v>190.55356336822675</v>
      </c>
      <c r="AN10" s="59">
        <f ca="1">AVERAGE(OFFSET($AM$3,0,0,'Données projet'!$E$10+1,1))-AVERAGE(OFFSET($H$3,0,0,'Données projet'!$E$10+1,1))</f>
        <v>737.40414421611001</v>
      </c>
      <c r="AO10" s="59">
        <f t="shared" si="36"/>
        <v>245.32893490531674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4.9119354838709679</v>
      </c>
      <c r="BD10" s="12">
        <f>IF('Données projet'!$A$88&gt;35,BD9+BC10-BL9,IF(A10&lt;'Données projet'!$A$88,$BA$205^A10,IF(A10='Données projet'!$A$88,'Données projet'!$B$88,BD9+BC10-BL9)))</f>
        <v>3.110630321824094</v>
      </c>
      <c r="BE10" s="13">
        <f>BD10*VLOOKUP('Données projet'!$B$11,Paramètres!$A$1:$I$89,3,0)*VLOOKUP('Données projet'!$B$11,Paramètres!$A$1:$I$89,5,0)</f>
        <v>2.6203949831046174</v>
      </c>
      <c r="BF10" s="13">
        <f t="shared" si="37"/>
        <v>1.0794957413563466</v>
      </c>
      <c r="BG10" s="20">
        <f t="shared" si="7"/>
        <v>6.443976345102846</v>
      </c>
      <c r="BH10" s="59">
        <f t="shared" si="8"/>
        <v>190.56815728083907</v>
      </c>
      <c r="BI10" s="59">
        <f ca="1">AVERAGE(OFFSET($BH$3,0,0,'Données projet'!$E$11+1,1))-AVERAGE(OFFSET($H$3,0,0,'Données projet'!$E$11+1,1))</f>
        <v>456.35333554128226</v>
      </c>
      <c r="BJ10" s="59">
        <f t="shared" si="38"/>
        <v>296.4517290984877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4.016578947368421</v>
      </c>
      <c r="BY10" s="12">
        <f>IF('Données projet'!$A$114&gt;35,BY9+BX10-CG9,IF(A10&lt;'Données projet'!$A$114,$BV$205^A10,IF(A10='Données projet'!$A$114,'Données projet'!$B$114,BY9+BX10-CG9)))</f>
        <v>28.116052631578953</v>
      </c>
      <c r="BZ10" s="13">
        <f>BY10*VLOOKUP('Données projet'!$B$12,Paramètres!$A$1:$I$89,3,0)*VLOOKUP('Données projet'!$B$12,Paramètres!$A$1:$I$89,5,0)</f>
        <v>26.755235684210533</v>
      </c>
      <c r="CA10" s="13">
        <f t="shared" si="39"/>
        <v>8.4102801727490544</v>
      </c>
      <c r="CB10" s="20">
        <f t="shared" si="10"/>
        <v>61.246606784204609</v>
      </c>
      <c r="CC10" s="59">
        <f t="shared" si="11"/>
        <v>245.37078771994084</v>
      </c>
      <c r="CD10" s="59">
        <f ca="1">AVERAGE(OFFSET($CC$3,0,0,'Données projet'!$E$12+1,1))-AVERAGE(OFFSET($H$3,0,0,'Données projet'!$E$12+1,1))</f>
        <v>486.36097333679697</v>
      </c>
      <c r="CE10" s="59">
        <f t="shared" si="40"/>
        <v>308.47736602748159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196.84896276392016</v>
      </c>
      <c r="S11" s="59">
        <f ca="1">AVERAGE(OFFSET($R$3,0,0,'Données projet'!$E$9+1,1))-AVERAGE(OFFSET($H$3,0,0,'Données projet'!$E$9+1,1))</f>
        <v>407.05634973057056</v>
      </c>
      <c r="T11" s="59">
        <f t="shared" si="34"/>
        <v>375.32891954889965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5.0894117647058819</v>
      </c>
      <c r="AI11" s="13">
        <f>IF('Données projet'!$A$62&gt;35,AI10+AH11-AQ10,IF(A11&lt;'Données projet'!$A$62,$AF$205^A11,IF(A11='Données projet'!$A$62,'Données projet'!$B$62,AI10+AH11-AQ10)))</f>
        <v>3.3621935246252548</v>
      </c>
      <c r="AJ11" s="13">
        <f>AI11*VLOOKUP('Données projet'!$B$10,Paramètres!$A$1:$I$89,3,0)*VLOOKUP('Données projet'!$B$10,Paramètres!$A$1:$I$89,5,0)</f>
        <v>3.0421127010809306</v>
      </c>
      <c r="AK11" s="13">
        <f t="shared" si="35"/>
        <v>1.2316455990137962</v>
      </c>
      <c r="AL11" s="20">
        <f t="shared" si="4"/>
        <v>7.4434623726649827</v>
      </c>
      <c r="AM11" s="59">
        <f t="shared" si="5"/>
        <v>194.19673523888554</v>
      </c>
      <c r="AN11" s="59">
        <f ca="1">AVERAGE(OFFSET($AM$3,0,0,'Données projet'!$E$10+1,1))-AVERAGE(OFFSET($H$3,0,0,'Données projet'!$E$10+1,1))</f>
        <v>737.40414421611001</v>
      </c>
      <c r="AO11" s="59">
        <f t="shared" si="36"/>
        <v>245.32893490531674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4.9119354838709679</v>
      </c>
      <c r="BD11" s="12">
        <f>IF('Données projet'!$A$88&gt;35,BD10+BC11-BL10,IF(A11&lt;'Données projet'!$A$88,$BA$205^A11,IF(A11='Données projet'!$A$88,'Données projet'!$B$88,BD10+BC11-BL10)))</f>
        <v>3.6580978277675915</v>
      </c>
      <c r="BE11" s="13">
        <f>BD11*VLOOKUP('Données projet'!$B$11,Paramètres!$A$1:$I$89,3,0)*VLOOKUP('Données projet'!$B$11,Paramètres!$A$1:$I$89,5,0)</f>
        <v>3.0815816101114191</v>
      </c>
      <c r="BF11" s="13">
        <f t="shared" si="37"/>
        <v>1.2457545525967939</v>
      </c>
      <c r="BG11" s="20">
        <f t="shared" si="7"/>
        <v>7.5367771500501375</v>
      </c>
      <c r="BH11" s="59">
        <f t="shared" si="8"/>
        <v>194.2900500162707</v>
      </c>
      <c r="BI11" s="59">
        <f ca="1">AVERAGE(OFFSET($BH$3,0,0,'Données projet'!$E$11+1,1))-AVERAGE(OFFSET($H$3,0,0,'Données projet'!$E$11+1,1))</f>
        <v>456.35333554128226</v>
      </c>
      <c r="BJ11" s="59">
        <f t="shared" si="38"/>
        <v>296.4517290984877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4.016578947368421</v>
      </c>
      <c r="BY11" s="12">
        <f>IF('Données projet'!$A$114&gt;35,BY10+BX11-CG10,IF(A11&lt;'Données projet'!$A$114,$BV$205^A11,IF(A11='Données projet'!$A$114,'Données projet'!$B$114,BY10+BX11-CG10)))</f>
        <v>32.132631578947375</v>
      </c>
      <c r="BZ11" s="13">
        <f>BY11*VLOOKUP('Données projet'!$B$12,Paramètres!$A$1:$I$89,3,0)*VLOOKUP('Données projet'!$B$12,Paramètres!$A$1:$I$89,5,0)</f>
        <v>30.577412210526322</v>
      </c>
      <c r="CA11" s="13">
        <f t="shared" si="39"/>
        <v>9.4635078802126973</v>
      </c>
      <c r="CB11" s="20">
        <f t="shared" si="10"/>
        <v>69.737935824703797</v>
      </c>
      <c r="CC11" s="59">
        <f t="shared" si="11"/>
        <v>256.49120869092434</v>
      </c>
      <c r="CD11" s="59">
        <f ca="1">AVERAGE(OFFSET($CC$3,0,0,'Données projet'!$E$12+1,1))-AVERAGE(OFFSET($H$3,0,0,'Données projet'!$E$12+1,1))</f>
        <v>486.36097333679697</v>
      </c>
      <c r="CE11" s="59">
        <f t="shared" si="40"/>
        <v>308.47736602748159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202.23129421648068</v>
      </c>
      <c r="S12" s="59">
        <f ca="1">AVERAGE(OFFSET($R$3,0,0,'Données projet'!$E$9+1,1))-AVERAGE(OFFSET($H$3,0,0,'Données projet'!$E$9+1,1))</f>
        <v>407.05634973057056</v>
      </c>
      <c r="T12" s="59">
        <f t="shared" si="34"/>
        <v>375.32891954889965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5.0894117647058819</v>
      </c>
      <c r="AI12" s="13">
        <f>IF('Données projet'!$A$62&gt;35,AI11+AH12-AQ11,IF(A12&lt;'Données projet'!$A$62,$AF$205^A12,IF(A12='Données projet'!$A$62,'Données projet'!$B$62,AI11+AH12-AQ11)))</f>
        <v>3.9124657238135789</v>
      </c>
      <c r="AJ12" s="13">
        <f>AI12*VLOOKUP('Données projet'!$B$10,Paramètres!$A$1:$I$89,3,0)*VLOOKUP('Données projet'!$B$10,Paramètres!$A$1:$I$89,5,0)</f>
        <v>3.5399989869065265</v>
      </c>
      <c r="AK12" s="13">
        <f t="shared" si="35"/>
        <v>1.4081575154303458</v>
      </c>
      <c r="AL12" s="20">
        <f t="shared" si="4"/>
        <v>8.6180392415700524</v>
      </c>
      <c r="AM12" s="59">
        <f t="shared" si="5"/>
        <v>197.97599799412612</v>
      </c>
      <c r="AN12" s="59">
        <f ca="1">AVERAGE(OFFSET($AM$3,0,0,'Données projet'!$E$10+1,1))-AVERAGE(OFFSET($H$3,0,0,'Données projet'!$E$10+1,1))</f>
        <v>737.40414421611001</v>
      </c>
      <c r="AO12" s="59">
        <f t="shared" si="36"/>
        <v>245.32893490531674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4.9119354838709679</v>
      </c>
      <c r="BD12" s="12">
        <f>IF('Données projet'!$A$88&gt;35,BD11+BC12-BL11,IF(A12&lt;'Données projet'!$A$88,$BA$205^A12,IF(A12='Données projet'!$A$88,'Données projet'!$B$88,BD11+BC12-BL11)))</f>
        <v>4.3019190109581604</v>
      </c>
      <c r="BE12" s="13">
        <f>BD12*VLOOKUP('Données projet'!$B$11,Paramètres!$A$1:$I$89,3,0)*VLOOKUP('Données projet'!$B$11,Paramètres!$A$1:$I$89,5,0)</f>
        <v>3.6239365748311547</v>
      </c>
      <c r="BF12" s="13">
        <f t="shared" si="37"/>
        <v>1.4376197569484881</v>
      </c>
      <c r="BG12" s="20">
        <f t="shared" si="7"/>
        <v>8.8155439445162127</v>
      </c>
      <c r="BH12" s="59">
        <f t="shared" si="8"/>
        <v>198.17350269707228</v>
      </c>
      <c r="BI12" s="59">
        <f ca="1">AVERAGE(OFFSET($BH$3,0,0,'Données projet'!$E$11+1,1))-AVERAGE(OFFSET($H$3,0,0,'Données projet'!$E$11+1,1))</f>
        <v>456.35333554128226</v>
      </c>
      <c r="BJ12" s="59">
        <f t="shared" si="38"/>
        <v>296.4517290984877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4.016578947368421</v>
      </c>
      <c r="BY12" s="12">
        <f>IF('Données projet'!$A$114&gt;35,BY11+BX12-CG11,IF(A12&lt;'Données projet'!$A$114,$BV$205^A12,IF(A12='Données projet'!$A$114,'Données projet'!$B$114,BY11+BX12-CG11)))</f>
        <v>36.149210526315798</v>
      </c>
      <c r="BZ12" s="13">
        <f>BY12*VLOOKUP('Données projet'!$B$12,Paramètres!$A$1:$I$89,3,0)*VLOOKUP('Données projet'!$B$12,Paramètres!$A$1:$I$89,5,0)</f>
        <v>34.399588736842112</v>
      </c>
      <c r="CA12" s="13">
        <f t="shared" si="39"/>
        <v>10.501480177330832</v>
      </c>
      <c r="CB12" s="20">
        <f t="shared" si="10"/>
        <v>78.202695025517883</v>
      </c>
      <c r="CC12" s="59">
        <f t="shared" si="11"/>
        <v>267.56065377807397</v>
      </c>
      <c r="CD12" s="59">
        <f ca="1">AVERAGE(OFFSET($CC$3,0,0,'Données projet'!$E$12+1,1))-AVERAGE(OFFSET($H$3,0,0,'Données projet'!$E$12+1,1))</f>
        <v>486.36097333679697</v>
      </c>
      <c r="CE12" s="59">
        <f t="shared" si="40"/>
        <v>308.47736602748159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208.35665843082973</v>
      </c>
      <c r="S13" s="59">
        <f ca="1">AVERAGE(OFFSET($R$3,0,0,'Données projet'!$E$9+1,1))-AVERAGE(OFFSET($H$3,0,0,'Données projet'!$E$9+1,1))</f>
        <v>407.05634973057056</v>
      </c>
      <c r="T13" s="59">
        <f t="shared" si="34"/>
        <v>375.32891954889965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5.0894117647058819</v>
      </c>
      <c r="AI13" s="13">
        <f>IF('Données projet'!$A$62&gt;35,AI12+AH13-AQ12,IF(A13&lt;'Données projet'!$A$62,$AF$205^A13,IF(A13='Données projet'!$A$62,'Données projet'!$B$62,AI12+AH13-AQ12)))</f>
        <v>4.5527980254266449</v>
      </c>
      <c r="AJ13" s="13">
        <f>AI13*VLOOKUP('Données projet'!$B$10,Paramètres!$A$1:$I$89,3,0)*VLOOKUP('Données projet'!$B$10,Paramètres!$A$1:$I$89,5,0)</f>
        <v>4.1193716534060281</v>
      </c>
      <c r="AK13" s="13">
        <f t="shared" si="35"/>
        <v>1.6099660404346177</v>
      </c>
      <c r="AL13" s="20">
        <f t="shared" si="4"/>
        <v>9.9785964834391248</v>
      </c>
      <c r="AM13" s="59">
        <f t="shared" si="5"/>
        <v>201.91725846848402</v>
      </c>
      <c r="AN13" s="59">
        <f ca="1">AVERAGE(OFFSET($AM$3,0,0,'Données projet'!$E$10+1,1))-AVERAGE(OFFSET($H$3,0,0,'Données projet'!$E$10+1,1))</f>
        <v>737.40414421611001</v>
      </c>
      <c r="AO13" s="59">
        <f t="shared" si="36"/>
        <v>245.32893490531674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4.9119354838709679</v>
      </c>
      <c r="BD13" s="12">
        <f>IF('Données projet'!$A$88&gt;35,BD12+BC13-BL12,IF(A13&lt;'Données projet'!$A$88,$BA$205^A13,IF(A13='Données projet'!$A$88,'Données projet'!$B$88,BD12+BC13-BL12)))</f>
        <v>5.0590520123233302</v>
      </c>
      <c r="BE13" s="13">
        <f>BD13*VLOOKUP('Données projet'!$B$11,Paramètres!$A$1:$I$89,3,0)*VLOOKUP('Données projet'!$B$11,Paramètres!$A$1:$I$89,5,0)</f>
        <v>4.2617454151811742</v>
      </c>
      <c r="BF13" s="13">
        <f t="shared" si="37"/>
        <v>1.6590351295610017</v>
      </c>
      <c r="BG13" s="20">
        <f t="shared" si="7"/>
        <v>10.312026115425956</v>
      </c>
      <c r="BH13" s="59">
        <f t="shared" si="8"/>
        <v>202.25068810047085</v>
      </c>
      <c r="BI13" s="59">
        <f ca="1">AVERAGE(OFFSET($BH$3,0,0,'Données projet'!$E$11+1,1))-AVERAGE(OFFSET($H$3,0,0,'Données projet'!$E$11+1,1))</f>
        <v>456.35333554128226</v>
      </c>
      <c r="BJ13" s="59">
        <f t="shared" si="38"/>
        <v>296.4517290984877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4.016578947368421</v>
      </c>
      <c r="BY13" s="12">
        <f>IF('Données projet'!$A$114&gt;35,BY12+BX13-CG12,IF(A13&lt;'Données projet'!$A$114,$BV$205^A13,IF(A13='Données projet'!$A$114,'Données projet'!$B$114,BY12+BX13-CG12)))</f>
        <v>40.165789473684221</v>
      </c>
      <c r="BZ13" s="13">
        <f>BY13*VLOOKUP('Données projet'!$B$12,Paramètres!$A$1:$I$89,3,0)*VLOOKUP('Données projet'!$B$12,Paramètres!$A$1:$I$89,5,0)</f>
        <v>38.221765263157906</v>
      </c>
      <c r="CA13" s="13">
        <f t="shared" si="39"/>
        <v>11.52608546697418</v>
      </c>
      <c r="CB13" s="20">
        <f t="shared" si="10"/>
        <v>86.644173354980055</v>
      </c>
      <c r="CC13" s="59">
        <f t="shared" si="11"/>
        <v>278.58283534002493</v>
      </c>
      <c r="CD13" s="59">
        <f ca="1">AVERAGE(OFFSET($CC$3,0,0,'Données projet'!$E$12+1,1))-AVERAGE(OFFSET($H$3,0,0,'Données projet'!$E$12+1,1))</f>
        <v>486.36097333679697</v>
      </c>
      <c r="CE13" s="59">
        <f t="shared" si="40"/>
        <v>308.47736602748159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215.43799530860721</v>
      </c>
      <c r="S14" s="59">
        <f ca="1">AVERAGE(OFFSET($R$3,0,0,'Données projet'!$E$9+1,1))-AVERAGE(OFFSET($H$3,0,0,'Données projet'!$E$9+1,1))</f>
        <v>407.05634973057056</v>
      </c>
      <c r="T14" s="59">
        <f t="shared" si="34"/>
        <v>375.32891954889965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5.0894117647058819</v>
      </c>
      <c r="AI14" s="13">
        <f>IF('Données projet'!$A$62&gt;35,AI13+AH14-AQ13,IF(A14&lt;'Données projet'!$A$62,$AF$205^A14,IF(A14='Données projet'!$A$62,'Données projet'!$B$62,AI13+AH14-AQ13)))</f>
        <v>5.2979300838767944</v>
      </c>
      <c r="AJ14" s="13">
        <f>AI14*VLOOKUP('Données projet'!$B$10,Paramètres!$A$1:$I$89,3,0)*VLOOKUP('Données projet'!$B$10,Paramètres!$A$1:$I$89,5,0)</f>
        <v>4.7935671398917234</v>
      </c>
      <c r="AK14" s="13">
        <f t="shared" si="35"/>
        <v>1.8406965292945834</v>
      </c>
      <c r="AL14" s="20">
        <f t="shared" si="4"/>
        <v>11.554675890499484</v>
      </c>
      <c r="AM14" s="59">
        <f t="shared" si="5"/>
        <v>206.05047449961361</v>
      </c>
      <c r="AN14" s="59">
        <f ca="1">AVERAGE(OFFSET($AM$3,0,0,'Données projet'!$E$10+1,1))-AVERAGE(OFFSET($H$3,0,0,'Données projet'!$E$10+1,1))</f>
        <v>737.40414421611001</v>
      </c>
      <c r="AO14" s="59">
        <f t="shared" si="36"/>
        <v>245.32893490531674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4.9119354838709679</v>
      </c>
      <c r="BD14" s="12">
        <f>IF('Données projet'!$A$88&gt;35,BD13+BC14-BL13,IF(A14&lt;'Données projet'!$A$88,$BA$205^A14,IF(A14='Données projet'!$A$88,'Données projet'!$B$88,BD13+BC14-BL13)))</f>
        <v>5.9494395868908336</v>
      </c>
      <c r="BE14" s="13">
        <f>BD14*VLOOKUP('Données projet'!$B$11,Paramètres!$A$1:$I$89,3,0)*VLOOKUP('Données projet'!$B$11,Paramètres!$A$1:$I$89,5,0)</f>
        <v>5.0118079079968387</v>
      </c>
      <c r="BF14" s="13">
        <f t="shared" si="37"/>
        <v>1.914551847116909</v>
      </c>
      <c r="BG14" s="20">
        <f t="shared" si="7"/>
        <v>12.063409906823109</v>
      </c>
      <c r="BH14" s="59">
        <f t="shared" si="8"/>
        <v>206.55920851593723</v>
      </c>
      <c r="BI14" s="59">
        <f ca="1">AVERAGE(OFFSET($BH$3,0,0,'Données projet'!$E$11+1,1))-AVERAGE(OFFSET($H$3,0,0,'Données projet'!$E$11+1,1))</f>
        <v>456.35333554128226</v>
      </c>
      <c r="BJ14" s="59">
        <f t="shared" si="38"/>
        <v>296.4517290984877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4.016578947368421</v>
      </c>
      <c r="BY14" s="12">
        <f>IF('Données projet'!$A$114&gt;35,BY13+BX14-CG13,IF(A14&lt;'Données projet'!$A$114,$BV$205^A14,IF(A14='Données projet'!$A$114,'Données projet'!$B$114,BY13+BX14-CG13)))</f>
        <v>44.182368421052644</v>
      </c>
      <c r="BZ14" s="13">
        <f>BY14*VLOOKUP('Données projet'!$B$12,Paramètres!$A$1:$I$89,3,0)*VLOOKUP('Données projet'!$B$12,Paramètres!$A$1:$I$89,5,0)</f>
        <v>42.043941789473699</v>
      </c>
      <c r="CA14" s="13">
        <f t="shared" si="39"/>
        <v>12.538812616073887</v>
      </c>
      <c r="CB14" s="20">
        <f t="shared" si="10"/>
        <v>95.064963922995389</v>
      </c>
      <c r="CC14" s="59">
        <f t="shared" si="11"/>
        <v>289.56076253210949</v>
      </c>
      <c r="CD14" s="59">
        <f ca="1">AVERAGE(OFFSET($CC$3,0,0,'Données projet'!$E$12+1,1))-AVERAGE(OFFSET($H$3,0,0,'Données projet'!$E$12+1,1))</f>
        <v>486.36097333679697</v>
      </c>
      <c r="CE14" s="59">
        <f t="shared" si="40"/>
        <v>308.47736602748159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223.74730874037277</v>
      </c>
      <c r="S15" s="59">
        <f ca="1">AVERAGE(OFFSET($R$3,0,0,'Données projet'!$E$9+1,1))-AVERAGE(OFFSET($H$3,0,0,'Données projet'!$E$9+1,1))</f>
        <v>407.05634973057056</v>
      </c>
      <c r="T15" s="59">
        <f t="shared" si="34"/>
        <v>375.32891954889965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5.0894117647058819</v>
      </c>
      <c r="AI15" s="13">
        <f>IF('Données projet'!$A$62&gt;35,AI14+AH15-AQ14,IF(A15&lt;'Données projet'!$A$62,$AF$205^A15,IF(A15='Données projet'!$A$62,'Données projet'!$B$62,AI14+AH15-AQ14)))</f>
        <v>6.1650139138374147</v>
      </c>
      <c r="AJ15" s="13">
        <f>AI15*VLOOKUP('Données projet'!$B$10,Paramètres!$A$1:$I$89,3,0)*VLOOKUP('Données projet'!$B$10,Paramètres!$A$1:$I$89,5,0)</f>
        <v>5.5781045892400929</v>
      </c>
      <c r="AK15" s="13">
        <f t="shared" si="35"/>
        <v>2.1044939010281696</v>
      </c>
      <c r="AL15" s="20">
        <f t="shared" si="4"/>
        <v>13.38052570388389</v>
      </c>
      <c r="AM15" s="59">
        <f t="shared" si="5"/>
        <v>210.41030315661675</v>
      </c>
      <c r="AN15" s="59">
        <f ca="1">AVERAGE(OFFSET($AM$3,0,0,'Données projet'!$E$10+1,1))-AVERAGE(OFFSET($H$3,0,0,'Données projet'!$E$10+1,1))</f>
        <v>737.40414421611001</v>
      </c>
      <c r="AO15" s="59">
        <f t="shared" si="36"/>
        <v>245.32893490531674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4.9119354838709679</v>
      </c>
      <c r="BD15" s="12">
        <f>IF('Données projet'!$A$88&gt;35,BD14+BC15-BL14,IF(A15&lt;'Données projet'!$A$88,$BA$205^A15,IF(A15='Données projet'!$A$88,'Données projet'!$B$88,BD14+BC15-BL14)))</f>
        <v>6.9965343925785239</v>
      </c>
      <c r="BE15" s="13">
        <f>BD15*VLOOKUP('Données projet'!$B$11,Paramètres!$A$1:$I$89,3,0)*VLOOKUP('Données projet'!$B$11,Paramètres!$A$1:$I$89,5,0)</f>
        <v>5.8938805723081495</v>
      </c>
      <c r="BF15" s="13">
        <f t="shared" si="37"/>
        <v>2.2094220369334199</v>
      </c>
      <c r="BG15" s="20">
        <f t="shared" si="7"/>
        <v>14.113252044429068</v>
      </c>
      <c r="BH15" s="59">
        <f t="shared" si="8"/>
        <v>211.14302949716193</v>
      </c>
      <c r="BI15" s="59">
        <f ca="1">AVERAGE(OFFSET($BH$3,0,0,'Données projet'!$E$11+1,1))-AVERAGE(OFFSET($H$3,0,0,'Données projet'!$E$11+1,1))</f>
        <v>456.35333554128226</v>
      </c>
      <c r="BJ15" s="59">
        <f t="shared" si="38"/>
        <v>296.4517290984877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4.016578947368421</v>
      </c>
      <c r="BY15" s="12">
        <f>IF('Données projet'!$A$114&gt;35,BY14+BX15-CG14,IF(A15&lt;'Données projet'!$A$114,$BV$205^A15,IF(A15='Données projet'!$A$114,'Données projet'!$B$114,BY14+BX15-CG14)))</f>
        <v>48.198947368421067</v>
      </c>
      <c r="BZ15" s="13">
        <f>BY15*VLOOKUP('Données projet'!$B$12,Paramètres!$A$1:$I$89,3,0)*VLOOKUP('Données projet'!$B$12,Paramètres!$A$1:$I$89,5,0)</f>
        <v>45.866118315789485</v>
      </c>
      <c r="CA15" s="13">
        <f t="shared" si="39"/>
        <v>13.540864261844654</v>
      </c>
      <c r="CB15" s="20">
        <f t="shared" si="10"/>
        <v>103.4671613227128</v>
      </c>
      <c r="CC15" s="59">
        <f t="shared" si="11"/>
        <v>300.49693877544564</v>
      </c>
      <c r="CD15" s="59">
        <f ca="1">AVERAGE(OFFSET($CC$3,0,0,'Données projet'!$E$12+1,1))-AVERAGE(OFFSET($H$3,0,0,'Données projet'!$E$12+1,1))</f>
        <v>486.36097333679697</v>
      </c>
      <c r="CE15" s="59">
        <f t="shared" si="40"/>
        <v>308.47736602748159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233.63213308068717</v>
      </c>
      <c r="S16" s="59">
        <f ca="1">AVERAGE(OFFSET($R$3,0,0,'Données projet'!$E$9+1,1))-AVERAGE(OFFSET($H$3,0,0,'Données projet'!$E$9+1,1))</f>
        <v>407.05634973057056</v>
      </c>
      <c r="T16" s="59">
        <f t="shared" si="34"/>
        <v>375.32891954889965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5.0894117647058819</v>
      </c>
      <c r="AI16" s="13">
        <f>IF('Données projet'!$A$62&gt;35,AI15+AH16-AQ15,IF(A16&lt;'Données projet'!$A$62,$AF$205^A16,IF(A16='Données projet'!$A$62,'Données projet'!$B$62,AI15+AH16-AQ15)))</f>
        <v>7.1740087083211872</v>
      </c>
      <c r="AJ16" s="13">
        <f>AI16*VLOOKUP('Données projet'!$B$10,Paramètres!$A$1:$I$89,3,0)*VLOOKUP('Données projet'!$B$10,Paramètres!$A$1:$I$89,5,0)</f>
        <v>6.4910430792890104</v>
      </c>
      <c r="AK16" s="13">
        <f t="shared" si="35"/>
        <v>2.4060970991030577</v>
      </c>
      <c r="AL16" s="20">
        <f t="shared" si="4"/>
        <v>15.495852477366185</v>
      </c>
      <c r="AM16" s="59">
        <f t="shared" si="5"/>
        <v>215.036852728985</v>
      </c>
      <c r="AN16" s="59">
        <f ca="1">AVERAGE(OFFSET($AM$3,0,0,'Données projet'!$E$10+1,1))-AVERAGE(OFFSET($H$3,0,0,'Données projet'!$E$10+1,1))</f>
        <v>737.40414421611001</v>
      </c>
      <c r="AO16" s="59">
        <f t="shared" si="36"/>
        <v>245.32893490531674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4.9119354838709679</v>
      </c>
      <c r="BD16" s="12">
        <f>IF('Données projet'!$A$88&gt;35,BD15+BC16-BL15,IF(A16&lt;'Données projet'!$A$88,$BA$205^A16,IF(A16='Données projet'!$A$88,'Données projet'!$B$88,BD15+BC16-BL15)))</f>
        <v>8.2279167292319872</v>
      </c>
      <c r="BE16" s="13">
        <f>BD16*VLOOKUP('Données projet'!$B$11,Paramètres!$A$1:$I$89,3,0)*VLOOKUP('Données projet'!$B$11,Paramètres!$A$1:$I$89,5,0)</f>
        <v>6.9311970527050271</v>
      </c>
      <c r="BF16" s="13">
        <f t="shared" si="37"/>
        <v>2.5497067340527018</v>
      </c>
      <c r="BG16" s="20">
        <f t="shared" si="7"/>
        <v>16.512574095269713</v>
      </c>
      <c r="BH16" s="59">
        <f t="shared" si="8"/>
        <v>216.05357434688852</v>
      </c>
      <c r="BI16" s="59">
        <f ca="1">AVERAGE(OFFSET($BH$3,0,0,'Données projet'!$E$11+1,1))-AVERAGE(OFFSET($H$3,0,0,'Données projet'!$E$11+1,1))</f>
        <v>456.35333554128226</v>
      </c>
      <c r="BJ16" s="59">
        <f t="shared" si="38"/>
        <v>296.4517290984877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4.016578947368421</v>
      </c>
      <c r="BY16" s="12">
        <f>IF('Données projet'!$A$114&gt;35,BY15+BX16-CG15,IF(A16&lt;'Données projet'!$A$114,$BV$205^A16,IF(A16='Données projet'!$A$114,'Données projet'!$B$114,BY15+BX16-CG15)))</f>
        <v>52.215526315789489</v>
      </c>
      <c r="BZ16" s="13">
        <f>BY16*VLOOKUP('Données projet'!$B$12,Paramètres!$A$1:$I$89,3,0)*VLOOKUP('Données projet'!$B$12,Paramètres!$A$1:$I$89,5,0)</f>
        <v>49.688294842105279</v>
      </c>
      <c r="CA16" s="13">
        <f t="shared" si="39"/>
        <v>14.533231172057361</v>
      </c>
      <c r="CB16" s="20">
        <f t="shared" si="10"/>
        <v>111.85249114133325</v>
      </c>
      <c r="CC16" s="59">
        <f t="shared" si="11"/>
        <v>311.39349139295206</v>
      </c>
      <c r="CD16" s="59">
        <f ca="1">AVERAGE(OFFSET($CC$3,0,0,'Données projet'!$E$12+1,1))-AVERAGE(OFFSET($H$3,0,0,'Données projet'!$E$12+1,1))</f>
        <v>486.36097333679697</v>
      </c>
      <c r="CE16" s="59">
        <f t="shared" si="40"/>
        <v>308.47736602748159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245.53660179896778</v>
      </c>
      <c r="S17" s="59">
        <f ca="1">AVERAGE(OFFSET($R$3,0,0,'Données projet'!$E$9+1,1))-AVERAGE(OFFSET($H$3,0,0,'Données projet'!$E$9+1,1))</f>
        <v>407.05634973057056</v>
      </c>
      <c r="T17" s="59">
        <f t="shared" si="34"/>
        <v>375.32891954889965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5.0894117647058819</v>
      </c>
      <c r="AI17" s="13">
        <f>IF('Données projet'!$A$62&gt;35,AI16+AH17-AQ16,IF(A17&lt;'Données projet'!$A$62,$AF$205^A17,IF(A17='Données projet'!$A$62,'Données projet'!$B$62,AI16+AH17-AQ16)))</f>
        <v>8.3481402745177196</v>
      </c>
      <c r="AJ17" s="13">
        <f>AI17*VLOOKUP('Données projet'!$B$10,Paramètres!$A$1:$I$89,3,0)*VLOOKUP('Données projet'!$B$10,Paramètres!$A$1:$I$89,5,0)</f>
        <v>7.553397320383632</v>
      </c>
      <c r="AK17" s="13">
        <f t="shared" si="35"/>
        <v>2.7509242233886888</v>
      </c>
      <c r="AL17" s="20">
        <f t="shared" si="4"/>
        <v>17.946693355403458</v>
      </c>
      <c r="AM17" s="59">
        <f t="shared" si="5"/>
        <v>219.97655512767665</v>
      </c>
      <c r="AN17" s="59">
        <f ca="1">AVERAGE(OFFSET($AM$3,0,0,'Données projet'!$E$10+1,1))-AVERAGE(OFFSET($H$3,0,0,'Données projet'!$E$10+1,1))</f>
        <v>737.40414421611001</v>
      </c>
      <c r="AO17" s="59">
        <f t="shared" si="36"/>
        <v>245.32893490531674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4.9119354838709679</v>
      </c>
      <c r="BD17" s="12">
        <f>IF('Données projet'!$A$88&gt;35,BD16+BC17-BL16,IF(A17&lt;'Données projet'!$A$88,$BA$205^A17,IF(A17='Données projet'!$A$88,'Données projet'!$B$88,BD16+BC17-BL16)))</f>
        <v>9.6760209990514667</v>
      </c>
      <c r="BE17" s="13">
        <f>BD17*VLOOKUP('Données projet'!$B$11,Paramètres!$A$1:$I$89,3,0)*VLOOKUP('Données projet'!$B$11,Paramètres!$A$1:$I$89,5,0)</f>
        <v>8.1510800896009563</v>
      </c>
      <c r="BF17" s="13">
        <f t="shared" si="37"/>
        <v>2.9424004653709348</v>
      </c>
      <c r="BG17" s="20">
        <f t="shared" si="7"/>
        <v>19.321145299909375</v>
      </c>
      <c r="BH17" s="59">
        <f t="shared" si="8"/>
        <v>221.35100707218257</v>
      </c>
      <c r="BI17" s="59">
        <f ca="1">AVERAGE(OFFSET($BH$3,0,0,'Données projet'!$E$11+1,1))-AVERAGE(OFFSET($H$3,0,0,'Données projet'!$E$11+1,1))</f>
        <v>456.35333554128226</v>
      </c>
      <c r="BJ17" s="59">
        <f t="shared" si="38"/>
        <v>296.4517290984877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4.016578947368421</v>
      </c>
      <c r="BY17" s="12">
        <f>IF('Données projet'!$A$114&gt;35,BY16+BX17-CG16,IF(A17&lt;'Données projet'!$A$114,$BV$205^A17,IF(A17='Données projet'!$A$114,'Données projet'!$B$114,BY16+BX17-CG16)))</f>
        <v>56.232105263157912</v>
      </c>
      <c r="BZ17" s="13">
        <f>BY17*VLOOKUP('Données projet'!$B$12,Paramètres!$A$1:$I$89,3,0)*VLOOKUP('Données projet'!$B$12,Paramètres!$A$1:$I$89,5,0)</f>
        <v>53.510471368421072</v>
      </c>
      <c r="CA17" s="13">
        <f t="shared" si="39"/>
        <v>15.516743029905101</v>
      </c>
      <c r="CB17" s="20">
        <f t="shared" si="10"/>
        <v>120.22239841041811</v>
      </c>
      <c r="CC17" s="59">
        <f t="shared" si="11"/>
        <v>322.25226018269132</v>
      </c>
      <c r="CD17" s="59">
        <f ca="1">AVERAGE(OFFSET($CC$3,0,0,'Données projet'!$E$12+1,1))-AVERAGE(OFFSET($H$3,0,0,'Données projet'!$E$12+1,1))</f>
        <v>486.36097333679697</v>
      </c>
      <c r="CE17" s="59">
        <f t="shared" si="40"/>
        <v>308.47736602748159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260.02840765135602</v>
      </c>
      <c r="S18" s="59">
        <f ca="1">AVERAGE(OFFSET($R$3,0,0,'Données projet'!$E$9+1,1))-AVERAGE(OFFSET($H$3,0,0,'Données projet'!$E$9+1,1))</f>
        <v>407.05634973057056</v>
      </c>
      <c r="T18" s="59">
        <f t="shared" si="34"/>
        <v>375.32891954889965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5.0894117647058819</v>
      </c>
      <c r="AI18" s="13">
        <f>IF('Données projet'!$A$62&gt;35,AI17+AH18-AQ17,IF(A18&lt;'Données projet'!$A$62,$AF$205^A18,IF(A18='Données projet'!$A$62,'Données projet'!$B$62,AI17+AH18-AQ17)))</f>
        <v>9.7144356630330186</v>
      </c>
      <c r="AJ18" s="13">
        <f>AI18*VLOOKUP('Données projet'!$B$10,Paramètres!$A$1:$I$89,3,0)*VLOOKUP('Données projet'!$B$10,Paramètres!$A$1:$I$89,5,0)</f>
        <v>8.7896213879122751</v>
      </c>
      <c r="AK18" s="13">
        <f t="shared" si="35"/>
        <v>3.1451698626990985</v>
      </c>
      <c r="AL18" s="20">
        <f t="shared" si="4"/>
        <v>20.786428094814809</v>
      </c>
      <c r="AM18" s="59">
        <f t="shared" si="5"/>
        <v>225.28317802769584</v>
      </c>
      <c r="AN18" s="59">
        <f ca="1">AVERAGE(OFFSET($AM$3,0,0,'Données projet'!$E$10+1,1))-AVERAGE(OFFSET($H$3,0,0,'Données projet'!$E$10+1,1))</f>
        <v>737.40414421611001</v>
      </c>
      <c r="AO18" s="59">
        <f t="shared" si="36"/>
        <v>245.32893490531674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4.9119354838709679</v>
      </c>
      <c r="BD18" s="12">
        <f>IF('Données projet'!$A$88&gt;35,BD17+BC18-BL17,IF(A18&lt;'Données projet'!$A$88,$BA$205^A18,IF(A18='Données projet'!$A$88,'Données projet'!$B$88,BD17+BC18-BL17)))</f>
        <v>11.378990023252722</v>
      </c>
      <c r="BE18" s="13">
        <f>BD18*VLOOKUP('Données projet'!$B$11,Paramètres!$A$1:$I$89,3,0)*VLOOKUP('Données projet'!$B$11,Paramètres!$A$1:$I$89,5,0)</f>
        <v>9.585661195588095</v>
      </c>
      <c r="BF18" s="13">
        <f t="shared" si="37"/>
        <v>3.3955750216236993</v>
      </c>
      <c r="BG18" s="20">
        <f t="shared" si="7"/>
        <v>22.608986411643873</v>
      </c>
      <c r="BH18" s="59">
        <f t="shared" si="8"/>
        <v>227.10573634452493</v>
      </c>
      <c r="BI18" s="59">
        <f ca="1">AVERAGE(OFFSET($BH$3,0,0,'Données projet'!$E$11+1,1))-AVERAGE(OFFSET($H$3,0,0,'Données projet'!$E$11+1,1))</f>
        <v>456.35333554128226</v>
      </c>
      <c r="BJ18" s="59">
        <f t="shared" si="38"/>
        <v>296.4517290984877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4.016578947368421</v>
      </c>
      <c r="BY18" s="12">
        <f>IF('Données projet'!$A$114&gt;35,BY17+BX18-CG17,IF(A18&lt;'Données projet'!$A$114,$BV$205^A18,IF(A18='Données projet'!$A$114,'Données projet'!$B$114,BY17+BX18-CG17)))</f>
        <v>60.248684210526335</v>
      </c>
      <c r="BZ18" s="13">
        <f>BY18*VLOOKUP('Données projet'!$B$12,Paramètres!$A$1:$I$89,3,0)*VLOOKUP('Données projet'!$B$12,Paramètres!$A$1:$I$89,5,0)</f>
        <v>57.332647894736859</v>
      </c>
      <c r="CA18" s="13">
        <f t="shared" si="39"/>
        <v>16.492104276158738</v>
      </c>
      <c r="CB18" s="20">
        <f t="shared" si="10"/>
        <v>128.57811003097649</v>
      </c>
      <c r="CC18" s="59">
        <f t="shared" si="11"/>
        <v>333.07485996385753</v>
      </c>
      <c r="CD18" s="59">
        <f ca="1">AVERAGE(OFFSET($CC$3,0,0,'Données projet'!$E$12+1,1))-AVERAGE(OFFSET($H$3,0,0,'Données projet'!$E$12+1,1))</f>
        <v>486.36097333679697</v>
      </c>
      <c r="CE18" s="59">
        <f t="shared" si="40"/>
        <v>308.47736602748159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277.83330572418896</v>
      </c>
      <c r="S19" s="59">
        <f ca="1">AVERAGE(OFFSET($R$3,0,0,'Données projet'!$E$9+1,1))-AVERAGE(OFFSET($H$3,0,0,'Données projet'!$E$9+1,1))</f>
        <v>407.05634973057056</v>
      </c>
      <c r="T19" s="59">
        <f t="shared" si="34"/>
        <v>375.32891954889965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5.0894117647058819</v>
      </c>
      <c r="AI19" s="13">
        <f>IF('Données projet'!$A$62&gt;35,AI18+AH19-AQ18,IF(A19&lt;'Données projet'!$A$62,$AF$205^A19,IF(A19='Données projet'!$A$62,'Données projet'!$B$62,AI18+AH19-AQ18)))</f>
        <v>11.304345297031993</v>
      </c>
      <c r="AJ19" s="13">
        <f>AI19*VLOOKUP('Données projet'!$B$10,Paramètres!$A$1:$I$89,3,0)*VLOOKUP('Données projet'!$B$10,Paramètres!$A$1:$I$89,5,0)</f>
        <v>10.228171624754548</v>
      </c>
      <c r="AK19" s="13">
        <f t="shared" si="35"/>
        <v>3.5959163764406497</v>
      </c>
      <c r="AL19" s="20">
        <f t="shared" si="4"/>
        <v>24.076953268748301</v>
      </c>
      <c r="AM19" s="59">
        <f t="shared" si="5"/>
        <v>231.01899919086236</v>
      </c>
      <c r="AN19" s="59">
        <f ca="1">AVERAGE(OFFSET($AM$3,0,0,'Données projet'!$E$10+1,1))-AVERAGE(OFFSET($H$3,0,0,'Données projet'!$E$10+1,1))</f>
        <v>737.40414421611001</v>
      </c>
      <c r="AO19" s="59">
        <f t="shared" si="36"/>
        <v>245.32893490531674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4.9119354838709679</v>
      </c>
      <c r="BD19" s="12">
        <f>IF('Données projet'!$A$88&gt;35,BD18+BC19-BL18,IF(A19&lt;'Données projet'!$A$88,$BA$205^A19,IF(A19='Données projet'!$A$88,'Données projet'!$B$88,BD18+BC19-BL18)))</f>
        <v>13.381679717517972</v>
      </c>
      <c r="BE19" s="13">
        <f>BD19*VLOOKUP('Données projet'!$B$11,Paramètres!$A$1:$I$89,3,0)*VLOOKUP('Données projet'!$B$11,Paramètres!$A$1:$I$89,5,0)</f>
        <v>11.272726994037141</v>
      </c>
      <c r="BF19" s="13">
        <f t="shared" si="37"/>
        <v>3.9185453724502666</v>
      </c>
      <c r="BG19" s="20">
        <f t="shared" si="7"/>
        <v>26.458132704965564</v>
      </c>
      <c r="BH19" s="59">
        <f t="shared" si="8"/>
        <v>233.40017862707964</v>
      </c>
      <c r="BI19" s="59">
        <f ca="1">AVERAGE(OFFSET($BH$3,0,0,'Données projet'!$E$11+1,1))-AVERAGE(OFFSET($H$3,0,0,'Données projet'!$E$11+1,1))</f>
        <v>456.35333554128226</v>
      </c>
      <c r="BJ19" s="59">
        <f t="shared" si="38"/>
        <v>296.4517290984877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4.016578947368421</v>
      </c>
      <c r="BY19" s="12">
        <f>IF('Données projet'!$A$114&gt;35,BY18+BX19-CG18,IF(A19&lt;'Données projet'!$A$114,$BV$205^A19,IF(A19='Données projet'!$A$114,'Données projet'!$B$114,BY18+BX19-CG18)))</f>
        <v>64.265263157894751</v>
      </c>
      <c r="BZ19" s="13">
        <f>BY19*VLOOKUP('Données projet'!$B$12,Paramètres!$A$1:$I$89,3,0)*VLOOKUP('Données projet'!$B$12,Paramètres!$A$1:$I$89,5,0)</f>
        <v>61.154824421052645</v>
      </c>
      <c r="CA19" s="13">
        <f t="shared" si="39"/>
        <v>17.459920112357459</v>
      </c>
      <c r="CB19" s="20">
        <f t="shared" si="10"/>
        <v>136.92068006235593</v>
      </c>
      <c r="CC19" s="59">
        <f t="shared" si="11"/>
        <v>343.86272598446999</v>
      </c>
      <c r="CD19" s="59">
        <f ca="1">AVERAGE(OFFSET($CC$3,0,0,'Données projet'!$E$12+1,1))-AVERAGE(OFFSET($H$3,0,0,'Données projet'!$E$12+1,1))</f>
        <v>486.36097333679697</v>
      </c>
      <c r="CE19" s="59">
        <f t="shared" si="40"/>
        <v>308.47736602748159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299.87927454232442</v>
      </c>
      <c r="S20" s="59">
        <f ca="1">AVERAGE(OFFSET($R$3,0,0,'Données projet'!$E$9+1,1))-AVERAGE(OFFSET($H$3,0,0,'Données projet'!$E$9+1,1))</f>
        <v>407.05634973057056</v>
      </c>
      <c r="T20" s="59">
        <f t="shared" si="34"/>
        <v>375.32891954889965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5.0894117647058819</v>
      </c>
      <c r="AI20" s="13">
        <f>IF('Données projet'!$A$62&gt;35,AI19+AH20-AQ19,IF(A20&lt;'Données projet'!$A$62,$AF$205^A20,IF(A20='Données projet'!$A$62,'Données projet'!$B$62,AI19+AH20-AQ19)))</f>
        <v>13.154466921924275</v>
      </c>
      <c r="AJ20" s="13">
        <f>AI20*VLOOKUP('Données projet'!$B$10,Paramètres!$A$1:$I$89,3,0)*VLOOKUP('Données projet'!$B$10,Paramètres!$A$1:$I$89,5,0)</f>
        <v>11.902161670957083</v>
      </c>
      <c r="AK20" s="13">
        <f t="shared" si="35"/>
        <v>4.1112611244651047</v>
      </c>
      <c r="AL20" s="20">
        <f t="shared" si="4"/>
        <v>27.890044702026973</v>
      </c>
      <c r="AM20" s="59">
        <f t="shared" si="5"/>
        <v>237.25616901789971</v>
      </c>
      <c r="AN20" s="59">
        <f ca="1">AVERAGE(OFFSET($AM$3,0,0,'Données projet'!$E$10+1,1))-AVERAGE(OFFSET($H$3,0,0,'Données projet'!$E$10+1,1))</f>
        <v>737.40414421611001</v>
      </c>
      <c r="AO20" s="59">
        <f t="shared" si="36"/>
        <v>245.32893490531674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4.9119354838709679</v>
      </c>
      <c r="BD20" s="12">
        <f>IF('Données projet'!$A$88&gt;35,BD19+BC20-BL19,IF(A20&lt;'Données projet'!$A$88,$BA$205^A20,IF(A20='Données projet'!$A$88,'Données projet'!$B$88,BD19+BC20-BL19)))</f>
        <v>15.736840589218154</v>
      </c>
      <c r="BE20" s="13">
        <f>BD20*VLOOKUP('Données projet'!$B$11,Paramètres!$A$1:$I$89,3,0)*VLOOKUP('Données projet'!$B$11,Paramètres!$A$1:$I$89,5,0)</f>
        <v>13.256714512357373</v>
      </c>
      <c r="BF20" s="13">
        <f t="shared" si="37"/>
        <v>4.5220611349087303</v>
      </c>
      <c r="BG20" s="20">
        <f t="shared" si="7"/>
        <v>30.964700918988459</v>
      </c>
      <c r="BH20" s="59">
        <f t="shared" si="8"/>
        <v>240.33082523486118</v>
      </c>
      <c r="BI20" s="59">
        <f ca="1">AVERAGE(OFFSET($BH$3,0,0,'Données projet'!$E$11+1,1))-AVERAGE(OFFSET($H$3,0,0,'Données projet'!$E$11+1,1))</f>
        <v>456.35333554128226</v>
      </c>
      <c r="BJ20" s="59">
        <f t="shared" si="38"/>
        <v>296.4517290984877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4.016578947368421</v>
      </c>
      <c r="BY20" s="12">
        <f>IF('Données projet'!$A$114&gt;35,BY19+BX20-CG19,IF(A20&lt;'Données projet'!$A$114,$BV$205^A20,IF(A20='Données projet'!$A$114,'Données projet'!$B$114,BY19+BX20-CG19)))</f>
        <v>68.281842105263166</v>
      </c>
      <c r="BZ20" s="13">
        <f>BY20*VLOOKUP('Données projet'!$B$12,Paramètres!$A$1:$I$89,3,0)*VLOOKUP('Données projet'!$B$12,Paramètres!$A$1:$I$89,5,0)</f>
        <v>64.977000947368424</v>
      </c>
      <c r="CA20" s="13">
        <f t="shared" si="39"/>
        <v>18.420715814085391</v>
      </c>
      <c r="CB20" s="20">
        <f t="shared" si="10"/>
        <v>145.25102335953207</v>
      </c>
      <c r="CC20" s="59">
        <f t="shared" si="11"/>
        <v>354.61714767540479</v>
      </c>
      <c r="CD20" s="59">
        <f ca="1">AVERAGE(OFFSET($CC$3,0,0,'Données projet'!$E$12+1,1))-AVERAGE(OFFSET($H$3,0,0,'Données projet'!$E$12+1,1))</f>
        <v>486.36097333679697</v>
      </c>
      <c r="CE20" s="59">
        <f t="shared" si="40"/>
        <v>308.47736602748159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327.35304481392137</v>
      </c>
      <c r="S21" s="59">
        <f ca="1">AVERAGE(OFFSET($R$3,0,0,'Données projet'!$E$9+1,1))-AVERAGE(OFFSET($H$3,0,0,'Données projet'!$E$9+1,1))</f>
        <v>407.05634973057056</v>
      </c>
      <c r="T21" s="59">
        <f t="shared" si="34"/>
        <v>375.32891954889965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5.0894117647058819</v>
      </c>
      <c r="AI21" s="13">
        <f>IF('Données projet'!$A$62&gt;35,AI20+AH21-AQ20,IF(A21&lt;'Données projet'!$A$62,$AF$205^A21,IF(A21='Données projet'!$A$62,'Données projet'!$B$62,AI20+AH21-AQ20)))</f>
        <v>15.307388040016111</v>
      </c>
      <c r="AJ21" s="13">
        <f>AI21*VLOOKUP('Données projet'!$B$10,Paramètres!$A$1:$I$89,3,0)*VLOOKUP('Données projet'!$B$10,Paramètres!$A$1:$I$89,5,0)</f>
        <v>13.850124698606576</v>
      </c>
      <c r="AK21" s="13">
        <f t="shared" si="35"/>
        <v>4.7004619307272835</v>
      </c>
      <c r="AL21" s="20">
        <f t="shared" si="4"/>
        <v>32.30893837942314</v>
      </c>
      <c r="AM21" s="59">
        <f t="shared" si="5"/>
        <v>244.07829157142623</v>
      </c>
      <c r="AN21" s="59">
        <f ca="1">AVERAGE(OFFSET($AM$3,0,0,'Données projet'!$E$10+1,1))-AVERAGE(OFFSET($H$3,0,0,'Données projet'!$E$10+1,1))</f>
        <v>737.40414421611001</v>
      </c>
      <c r="AO21" s="59">
        <f t="shared" si="36"/>
        <v>245.32893490531674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4.9119354838709679</v>
      </c>
      <c r="BD21" s="12">
        <f>IF('Données projet'!$A$88&gt;35,BD20+BC21-BL20,IF(A21&lt;'Données projet'!$A$88,$BA$205^A21,IF(A21='Données projet'!$A$88,'Données projet'!$B$88,BD20+BC21-BL20)))</f>
        <v>18.50650717684324</v>
      </c>
      <c r="BE21" s="13">
        <f>BD21*VLOOKUP('Données projet'!$B$11,Paramètres!$A$1:$I$89,3,0)*VLOOKUP('Données projet'!$B$11,Paramètres!$A$1:$I$89,5,0)</f>
        <v>15.589881645772746</v>
      </c>
      <c r="BF21" s="13">
        <f t="shared" si="37"/>
        <v>5.2185275310632022</v>
      </c>
      <c r="BG21" s="20">
        <f t="shared" si="7"/>
        <v>36.241312649655946</v>
      </c>
      <c r="BH21" s="59">
        <f t="shared" si="8"/>
        <v>248.01066584165906</v>
      </c>
      <c r="BI21" s="59">
        <f ca="1">AVERAGE(OFFSET($BH$3,0,0,'Données projet'!$E$11+1,1))-AVERAGE(OFFSET($H$3,0,0,'Données projet'!$E$11+1,1))</f>
        <v>456.35333554128226</v>
      </c>
      <c r="BJ21" s="59">
        <f t="shared" si="38"/>
        <v>296.4517290984877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4.016578947368421</v>
      </c>
      <c r="BY21" s="12">
        <f>IF('Données projet'!$A$114&gt;35,BY20+BX21-CG20,IF(A21&lt;'Données projet'!$A$114,$BV$205^A21,IF(A21='Données projet'!$A$114,'Données projet'!$B$114,BY20+BX21-CG20)))</f>
        <v>72.298421052631582</v>
      </c>
      <c r="BZ21" s="13">
        <f>BY21*VLOOKUP('Données projet'!$B$12,Paramètres!$A$1:$I$89,3,0)*VLOOKUP('Données projet'!$B$12,Paramètres!$A$1:$I$89,5,0)</f>
        <v>68.79917747368421</v>
      </c>
      <c r="CA21" s="13">
        <f t="shared" si="39"/>
        <v>19.37495136883436</v>
      </c>
      <c r="CB21" s="20">
        <f t="shared" si="10"/>
        <v>153.56994106738651</v>
      </c>
      <c r="CC21" s="59">
        <f t="shared" si="11"/>
        <v>365.33929425938959</v>
      </c>
      <c r="CD21" s="59">
        <f ca="1">AVERAGE(OFFSET($CC$3,0,0,'Données projet'!$E$12+1,1))-AVERAGE(OFFSET($H$3,0,0,'Données projet'!$E$12+1,1))</f>
        <v>486.36097333679697</v>
      </c>
      <c r="CE21" s="59">
        <f t="shared" si="40"/>
        <v>308.47736602748159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361.77246709572648</v>
      </c>
      <c r="S22" s="59">
        <f ca="1">AVERAGE(OFFSET($R$3,0,0,'Données projet'!$E$9+1,1))-AVERAGE(OFFSET($H$3,0,0,'Données projet'!$E$9+1,1))</f>
        <v>407.05634973057056</v>
      </c>
      <c r="T22" s="59">
        <f t="shared" si="34"/>
        <v>375.32891954889965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5.0894117647058819</v>
      </c>
      <c r="AI22" s="13">
        <f>IF('Données projet'!$A$62&gt;35,AI21+AH22-AQ21,IF(A22&lt;'Données projet'!$A$62,$AF$205^A22,IF(A22='Données projet'!$A$62,'Données projet'!$B$62,AI21+AH22-AQ21)))</f>
        <v>17.812666221927888</v>
      </c>
      <c r="AJ22" s="13">
        <f>AI22*VLOOKUP('Données projet'!$B$10,Paramètres!$A$1:$I$89,3,0)*VLOOKUP('Données projet'!$B$10,Paramètres!$A$1:$I$89,5,0)</f>
        <v>16.11690039760035</v>
      </c>
      <c r="AK22" s="13">
        <f t="shared" si="35"/>
        <v>5.374103393904722</v>
      </c>
      <c r="AL22" s="20">
        <f t="shared" si="4"/>
        <v>37.430164936871329</v>
      </c>
      <c r="AM22" s="59">
        <f t="shared" si="5"/>
        <v>251.58225917989486</v>
      </c>
      <c r="AN22" s="59">
        <f ca="1">AVERAGE(OFFSET($AM$3,0,0,'Données projet'!$E$10+1,1))-AVERAGE(OFFSET($H$3,0,0,'Données projet'!$E$10+1,1))</f>
        <v>737.40414421611001</v>
      </c>
      <c r="AO22" s="59">
        <f t="shared" si="36"/>
        <v>245.32893490531674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4.9119354838709679</v>
      </c>
      <c r="BD22" s="12">
        <f>IF('Données projet'!$A$88&gt;35,BD21+BC22-BL21,IF(A22&lt;'Données projet'!$A$88,$BA$205^A22,IF(A22='Données projet'!$A$88,'Données projet'!$B$88,BD21+BC22-BL21)))</f>
        <v>21.763632029239876</v>
      </c>
      <c r="BE22" s="13">
        <f>BD22*VLOOKUP('Données projet'!$B$11,Paramètres!$A$1:$I$89,3,0)*VLOOKUP('Données projet'!$B$11,Paramètres!$A$1:$I$89,5,0)</f>
        <v>18.333683621431675</v>
      </c>
      <c r="BF22" s="13">
        <f t="shared" si="37"/>
        <v>6.0222603764100286</v>
      </c>
      <c r="BG22" s="20">
        <f t="shared" si="7"/>
        <v>42.419935796240964</v>
      </c>
      <c r="BH22" s="59">
        <f t="shared" si="8"/>
        <v>256.57203003926452</v>
      </c>
      <c r="BI22" s="59">
        <f ca="1">AVERAGE(OFFSET($BH$3,0,0,'Données projet'!$E$11+1,1))-AVERAGE(OFFSET($H$3,0,0,'Données projet'!$E$11+1,1))</f>
        <v>456.35333554128226</v>
      </c>
      <c r="BJ22" s="59">
        <f t="shared" si="38"/>
        <v>296.4517290984877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4.016578947368421</v>
      </c>
      <c r="BY22" s="12">
        <f>IF('Données projet'!$A$114&gt;35,BY21+BX22-CG21,IF(A22&lt;'Données projet'!$A$114,$BV$205^A22,IF(A22='Données projet'!$A$114,'Données projet'!$B$114,BY21+BX22-CG21)))</f>
        <v>76.314999999999998</v>
      </c>
      <c r="BZ22" s="13">
        <f>BY22*VLOOKUP('Données projet'!$B$12,Paramètres!$A$1:$I$89,3,0)*VLOOKUP('Données projet'!$B$12,Paramètres!$A$1:$I$89,5,0)</f>
        <v>72.621353999999997</v>
      </c>
      <c r="CA22" s="13">
        <f t="shared" si="39"/>
        <v>20.323032767751659</v>
      </c>
      <c r="CB22" s="20">
        <f t="shared" si="10"/>
        <v>161.87814028716744</v>
      </c>
      <c r="CC22" s="59">
        <f t="shared" si="11"/>
        <v>376.03023453019097</v>
      </c>
      <c r="CD22" s="59">
        <f ca="1">AVERAGE(OFFSET($CC$3,0,0,'Données projet'!$E$12+1,1))-AVERAGE(OFFSET($H$3,0,0,'Données projet'!$E$12+1,1))</f>
        <v>486.36097333679697</v>
      </c>
      <c r="CE22" s="59">
        <f t="shared" si="40"/>
        <v>308.47736602748159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405.07916589726665</v>
      </c>
      <c r="S23" s="59">
        <f ca="1">AVERAGE(OFFSET($R$3,0,0,'Données projet'!$E$9+1,1))-AVERAGE(OFFSET($H$3,0,0,'Données projet'!$E$9+1,1))</f>
        <v>407.05634973057056</v>
      </c>
      <c r="T23" s="59">
        <f t="shared" si="34"/>
        <v>375.32891954889965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5.0894117647058819</v>
      </c>
      <c r="AI23" s="13">
        <f>IF('Données projet'!$A$62&gt;35,AI22+AH23-AQ22,IF(A23&lt;'Données projet'!$A$62,$AF$205^A23,IF(A23='Données projet'!$A$62,'Données projet'!$B$62,AI22+AH23-AQ22)))</f>
        <v>20.727969860328756</v>
      </c>
      <c r="AJ23" s="13">
        <f>AI23*VLOOKUP('Données projet'!$B$10,Paramètres!$A$1:$I$89,3,0)*VLOOKUP('Données projet'!$B$10,Paramètres!$A$1:$I$89,5,0)</f>
        <v>18.754667129625457</v>
      </c>
      <c r="AK23" s="13">
        <f t="shared" si="35"/>
        <v>6.1442870326384318</v>
      </c>
      <c r="AL23" s="20">
        <f t="shared" si="4"/>
        <v>43.365678499276271</v>
      </c>
      <c r="AM23" s="59">
        <f t="shared" si="5"/>
        <v>259.88038138617196</v>
      </c>
      <c r="AN23" s="59">
        <f ca="1">AVERAGE(OFFSET($AM$3,0,0,'Données projet'!$E$10+1,1))-AVERAGE(OFFSET($H$3,0,0,'Données projet'!$E$10+1,1))</f>
        <v>737.40414421611001</v>
      </c>
      <c r="AO23" s="59">
        <f t="shared" si="36"/>
        <v>245.32893490531674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4.9119354838709679</v>
      </c>
      <c r="BD23" s="12">
        <f>IF('Données projet'!$A$88&gt;35,BD22+BC23-BL22,IF(A23&lt;'Données projet'!$A$88,$BA$205^A23,IF(A23='Données projet'!$A$88,'Données projet'!$B$88,BD22+BC23-BL22)))</f>
        <v>25.594007263392744</v>
      </c>
      <c r="BE23" s="13">
        <f>BD23*VLOOKUP('Données projet'!$B$11,Paramètres!$A$1:$I$89,3,0)*VLOOKUP('Données projet'!$B$11,Paramètres!$A$1:$I$89,5,0)</f>
        <v>21.560391718682048</v>
      </c>
      <c r="BF23" s="13">
        <f t="shared" si="37"/>
        <v>6.949780340411313</v>
      </c>
      <c r="BG23" s="20">
        <f t="shared" si="7"/>
        <v>49.655216336254263</v>
      </c>
      <c r="BH23" s="59">
        <f t="shared" si="8"/>
        <v>266.16991922314998</v>
      </c>
      <c r="BI23" s="59">
        <f ca="1">AVERAGE(OFFSET($BH$3,0,0,'Données projet'!$E$11+1,1))-AVERAGE(OFFSET($H$3,0,0,'Données projet'!$E$11+1,1))</f>
        <v>456.35333554128226</v>
      </c>
      <c r="BJ23" s="59">
        <f t="shared" si="38"/>
        <v>296.4517290984877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4.016578947368421</v>
      </c>
      <c r="BY23" s="12">
        <f>IF('Données projet'!$A$114&gt;35,BY22+BX23-CG22,IF(A23&lt;'Données projet'!$A$114,$BV$205^A23,IF(A23='Données projet'!$A$114,'Données projet'!$B$114,BY22+BX23-CG22)))</f>
        <v>80.331578947368413</v>
      </c>
      <c r="BZ23" s="13">
        <f>BY23*VLOOKUP('Données projet'!$B$12,Paramètres!$A$1:$I$89,3,0)*VLOOKUP('Données projet'!$B$12,Paramètres!$A$1:$I$89,5,0)</f>
        <v>76.443530526315783</v>
      </c>
      <c r="CA23" s="13">
        <f t="shared" si="39"/>
        <v>21.265320852361398</v>
      </c>
      <c r="CB23" s="20">
        <f t="shared" si="10"/>
        <v>170.17624948452939</v>
      </c>
      <c r="CC23" s="59">
        <f t="shared" si="11"/>
        <v>386.69095237142511</v>
      </c>
      <c r="CD23" s="59">
        <f ca="1">AVERAGE(OFFSET($CC$3,0,0,'Données projet'!$E$12+1,1))-AVERAGE(OFFSET($H$3,0,0,'Données projet'!$E$12+1,1))</f>
        <v>486.36097333679697</v>
      </c>
      <c r="CE23" s="59">
        <f t="shared" si="40"/>
        <v>308.47736602748159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459.75717901305131</v>
      </c>
      <c r="S24" s="59">
        <f ca="1">AVERAGE(OFFSET($R$3,0,0,'Données projet'!$E$9+1,1))-AVERAGE(OFFSET($H$3,0,0,'Données projet'!$E$9+1,1))</f>
        <v>407.05634973057056</v>
      </c>
      <c r="T24" s="59">
        <f t="shared" si="34"/>
        <v>375.32891954889965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5.0894117647058819</v>
      </c>
      <c r="AI24" s="13">
        <f>IF('Données projet'!$A$62&gt;35,AI23+AH24-AQ23,IF(A24&lt;'Données projet'!$A$62,$AF$205^A24,IF(A24='Données projet'!$A$62,'Données projet'!$B$62,AI23+AH24-AQ23)))</f>
        <v>24.120405624722682</v>
      </c>
      <c r="AJ24" s="13">
        <f>AI24*VLOOKUP('Données projet'!$B$10,Paramètres!$A$1:$I$89,3,0)*VLOOKUP('Données projet'!$B$10,Paramètres!$A$1:$I$89,5,0)</f>
        <v>21.824143009249081</v>
      </c>
      <c r="AK24" s="13">
        <f t="shared" si="35"/>
        <v>7.0248486812269384</v>
      </c>
      <c r="AL24" s="20">
        <f t="shared" si="4"/>
        <v>50.245327194245732</v>
      </c>
      <c r="AM24" s="59">
        <f t="shared" si="5"/>
        <v>269.10285557012014</v>
      </c>
      <c r="AN24" s="59">
        <f ca="1">AVERAGE(OFFSET($AM$3,0,0,'Données projet'!$E$10+1,1))-AVERAGE(OFFSET($H$3,0,0,'Données projet'!$E$10+1,1))</f>
        <v>737.40414421611001</v>
      </c>
      <c r="AO24" s="59">
        <f t="shared" si="36"/>
        <v>245.32893490531674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4.9119354838709679</v>
      </c>
      <c r="BD24" s="12">
        <f>IF('Données projet'!$A$88&gt;35,BD23+BC24-BL23,IF(A24&lt;'Données projet'!$A$88,$BA$205^A24,IF(A24='Données projet'!$A$88,'Données projet'!$B$88,BD23+BC24-BL23)))</f>
        <v>30.098524314256156</v>
      </c>
      <c r="BE24" s="13">
        <f>BD24*VLOOKUP('Données projet'!$B$11,Paramètres!$A$1:$I$89,3,0)*VLOOKUP('Données projet'!$B$11,Paramètres!$A$1:$I$89,5,0)</f>
        <v>25.354996882329388</v>
      </c>
      <c r="BF24" s="13">
        <f t="shared" si="37"/>
        <v>8.0201525276394197</v>
      </c>
      <c r="BG24" s="20">
        <f t="shared" si="7"/>
        <v>58.12838522236234</v>
      </c>
      <c r="BH24" s="59">
        <f t="shared" si="8"/>
        <v>276.98591359823672</v>
      </c>
      <c r="BI24" s="59">
        <f ca="1">AVERAGE(OFFSET($BH$3,0,0,'Données projet'!$E$11+1,1))-AVERAGE(OFFSET($H$3,0,0,'Données projet'!$E$11+1,1))</f>
        <v>456.35333554128226</v>
      </c>
      <c r="BJ24" s="59">
        <f t="shared" si="38"/>
        <v>296.4517290984877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4.016578947368421</v>
      </c>
      <c r="BY24" s="12">
        <f>IF('Données projet'!$A$114&gt;35,BY23+BX24-CG23,IF(A24&lt;'Données projet'!$A$114,$BV$205^A24,IF(A24='Données projet'!$A$114,'Données projet'!$B$114,BY23+BX24-CG23)))</f>
        <v>84.348157894736829</v>
      </c>
      <c r="BZ24" s="13">
        <f>BY24*VLOOKUP('Données projet'!$B$12,Paramètres!$A$1:$I$89,3,0)*VLOOKUP('Données projet'!$B$12,Paramètres!$A$1:$I$89,5,0)</f>
        <v>80.265707052631569</v>
      </c>
      <c r="CA24" s="13">
        <f t="shared" si="39"/>
        <v>22.202138341659698</v>
      </c>
      <c r="CB24" s="20">
        <f t="shared" si="10"/>
        <v>178.46483072839058</v>
      </c>
      <c r="CC24" s="59">
        <f t="shared" si="11"/>
        <v>397.32235910426493</v>
      </c>
      <c r="CD24" s="59">
        <f ca="1">AVERAGE(OFFSET($CC$3,0,0,'Données projet'!$E$12+1,1))-AVERAGE(OFFSET($H$3,0,0,'Données projet'!$E$12+1,1))</f>
        <v>486.36097333679697</v>
      </c>
      <c r="CE24" s="59">
        <f t="shared" si="40"/>
        <v>308.47736602748159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410.22294198340876</v>
      </c>
      <c r="S25" s="59">
        <f ca="1">AVERAGE(OFFSET($R$3,0,0,'Données projet'!$E$9+1,1))-AVERAGE(OFFSET($H$3,0,0,'Données projet'!$E$9+1,1))</f>
        <v>407.05634973057056</v>
      </c>
      <c r="T25" s="59">
        <f t="shared" si="34"/>
        <v>375.32891954889965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5.0894117647058819</v>
      </c>
      <c r="AI25" s="13">
        <f>IF('Données projet'!$A$62&gt;35,AI24+AH25-AQ24,IF(A25&lt;'Données projet'!$A$62,$AF$205^A25,IF(A25='Données projet'!$A$62,'Données projet'!$B$62,AI24+AH25-AQ24)))</f>
        <v>28.068063173646774</v>
      </c>
      <c r="AJ25" s="13">
        <f>AI25*VLOOKUP('Données projet'!$B$10,Paramètres!$A$1:$I$89,3,0)*VLOOKUP('Données projet'!$B$10,Paramètres!$A$1:$I$89,5,0)</f>
        <v>25.395983559515599</v>
      </c>
      <c r="AK25" s="13">
        <f t="shared" si="35"/>
        <v>8.0316070411419194</v>
      </c>
      <c r="AL25" s="20">
        <f t="shared" si="4"/>
        <v>58.219720296145177</v>
      </c>
      <c r="AM25" s="59">
        <f t="shared" si="5"/>
        <v>279.40063419961359</v>
      </c>
      <c r="AN25" s="59">
        <f ca="1">AVERAGE(OFFSET($AM$3,0,0,'Données projet'!$E$10+1,1))-AVERAGE(OFFSET($H$3,0,0,'Données projet'!$E$10+1,1))</f>
        <v>737.40414421611001</v>
      </c>
      <c r="AO25" s="59">
        <f t="shared" si="36"/>
        <v>245.32893490531674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4.9119354838709679</v>
      </c>
      <c r="BD25" s="12">
        <f>IF('Données projet'!$A$88&gt;35,BD24+BC25-BL24,IF(A25&lt;'Données projet'!$A$88,$BA$205^A25,IF(A25='Données projet'!$A$88,'Données projet'!$B$88,BD24+BC25-BL24)))</f>
        <v>35.395831398063777</v>
      </c>
      <c r="BE25" s="13">
        <f>BD25*VLOOKUP('Données projet'!$B$11,Paramètres!$A$1:$I$89,3,0)*VLOOKUP('Données projet'!$B$11,Paramètres!$A$1:$I$89,5,0)</f>
        <v>29.817448369728929</v>
      </c>
      <c r="BF25" s="13">
        <f t="shared" si="37"/>
        <v>9.2553783595977794</v>
      </c>
      <c r="BG25" s="20">
        <f t="shared" si="7"/>
        <v>68.05183988691067</v>
      </c>
      <c r="BH25" s="59">
        <f t="shared" si="8"/>
        <v>289.23275379037909</v>
      </c>
      <c r="BI25" s="59">
        <f ca="1">AVERAGE(OFFSET($BH$3,0,0,'Données projet'!$E$11+1,1))-AVERAGE(OFFSET($H$3,0,0,'Données projet'!$E$11+1,1))</f>
        <v>456.35333554128226</v>
      </c>
      <c r="BJ25" s="59">
        <f t="shared" si="38"/>
        <v>296.4517290984877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4.016578947368421</v>
      </c>
      <c r="BY25" s="12">
        <f>IF('Données projet'!$A$114&gt;35,BY24+BX25-CG24,IF(A25&lt;'Données projet'!$A$114,$BV$205^A25,IF(A25='Données projet'!$A$114,'Données projet'!$B$114,BY24+BX25-CG24)))</f>
        <v>88.364736842105245</v>
      </c>
      <c r="BZ25" s="13">
        <f>BY25*VLOOKUP('Données projet'!$B$12,Paramètres!$A$1:$I$89,3,0)*VLOOKUP('Données projet'!$B$12,Paramètres!$A$1:$I$89,5,0)</f>
        <v>84.087883578947356</v>
      </c>
      <c r="CA25" s="13">
        <f t="shared" si="39"/>
        <v>23.133775482791631</v>
      </c>
      <c r="CB25" s="20">
        <f t="shared" si="10"/>
        <v>186.74438953252874</v>
      </c>
      <c r="CC25" s="59">
        <f t="shared" si="11"/>
        <v>407.92530343599714</v>
      </c>
      <c r="CD25" s="59">
        <f ca="1">AVERAGE(OFFSET($CC$3,0,0,'Données projet'!$E$12+1,1))-AVERAGE(OFFSET($H$3,0,0,'Données projet'!$E$12+1,1))</f>
        <v>486.36097333679697</v>
      </c>
      <c r="CE25" s="59">
        <f t="shared" si="40"/>
        <v>308.47736602748159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438.63862134852968</v>
      </c>
      <c r="S26" s="59">
        <f ca="1">AVERAGE(OFFSET($R$3,0,0,'Données projet'!$E$9+1,1))-AVERAGE(OFFSET($H$3,0,0,'Données projet'!$E$9+1,1))</f>
        <v>407.05634973057056</v>
      </c>
      <c r="T26" s="59">
        <f t="shared" si="34"/>
        <v>375.32891954889965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5.0894117647058819</v>
      </c>
      <c r="AI26" s="13">
        <f>IF('Données projet'!$A$62&gt;35,AI25+AH26-AQ25,IF(A26&lt;'Données projet'!$A$62,$AF$205^A26,IF(A26='Données projet'!$A$62,'Données projet'!$B$62,AI25+AH26-AQ25)))</f>
        <v>32.66181268163826</v>
      </c>
      <c r="AJ26" s="13">
        <f>AI26*VLOOKUP('Données projet'!$B$10,Paramètres!$A$1:$I$89,3,0)*VLOOKUP('Données projet'!$B$10,Paramètres!$A$1:$I$89,5,0)</f>
        <v>29.552408114346299</v>
      </c>
      <c r="AK26" s="13">
        <f t="shared" si="35"/>
        <v>9.1826478534273477</v>
      </c>
      <c r="AL26" s="20">
        <f t="shared" si="4"/>
        <v>67.463555810539106</v>
      </c>
      <c r="AM26" s="59">
        <f t="shared" si="5"/>
        <v>290.94875252008558</v>
      </c>
      <c r="AN26" s="59">
        <f ca="1">AVERAGE(OFFSET($AM$3,0,0,'Données projet'!$E$10+1,1))-AVERAGE(OFFSET($H$3,0,0,'Données projet'!$E$10+1,1))</f>
        <v>737.40414421611001</v>
      </c>
      <c r="AO26" s="59">
        <f t="shared" si="36"/>
        <v>245.32893490531674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4.9119354838709679</v>
      </c>
      <c r="BD26" s="12">
        <f>IF('Données projet'!$A$88&gt;35,BD25+BC26-BL25,IF(A26&lt;'Données projet'!$A$88,$BA$205^A26,IF(A26='Données projet'!$A$88,'Données projet'!$B$88,BD25+BC26-BL25)))</f>
        <v>41.625458686249885</v>
      </c>
      <c r="BE26" s="13">
        <f>BD26*VLOOKUP('Données projet'!$B$11,Paramètres!$A$1:$I$89,3,0)*VLOOKUP('Données projet'!$B$11,Paramètres!$A$1:$I$89,5,0)</f>
        <v>35.065286397296909</v>
      </c>
      <c r="BF26" s="13">
        <f t="shared" si="37"/>
        <v>10.68084781232009</v>
      </c>
      <c r="BG26" s="20">
        <f t="shared" si="7"/>
        <v>79.674517081749613</v>
      </c>
      <c r="BH26" s="59">
        <f t="shared" si="8"/>
        <v>303.1597137912961</v>
      </c>
      <c r="BI26" s="59">
        <f ca="1">AVERAGE(OFFSET($BH$3,0,0,'Données projet'!$E$11+1,1))-AVERAGE(OFFSET($H$3,0,0,'Données projet'!$E$11+1,1))</f>
        <v>456.35333554128226</v>
      </c>
      <c r="BJ26" s="59">
        <f t="shared" si="38"/>
        <v>296.4517290984877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4.016578947368421</v>
      </c>
      <c r="BY26" s="12">
        <f>IF('Données projet'!$A$114&gt;35,BY25+BX26-CG25,IF(A26&lt;'Données projet'!$A$114,$BV$205^A26,IF(A26='Données projet'!$A$114,'Données projet'!$B$114,BY25+BX26-CG25)))</f>
        <v>92.381315789473661</v>
      </c>
      <c r="BZ26" s="13">
        <f>BY26*VLOOKUP('Données projet'!$B$12,Paramètres!$A$1:$I$89,3,0)*VLOOKUP('Données projet'!$B$12,Paramètres!$A$1:$I$89,5,0)</f>
        <v>87.910060105263142</v>
      </c>
      <c r="CA26" s="13">
        <f t="shared" si="39"/>
        <v>24.060494645289975</v>
      </c>
      <c r="CB26" s="20">
        <f t="shared" si="10"/>
        <v>195.01538285721335</v>
      </c>
      <c r="CC26" s="59">
        <f t="shared" si="11"/>
        <v>418.50057956675982</v>
      </c>
      <c r="CD26" s="59">
        <f ca="1">AVERAGE(OFFSET($CC$3,0,0,'Données projet'!$E$12+1,1))-AVERAGE(OFFSET($H$3,0,0,'Données projet'!$E$12+1,1))</f>
        <v>486.36097333679697</v>
      </c>
      <c r="CE26" s="59">
        <f t="shared" si="40"/>
        <v>308.47736602748159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466.96255509796055</v>
      </c>
      <c r="S27" s="59">
        <f ca="1">AVERAGE(OFFSET($R$3,0,0,'Données projet'!$E$9+1,1))-AVERAGE(OFFSET($H$3,0,0,'Données projet'!$E$9+1,1))</f>
        <v>407.05634973057056</v>
      </c>
      <c r="T27" s="59">
        <f t="shared" si="34"/>
        <v>375.32891954889965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5.0894117647058819</v>
      </c>
      <c r="AI27" s="13">
        <f>IF('Données projet'!$A$62&gt;35,AI26+AH27-AQ26,IF(A27&lt;'Données projet'!$A$62,$AF$205^A27,IF(A27='Données projet'!$A$62,'Données projet'!$B$62,AI26+AH27-AQ26)))</f>
        <v>38.007396557808917</v>
      </c>
      <c r="AJ27" s="13">
        <f>AI27*VLOOKUP('Données projet'!$B$10,Paramètres!$A$1:$I$89,3,0)*VLOOKUP('Données projet'!$B$10,Paramètres!$A$1:$I$89,5,0)</f>
        <v>34.389092405505508</v>
      </c>
      <c r="AK27" s="13">
        <f t="shared" si="35"/>
        <v>10.498648796949267</v>
      </c>
      <c r="AL27" s="20">
        <f t="shared" si="4"/>
        <v>78.179482594275399</v>
      </c>
      <c r="AM27" s="59">
        <f t="shared" si="5"/>
        <v>303.95019077789522</v>
      </c>
      <c r="AN27" s="59">
        <f ca="1">AVERAGE(OFFSET($AM$3,0,0,'Données projet'!$E$10+1,1))-AVERAGE(OFFSET($H$3,0,0,'Données projet'!$E$10+1,1))</f>
        <v>737.40414421611001</v>
      </c>
      <c r="AO27" s="59">
        <f t="shared" si="36"/>
        <v>245.32893490531674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4.9119354838709679</v>
      </c>
      <c r="BD27" s="12">
        <f>IF('Données projet'!$A$88&gt;35,BD26+BC27-BL26,IF(A27&lt;'Données projet'!$A$88,$BA$205^A27,IF(A27='Données projet'!$A$88,'Données projet'!$B$88,BD26+BC27-BL26)))</f>
        <v>48.951493506534135</v>
      </c>
      <c r="BE27" s="13">
        <f>BD27*VLOOKUP('Données projet'!$B$11,Paramètres!$A$1:$I$89,3,0)*VLOOKUP('Données projet'!$B$11,Paramètres!$A$1:$I$89,5,0)</f>
        <v>41.23673812990436</v>
      </c>
      <c r="BF27" s="13">
        <f t="shared" si="37"/>
        <v>12.325861305458343</v>
      </c>
      <c r="BG27" s="20">
        <f t="shared" si="7"/>
        <v>93.288194016590026</v>
      </c>
      <c r="BH27" s="59">
        <f t="shared" si="8"/>
        <v>319.05890220020984</v>
      </c>
      <c r="BI27" s="59">
        <f ca="1">AVERAGE(OFFSET($BH$3,0,0,'Données projet'!$E$11+1,1))-AVERAGE(OFFSET($H$3,0,0,'Données projet'!$E$11+1,1))</f>
        <v>456.35333554128226</v>
      </c>
      <c r="BJ27" s="59">
        <f t="shared" si="38"/>
        <v>296.4517290984877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4.016578947368421</v>
      </c>
      <c r="BY27" s="12">
        <f>IF('Données projet'!$A$114&gt;35,BY26+BX27-CG26,IF(A27&lt;'Données projet'!$A$114,$BV$205^A27,IF(A27='Données projet'!$A$114,'Données projet'!$B$114,BY26+BX27-CG26)))</f>
        <v>96.397894736842076</v>
      </c>
      <c r="BZ27" s="13">
        <f>BY27*VLOOKUP('Données projet'!$B$12,Paramètres!$A$1:$I$89,3,0)*VLOOKUP('Données projet'!$B$12,Paramètres!$A$1:$I$89,5,0)</f>
        <v>91.732236631578928</v>
      </c>
      <c r="CA27" s="13">
        <f t="shared" si="39"/>
        <v>24.982534093770941</v>
      </c>
      <c r="CB27" s="20">
        <f t="shared" si="10"/>
        <v>203.27822567998433</v>
      </c>
      <c r="CC27" s="59">
        <f t="shared" si="11"/>
        <v>429.04893386360413</v>
      </c>
      <c r="CD27" s="59">
        <f ca="1">AVERAGE(OFFSET($CC$3,0,0,'Données projet'!$E$12+1,1))-AVERAGE(OFFSET($H$3,0,0,'Données projet'!$E$12+1,1))</f>
        <v>486.36097333679697</v>
      </c>
      <c r="CE27" s="59">
        <f t="shared" si="40"/>
        <v>308.47736602748159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495.20405461435894</v>
      </c>
      <c r="S28" s="59">
        <f ca="1">AVERAGE(OFFSET($R$3,0,0,'Données projet'!$E$9+1,1))-AVERAGE(OFFSET($H$3,0,0,'Données projet'!$E$9+1,1))</f>
        <v>407.05634973057056</v>
      </c>
      <c r="T28" s="59">
        <f t="shared" si="34"/>
        <v>375.32891954889965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5.0894117647058819</v>
      </c>
      <c r="AI28" s="13">
        <f>IF('Données projet'!$A$62&gt;35,AI27+AH28-AQ27,IF(A28&lt;'Données projet'!$A$62,$AF$205^A28,IF(A28='Données projet'!$A$62,'Données projet'!$B$62,AI27+AH28-AQ27)))</f>
        <v>44.227863504790903</v>
      </c>
      <c r="AJ28" s="13">
        <f>AI28*VLOOKUP('Données projet'!$B$10,Paramètres!$A$1:$I$89,3,0)*VLOOKUP('Données projet'!$B$10,Paramètres!$A$1:$I$89,5,0)</f>
        <v>40.017370899134811</v>
      </c>
      <c r="AK28" s="13">
        <f t="shared" si="35"/>
        <v>12.003250949076193</v>
      </c>
      <c r="AL28" s="20">
        <f t="shared" si="4"/>
        <v>90.60258305230083</v>
      </c>
      <c r="AM28" s="59">
        <f t="shared" si="5"/>
        <v>318.64035701863293</v>
      </c>
      <c r="AN28" s="59">
        <f ca="1">AVERAGE(OFFSET($AM$3,0,0,'Données projet'!$E$10+1,1))-AVERAGE(OFFSET($H$3,0,0,'Données projet'!$E$10+1,1))</f>
        <v>737.40414421611001</v>
      </c>
      <c r="AO28" s="59">
        <f t="shared" si="36"/>
        <v>245.32893490531674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4.9119354838709679</v>
      </c>
      <c r="BD28" s="12">
        <f>IF('Données projet'!$A$88&gt;35,BD27+BC28-BL27,IF(A28&lt;'Données projet'!$A$88,$BA$205^A28,IF(A28='Données projet'!$A$88,'Données projet'!$B$88,BD27+BC28-BL27)))</f>
        <v>57.566902375343794</v>
      </c>
      <c r="BE28" s="13">
        <f>BD28*VLOOKUP('Données projet'!$B$11,Paramètres!$A$1:$I$89,3,0)*VLOOKUP('Données projet'!$B$11,Paramètres!$A$1:$I$89,5,0)</f>
        <v>48.494358560989618</v>
      </c>
      <c r="BF28" s="13">
        <f t="shared" si="37"/>
        <v>14.224231970251598</v>
      </c>
      <c r="BG28" s="20">
        <f t="shared" si="7"/>
        <v>109.23487850857845</v>
      </c>
      <c r="BH28" s="59">
        <f t="shared" si="8"/>
        <v>337.27265247491056</v>
      </c>
      <c r="BI28" s="59">
        <f ca="1">AVERAGE(OFFSET($BH$3,0,0,'Données projet'!$E$11+1,1))-AVERAGE(OFFSET($H$3,0,0,'Données projet'!$E$11+1,1))</f>
        <v>456.35333554128226</v>
      </c>
      <c r="BJ28" s="59">
        <f t="shared" si="38"/>
        <v>296.4517290984877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4.016578947368421</v>
      </c>
      <c r="BY28" s="12">
        <f>IF('Données projet'!$A$114&gt;35,BY27+BX28-CG27,IF(A28&lt;'Données projet'!$A$114,$BV$205^A28,IF(A28='Données projet'!$A$114,'Données projet'!$B$114,BY27+BX28-CG27)))</f>
        <v>100.41447368421049</v>
      </c>
      <c r="BZ28" s="13">
        <f>BY28*VLOOKUP('Données projet'!$B$12,Paramètres!$A$1:$I$89,3,0)*VLOOKUP('Données projet'!$B$12,Paramètres!$A$1:$I$89,5,0)</f>
        <v>95.5544131578947</v>
      </c>
      <c r="CA28" s="13">
        <f t="shared" si="39"/>
        <v>25.900111114129121</v>
      </c>
      <c r="CB28" s="20">
        <f t="shared" si="10"/>
        <v>211.53329644044149</v>
      </c>
      <c r="CC28" s="59">
        <f t="shared" si="11"/>
        <v>439.57107040677363</v>
      </c>
      <c r="CD28" s="59">
        <f ca="1">AVERAGE(OFFSET($CC$3,0,0,'Données projet'!$E$12+1,1))-AVERAGE(OFFSET($H$3,0,0,'Données projet'!$E$12+1,1))</f>
        <v>486.36097333679697</v>
      </c>
      <c r="CE28" s="59">
        <f t="shared" si="40"/>
        <v>308.47736602748159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523.37053350645897</v>
      </c>
      <c r="S29" s="59">
        <f ca="1">AVERAGE(OFFSET($R$3,0,0,'Données projet'!$E$9+1,1))-AVERAGE(OFFSET($H$3,0,0,'Données projet'!$E$9+1,1))</f>
        <v>407.05634973057056</v>
      </c>
      <c r="T29" s="59">
        <f t="shared" si="34"/>
        <v>375.32891954889965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5.0894117647058819</v>
      </c>
      <c r="AI29" s="13">
        <f>IF('Données projet'!$A$62&gt;35,AI28+AH29-AQ28,IF(A29&lt;'Données projet'!$A$62,$AF$205^A29,IF(A29='Données projet'!$A$62,'Données projet'!$B$62,AI28+AH29-AQ28)))</f>
        <v>51.466400947068237</v>
      </c>
      <c r="AJ29" s="13">
        <f>AI29*VLOOKUP('Données projet'!$B$10,Paramètres!$A$1:$I$89,3,0)*VLOOKUP('Données projet'!$B$10,Paramètres!$A$1:$I$89,5,0)</f>
        <v>46.566799576907343</v>
      </c>
      <c r="AK29" s="13">
        <f t="shared" si="35"/>
        <v>13.723483481832947</v>
      </c>
      <c r="AL29" s="20">
        <f t="shared" si="4"/>
        <v>105.005576327306</v>
      </c>
      <c r="AM29" s="59">
        <f t="shared" si="5"/>
        <v>335.29229037649617</v>
      </c>
      <c r="AN29" s="59">
        <f ca="1">AVERAGE(OFFSET($AM$3,0,0,'Données projet'!$E$10+1,1))-AVERAGE(OFFSET($H$3,0,0,'Données projet'!$E$10+1,1))</f>
        <v>737.40414421611001</v>
      </c>
      <c r="AO29" s="59">
        <f t="shared" si="36"/>
        <v>245.32893490531674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4.9119354838709679</v>
      </c>
      <c r="BD29" s="12">
        <f>IF('Données projet'!$A$88&gt;35,BD28+BC29-BL28,IF(A29&lt;'Données projet'!$A$88,$BA$205^A29,IF(A29='Données projet'!$A$88,'Données projet'!$B$88,BD28+BC29-BL28)))</f>
        <v>67.698613703175596</v>
      </c>
      <c r="BE29" s="13">
        <f>BD29*VLOOKUP('Données projet'!$B$11,Paramètres!$A$1:$I$89,3,0)*VLOOKUP('Données projet'!$B$11,Paramètres!$A$1:$I$89,5,0)</f>
        <v>57.029312183555128</v>
      </c>
      <c r="BF29" s="13">
        <f t="shared" si="37"/>
        <v>16.414980675949117</v>
      </c>
      <c r="BG29" s="20">
        <f t="shared" si="7"/>
        <v>127.91547673030321</v>
      </c>
      <c r="BH29" s="59">
        <f t="shared" si="8"/>
        <v>358.20219077949338</v>
      </c>
      <c r="BI29" s="59">
        <f ca="1">AVERAGE(OFFSET($BH$3,0,0,'Données projet'!$E$11+1,1))-AVERAGE(OFFSET($H$3,0,0,'Données projet'!$E$11+1,1))</f>
        <v>456.35333554128226</v>
      </c>
      <c r="BJ29" s="59">
        <f t="shared" si="38"/>
        <v>296.4517290984877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4.016578947368421</v>
      </c>
      <c r="BY29" s="12">
        <f>IF('Données projet'!$A$114&gt;35,BY28+BX29-CG28,IF(A29&lt;'Données projet'!$A$114,$BV$205^A29,IF(A29='Données projet'!$A$114,'Données projet'!$B$114,BY28+BX29-CG28)))</f>
        <v>104.43105263157891</v>
      </c>
      <c r="BZ29" s="13">
        <f>BY29*VLOOKUP('Données projet'!$B$12,Paramètres!$A$1:$I$89,3,0)*VLOOKUP('Données projet'!$B$12,Paramètres!$A$1:$I$89,5,0)</f>
        <v>99.376589684210487</v>
      </c>
      <c r="CA29" s="13">
        <f t="shared" si="39"/>
        <v>26.813424625461547</v>
      </c>
      <c r="CB29" s="20">
        <f t="shared" si="10"/>
        <v>219.78094158934547</v>
      </c>
      <c r="CC29" s="59">
        <f t="shared" si="11"/>
        <v>450.06765563853565</v>
      </c>
      <c r="CD29" s="59">
        <f ca="1">AVERAGE(OFFSET($CC$3,0,0,'Données projet'!$E$12+1,1))-AVERAGE(OFFSET($H$3,0,0,'Données projet'!$E$12+1,1))</f>
        <v>486.36097333679697</v>
      </c>
      <c r="CE29" s="59">
        <f t="shared" si="40"/>
        <v>308.47736602748159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551.46804198200505</v>
      </c>
      <c r="S30" s="59">
        <f ca="1">AVERAGE(OFFSET($R$3,0,0,'Données projet'!$E$9+1,1))-AVERAGE(OFFSET($H$3,0,0,'Données projet'!$E$9+1,1))</f>
        <v>407.05634973057056</v>
      </c>
      <c r="T30" s="59">
        <f t="shared" si="34"/>
        <v>375.32891954889965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5.0894117647058819</v>
      </c>
      <c r="AI30" s="13">
        <f>IF('Données projet'!$A$62&gt;35,AI29+AH30-AQ29,IF(A30&lt;'Données projet'!$A$62,$AF$205^A30,IF(A30='Données projet'!$A$62,'Données projet'!$B$62,AI29+AH30-AQ29)))</f>
        <v>59.889631027676955</v>
      </c>
      <c r="AJ30" s="13">
        <f>AI30*VLOOKUP('Données projet'!$B$10,Paramètres!$A$1:$I$89,3,0)*VLOOKUP('Données projet'!$B$10,Paramètres!$A$1:$I$89,5,0)</f>
        <v>54.188138153842111</v>
      </c>
      <c r="AK30" s="13">
        <f t="shared" si="35"/>
        <v>15.690249222910433</v>
      </c>
      <c r="AL30" s="20">
        <f t="shared" si="4"/>
        <v>121.70485801451069</v>
      </c>
      <c r="AM30" s="59">
        <f t="shared" si="5"/>
        <v>354.22270088707421</v>
      </c>
      <c r="AN30" s="59">
        <f ca="1">AVERAGE(OFFSET($AM$3,0,0,'Données projet'!$E$10+1,1))-AVERAGE(OFFSET($H$3,0,0,'Données projet'!$E$10+1,1))</f>
        <v>737.40414421611001</v>
      </c>
      <c r="AO30" s="59">
        <f t="shared" si="36"/>
        <v>245.32893490531674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4.9119354838709679</v>
      </c>
      <c r="BD30" s="12">
        <f>IF('Données projet'!$A$88&gt;35,BD29+BC30-BL29,IF(A30&lt;'Données projet'!$A$88,$BA$205^A30,IF(A30='Données projet'!$A$88,'Données projet'!$B$88,BD29+BC30-BL29)))</f>
        <v>79.613495050495573</v>
      </c>
      <c r="BE30" s="13">
        <f>BD30*VLOOKUP('Données projet'!$B$11,Paramètres!$A$1:$I$89,3,0)*VLOOKUP('Données projet'!$B$11,Paramètres!$A$1:$I$89,5,0)</f>
        <v>67.066408230537476</v>
      </c>
      <c r="BF30" s="13">
        <f t="shared" si="37"/>
        <v>18.943138100904928</v>
      </c>
      <c r="BG30" s="20">
        <f t="shared" si="7"/>
        <v>149.79995986059552</v>
      </c>
      <c r="BH30" s="59">
        <f t="shared" si="8"/>
        <v>382.31780273315906</v>
      </c>
      <c r="BI30" s="59">
        <f ca="1">AVERAGE(OFFSET($BH$3,0,0,'Données projet'!$E$11+1,1))-AVERAGE(OFFSET($H$3,0,0,'Données projet'!$E$11+1,1))</f>
        <v>456.35333554128226</v>
      </c>
      <c r="BJ30" s="59">
        <f t="shared" si="38"/>
        <v>296.4517290984877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4.016578947368421</v>
      </c>
      <c r="BY30" s="12">
        <f>IF('Données projet'!$A$114&gt;35,BY29+BX30-CG29,IF(A30&lt;'Données projet'!$A$114,$BV$205^A30,IF(A30='Données projet'!$A$114,'Données projet'!$B$114,BY29+BX30-CG29)))</f>
        <v>108.44763157894732</v>
      </c>
      <c r="BZ30" s="13">
        <f>BY30*VLOOKUP('Données projet'!$B$12,Paramètres!$A$1:$I$89,3,0)*VLOOKUP('Données projet'!$B$12,Paramètres!$A$1:$I$89,5,0)</f>
        <v>103.19876621052627</v>
      </c>
      <c r="CA30" s="13">
        <f t="shared" si="39"/>
        <v>27.722657378854588</v>
      </c>
      <c r="CB30" s="20">
        <f t="shared" si="10"/>
        <v>228.02147941817165</v>
      </c>
      <c r="CC30" s="59">
        <f t="shared" si="11"/>
        <v>460.53932229073519</v>
      </c>
      <c r="CD30" s="59">
        <f ca="1">AVERAGE(OFFSET($CC$3,0,0,'Données projet'!$E$12+1,1))-AVERAGE(OFFSET($H$3,0,0,'Données projet'!$E$12+1,1))</f>
        <v>486.36097333679697</v>
      </c>
      <c r="CE30" s="59">
        <f t="shared" si="40"/>
        <v>308.47736602748159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579.50161830643981</v>
      </c>
      <c r="S31" s="59">
        <f ca="1">AVERAGE(OFFSET($R$3,0,0,'Données projet'!$E$9+1,1))-AVERAGE(OFFSET($H$3,0,0,'Données projet'!$E$9+1,1))</f>
        <v>407.05634973057056</v>
      </c>
      <c r="T31" s="59">
        <f t="shared" si="34"/>
        <v>375.32891954889965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5.0894117647058819</v>
      </c>
      <c r="AI31" s="13">
        <f>IF('Données projet'!$A$62&gt;35,AI30+AH31-AQ30,IF(A31&lt;'Données projet'!$A$62,$AF$205^A31,IF(A31='Données projet'!$A$62,'Données projet'!$B$62,AI30+AH31-AQ30)))</f>
        <v>69.691446043024783</v>
      </c>
      <c r="AJ31" s="13">
        <f>AI31*VLOOKUP('Données projet'!$B$10,Paramètres!$A$1:$I$89,3,0)*VLOOKUP('Données projet'!$B$10,Paramètres!$A$1:$I$89,5,0)</f>
        <v>63.056820379728819</v>
      </c>
      <c r="AK31" s="13">
        <f t="shared" si="35"/>
        <v>17.938879804310467</v>
      </c>
      <c r="AL31" s="20">
        <f t="shared" si="4"/>
        <v>141.06751115386842</v>
      </c>
      <c r="AM31" s="59">
        <f t="shared" si="5"/>
        <v>375.79898057585251</v>
      </c>
      <c r="AN31" s="59">
        <f ca="1">AVERAGE(OFFSET($AM$3,0,0,'Données projet'!$E$10+1,1))-AVERAGE(OFFSET($H$3,0,0,'Données projet'!$E$10+1,1))</f>
        <v>737.40414421611001</v>
      </c>
      <c r="AO31" s="59">
        <f t="shared" si="36"/>
        <v>245.32893490531674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4.9119354838709679</v>
      </c>
      <c r="BD31" s="12">
        <f>IF('Données projet'!$A$88&gt;35,BD30+BC31-BL30,IF(A31&lt;'Données projet'!$A$88,$BA$205^A31,IF(A31='Données projet'!$A$88,'Données projet'!$B$88,BD30+BC31-BL30)))</f>
        <v>93.625382374084964</v>
      </c>
      <c r="BE31" s="13">
        <f>BD31*VLOOKUP('Données projet'!$B$11,Paramètres!$A$1:$I$89,3,0)*VLOOKUP('Données projet'!$B$11,Paramètres!$A$1:$I$89,5,0)</f>
        <v>78.870022111929188</v>
      </c>
      <c r="BF31" s="13">
        <f t="shared" si="37"/>
        <v>21.860670334856028</v>
      </c>
      <c r="BG31" s="20">
        <f t="shared" si="7"/>
        <v>175.43928934481758</v>
      </c>
      <c r="BH31" s="59">
        <f t="shared" si="8"/>
        <v>410.17075876680167</v>
      </c>
      <c r="BI31" s="59">
        <f ca="1">AVERAGE(OFFSET($BH$3,0,0,'Données projet'!$E$11+1,1))-AVERAGE(OFFSET($H$3,0,0,'Données projet'!$E$11+1,1))</f>
        <v>456.35333554128226</v>
      </c>
      <c r="BJ31" s="59">
        <f t="shared" si="38"/>
        <v>296.4517290984877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4.016578947368421</v>
      </c>
      <c r="BY31" s="12">
        <f>IF('Données projet'!$A$114&gt;35,BY30+BX31-CG30,IF(A31&lt;'Données projet'!$A$114,$BV$205^A31,IF(A31='Données projet'!$A$114,'Données projet'!$B$114,BY30+BX31-CG30)))</f>
        <v>112.46421052631574</v>
      </c>
      <c r="BZ31" s="13">
        <f>BY31*VLOOKUP('Données projet'!$B$12,Paramètres!$A$1:$I$89,3,0)*VLOOKUP('Données projet'!$B$12,Paramètres!$A$1:$I$89,5,0)</f>
        <v>107.02094273684206</v>
      </c>
      <c r="CA31" s="13">
        <f t="shared" si="39"/>
        <v>28.627977821267809</v>
      </c>
      <c r="CB31" s="20">
        <f t="shared" si="10"/>
        <v>236.25520330537464</v>
      </c>
      <c r="CC31" s="59">
        <f t="shared" si="11"/>
        <v>470.98667272735872</v>
      </c>
      <c r="CD31" s="59">
        <f ca="1">AVERAGE(OFFSET($CC$3,0,0,'Données projet'!$E$12+1,1))-AVERAGE(OFFSET($H$3,0,0,'Données projet'!$E$12+1,1))</f>
        <v>486.36097333679697</v>
      </c>
      <c r="CE31" s="59">
        <f t="shared" si="40"/>
        <v>308.47736602748159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528.63922853661984</v>
      </c>
      <c r="S32" s="59">
        <f ca="1">AVERAGE(OFFSET($R$3,0,0,'Données projet'!$E$9+1,1))-AVERAGE(OFFSET($H$3,0,0,'Données projet'!$E$9+1,1))</f>
        <v>407.05634973057056</v>
      </c>
      <c r="T32" s="59">
        <f t="shared" si="34"/>
        <v>375.32891954889965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5.0894117647058819</v>
      </c>
      <c r="AI32" s="13">
        <f>IF('Données projet'!$A$62&gt;35,AI31+AH32-AQ31,IF(A32&lt;'Données projet'!$A$62,$AF$205^A32,IF(A32='Données projet'!$A$62,'Données projet'!$B$62,AI31+AH32-AQ31)))</f>
        <v>81.097471602777176</v>
      </c>
      <c r="AJ32" s="13">
        <f>AI32*VLOOKUP('Données projet'!$B$10,Paramètres!$A$1:$I$89,3,0)*VLOOKUP('Données projet'!$B$10,Paramètres!$A$1:$I$89,5,0)</f>
        <v>73.37699230619279</v>
      </c>
      <c r="AK32" s="13">
        <f t="shared" si="35"/>
        <v>20.509770371499922</v>
      </c>
      <c r="AL32" s="20">
        <f t="shared" si="4"/>
        <v>163.51944499698146</v>
      </c>
      <c r="AM32" s="59">
        <f t="shared" si="5"/>
        <v>400.4473423197573</v>
      </c>
      <c r="AN32" s="59">
        <f ca="1">AVERAGE(OFFSET($AM$3,0,0,'Données projet'!$E$10+1,1))-AVERAGE(OFFSET($H$3,0,0,'Données projet'!$E$10+1,1))</f>
        <v>737.40414421611001</v>
      </c>
      <c r="AO32" s="59">
        <f t="shared" si="36"/>
        <v>245.32893490531674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4.9119354838709679</v>
      </c>
      <c r="BD32" s="12">
        <f>IF('Données projet'!$A$88&gt;35,BD31+BC32-BL31,IF(A32&lt;'Données projet'!$A$88,$BA$205^A32,IF(A32='Données projet'!$A$88,'Données projet'!$B$88,BD31+BC32-BL31)))</f>
        <v>110.1033464129905</v>
      </c>
      <c r="BE32" s="13">
        <f>BD32*VLOOKUP('Données projet'!$B$11,Paramètres!$A$1:$I$89,3,0)*VLOOKUP('Données projet'!$B$11,Paramètres!$A$1:$I$89,5,0)</f>
        <v>92.751059018303209</v>
      </c>
      <c r="BF32" s="13">
        <f t="shared" si="37"/>
        <v>25.22754703807103</v>
      </c>
      <c r="BG32" s="20">
        <f t="shared" si="7"/>
        <v>205.47940554818516</v>
      </c>
      <c r="BH32" s="59">
        <f t="shared" si="8"/>
        <v>442.40730287096096</v>
      </c>
      <c r="BI32" s="59">
        <f ca="1">AVERAGE(OFFSET($BH$3,0,0,'Données projet'!$E$11+1,1))-AVERAGE(OFFSET($H$3,0,0,'Données projet'!$E$11+1,1))</f>
        <v>456.35333554128226</v>
      </c>
      <c r="BJ32" s="59">
        <f t="shared" si="38"/>
        <v>296.4517290984877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4.016578947368421</v>
      </c>
      <c r="BY32" s="12">
        <f>IF('Données projet'!$A$114&gt;35,BY31+BX32-CG31,IF(A32&lt;'Données projet'!$A$114,$BV$205^A32,IF(A32='Données projet'!$A$114,'Données projet'!$B$114,BY31+BX32-CG31)))</f>
        <v>116.48078947368415</v>
      </c>
      <c r="BZ32" s="13">
        <f>BY32*VLOOKUP('Données projet'!$B$12,Paramètres!$A$1:$I$89,3,0)*VLOOKUP('Données projet'!$B$12,Paramètres!$A$1:$I$89,5,0)</f>
        <v>110.84311926315785</v>
      </c>
      <c r="CA32" s="13">
        <f t="shared" si="39"/>
        <v>29.529541685665656</v>
      </c>
      <c r="CB32" s="20">
        <f t="shared" si="10"/>
        <v>244.48238448586758</v>
      </c>
      <c r="CC32" s="59">
        <f t="shared" si="11"/>
        <v>481.41028180864339</v>
      </c>
      <c r="CD32" s="59">
        <f ca="1">AVERAGE(OFFSET($CC$3,0,0,'Données projet'!$E$12+1,1))-AVERAGE(OFFSET($H$3,0,0,'Données projet'!$E$12+1,1))</f>
        <v>486.36097333679697</v>
      </c>
      <c r="CE32" s="59">
        <f t="shared" si="40"/>
        <v>308.47736602748159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558.66225288223302</v>
      </c>
      <c r="S33" s="59">
        <f ca="1">AVERAGE(OFFSET($R$3,0,0,'Données projet'!$E$9+1,1))-AVERAGE(OFFSET($H$3,0,0,'Données projet'!$E$9+1,1))</f>
        <v>407.05634973057056</v>
      </c>
      <c r="T33" s="59">
        <f t="shared" si="34"/>
        <v>375.32891954889965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5.0894117647058819</v>
      </c>
      <c r="AI33" s="13">
        <f>IF('Données projet'!$A$62&gt;35,AI32+AH33-AQ32,IF(A33&lt;'Données projet'!$A$62,$AF$205^A33,IF(A33='Données projet'!$A$62,'Données projet'!$B$62,AI32+AH33-AQ32)))</f>
        <v>94.370260251207753</v>
      </c>
      <c r="AJ33" s="13">
        <f>AI33*VLOOKUP('Données projet'!$B$10,Paramètres!$A$1:$I$89,3,0)*VLOOKUP('Données projet'!$B$10,Paramètres!$A$1:$I$89,5,0)</f>
        <v>85.386211475292768</v>
      </c>
      <c r="AK33" s="13">
        <f t="shared" si="35"/>
        <v>23.449105255199921</v>
      </c>
      <c r="AL33" s="20">
        <f t="shared" si="4"/>
        <v>189.5548433056081</v>
      </c>
      <c r="AM33" s="59">
        <f t="shared" si="5"/>
        <v>428.66226823865009</v>
      </c>
      <c r="AN33" s="59">
        <f ca="1">AVERAGE(OFFSET($AM$3,0,0,'Données projet'!$E$10+1,1))-AVERAGE(OFFSET($H$3,0,0,'Données projet'!$E$10+1,1))</f>
        <v>737.40414421611001</v>
      </c>
      <c r="AO33" s="59">
        <f t="shared" si="36"/>
        <v>245.32893490531674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4.9119354838709679</v>
      </c>
      <c r="BD33" s="12">
        <f>IF('Données projet'!$A$88&gt;35,BD32+BC33-BL32,IF(A33&lt;'Données projet'!$A$88,$BA$205^A33,IF(A33='Données projet'!$A$88,'Données projet'!$B$88,BD32+BC33-BL32)))</f>
        <v>129.48141394928501</v>
      </c>
      <c r="BE33" s="13">
        <f>BD33*VLOOKUP('Données projet'!$B$11,Paramètres!$A$1:$I$89,3,0)*VLOOKUP('Données projet'!$B$11,Paramètres!$A$1:$I$89,5,0)</f>
        <v>109.0751431108777</v>
      </c>
      <c r="BF33" s="13">
        <f t="shared" si="37"/>
        <v>29.112974113301696</v>
      </c>
      <c r="BG33" s="20">
        <f t="shared" si="7"/>
        <v>240.67763749877909</v>
      </c>
      <c r="BH33" s="59">
        <f t="shared" si="8"/>
        <v>479.78506243182107</v>
      </c>
      <c r="BI33" s="59">
        <f ca="1">AVERAGE(OFFSET($BH$3,0,0,'Données projet'!$E$11+1,1))-AVERAGE(OFFSET($H$3,0,0,'Données projet'!$E$11+1,1))</f>
        <v>456.35333554128226</v>
      </c>
      <c r="BJ33" s="59">
        <f t="shared" si="38"/>
        <v>296.4517290984877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4.016578947368421</v>
      </c>
      <c r="BY33" s="12">
        <f>IF('Données projet'!$A$114&gt;35,BY32+BX33-CG32,IF(A33&lt;'Données projet'!$A$114,$BV$205^A33,IF(A33='Données projet'!$A$114,'Données projet'!$B$114,BY32+BX33-CG32)))</f>
        <v>120.49736842105257</v>
      </c>
      <c r="BZ33" s="13">
        <f>BY33*VLOOKUP('Données projet'!$B$12,Paramètres!$A$1:$I$89,3,0)*VLOOKUP('Données projet'!$B$12,Paramètres!$A$1:$I$89,5,0)</f>
        <v>114.66529578947363</v>
      </c>
      <c r="CA33" s="13">
        <f t="shared" si="39"/>
        <v>30.427493355659173</v>
      </c>
      <c r="CB33" s="20">
        <f t="shared" si="10"/>
        <v>252.70327442777295</v>
      </c>
      <c r="CC33" s="59">
        <f t="shared" si="11"/>
        <v>491.81069936081497</v>
      </c>
      <c r="CD33" s="59">
        <f ca="1">AVERAGE(OFFSET($CC$3,0,0,'Données projet'!$E$12+1,1))-AVERAGE(OFFSET($H$3,0,0,'Données projet'!$E$12+1,1))</f>
        <v>486.36097333679697</v>
      </c>
      <c r="CE33" s="59">
        <f t="shared" si="40"/>
        <v>308.47736602748159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587.39275719267221</v>
      </c>
      <c r="S34" s="59">
        <f ca="1">AVERAGE(OFFSET($R$3,0,0,'Données projet'!$E$9+1,1))-AVERAGE(OFFSET($H$3,0,0,'Données projet'!$E$9+1,1))</f>
        <v>407.05634973057056</v>
      </c>
      <c r="T34" s="59">
        <f t="shared" si="34"/>
        <v>375.32891954889965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5.0894117647058819</v>
      </c>
      <c r="AI34" s="13">
        <f>IF('Données projet'!$A$62&gt;35,AI33+AH34-AQ33,IF(A34&lt;'Données projet'!$A$62,$AF$205^A34,IF(A34='Données projet'!$A$62,'Données projet'!$B$62,AI33+AH34-AQ33)))</f>
        <v>109.81533510072718</v>
      </c>
      <c r="AJ34" s="13">
        <f>AI34*VLOOKUP('Données projet'!$B$10,Paramètres!$A$1:$I$89,3,0)*VLOOKUP('Données projet'!$B$10,Paramètres!$A$1:$I$89,5,0)</f>
        <v>99.360915199137949</v>
      </c>
      <c r="AK34" s="13">
        <f t="shared" si="35"/>
        <v>26.809687642018758</v>
      </c>
      <c r="AL34" s="20">
        <f t="shared" si="4"/>
        <v>219.74713328168124</v>
      </c>
      <c r="AM34" s="59">
        <f t="shared" si="5"/>
        <v>459.7952564944988</v>
      </c>
      <c r="AN34" s="59">
        <f ca="1">AVERAGE(OFFSET($AM$3,0,0,'Données projet'!$E$10+1,1))-AVERAGE(OFFSET($H$3,0,0,'Données projet'!$E$10+1,1))</f>
        <v>737.40414421611001</v>
      </c>
      <c r="AO34" s="59">
        <f t="shared" si="36"/>
        <v>245.32893490531674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152.27000000000001</v>
      </c>
      <c r="BB34" s="12">
        <f>VLOOKUP(A34,'Données projet'!$A$87:$I$107,9,0)</f>
        <v>4.9119354838709679</v>
      </c>
      <c r="BC34" s="12">
        <f t="array" ref="BC34">INDEX(BB:BB,MIN(IF(ISNUMBER(BB34:BB230),ROW(BB34:BB230),"")))</f>
        <v>4.9119354838709679</v>
      </c>
      <c r="BD34" s="12">
        <f>IF('Données projet'!$A$88&gt;35,BD33+BC34-BL33,IF(A34&lt;'Données projet'!$A$88,$BA$205^A34,IF(A34='Données projet'!$A$88,'Données projet'!$B$88,BD33+BC34-BL33)))</f>
        <v>152.27000000000001</v>
      </c>
      <c r="BE34" s="13">
        <f>BD34*VLOOKUP('Données projet'!$B$11,Paramètres!$A$1:$I$89,3,0)*VLOOKUP('Données projet'!$B$11,Paramètres!$A$1:$I$89,5,0)</f>
        <v>128.27224800000002</v>
      </c>
      <c r="BF34" s="13">
        <f t="shared" si="37"/>
        <v>33.596816228018859</v>
      </c>
      <c r="BG34" s="20">
        <f t="shared" si="7"/>
        <v>281.92195353046623</v>
      </c>
      <c r="BH34" s="59">
        <f t="shared" si="8"/>
        <v>521.97007674328381</v>
      </c>
      <c r="BI34" s="59">
        <f ca="1">AVERAGE(OFFSET($BH$3,0,0,'Données projet'!$E$11+1,1))-AVERAGE(OFFSET($H$3,0,0,'Données projet'!$E$11+1,1))</f>
        <v>456.35333554128226</v>
      </c>
      <c r="BJ34" s="59">
        <f t="shared" si="38"/>
        <v>296.4517290984877</v>
      </c>
      <c r="BK34" s="15">
        <f>IF(ISNA(VLOOKUP(A34,'Données projet'!$A$87:$I$107,3,0)),0,VLOOKUP(A34,'Données projet'!$A$87:$I$107,3,0))</f>
        <v>1</v>
      </c>
      <c r="BL34" s="15">
        <f>IF(ISNA(VLOOKUP(A34,'Données projet'!$A$87:$I$107,4,0)),0,VLOOKUP(A34,'Données projet'!$A$87:$I$107,4,0))</f>
        <v>65.77000000000001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0.34400000000000003</v>
      </c>
      <c r="BO34" s="16">
        <f>IF(ISNA(VLOOKUP(A34,'Données projet'!$A$87:$I$107,7,0)),0%,VLOOKUP(A34,'Données projet'!$A$87:$I$107,7,0))</f>
        <v>0.2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20.986421678291009</v>
      </c>
      <c r="BR34" s="21">
        <f>EXP(-LN(2)/2)*BR33+(1-EXP(-LN(2)/2))/(LN(2)/2)*BL34*BO34*VLOOKUP('Données projet'!$B$11,Paramètres!$A$1:$I$89,3,0)*0.475*44/12</f>
        <v>10.45515531644752</v>
      </c>
      <c r="BS34" s="22">
        <f t="shared" si="9"/>
        <v>31.441576994738529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4.016578947368421</v>
      </c>
      <c r="BY34" s="12">
        <f>IF('Données projet'!$A$114&gt;35,BY33+BX34-CG33,IF(A34&lt;'Données projet'!$A$114,$BV$205^A34,IF(A34='Données projet'!$A$114,'Données projet'!$B$114,BY33+BX34-CG33)))</f>
        <v>124.51394736842099</v>
      </c>
      <c r="BZ34" s="13">
        <f>BY34*VLOOKUP('Données projet'!$B$12,Paramètres!$A$1:$I$89,3,0)*VLOOKUP('Données projet'!$B$12,Paramètres!$A$1:$I$89,5,0)</f>
        <v>118.48747231578942</v>
      </c>
      <c r="CA34" s="13">
        <f t="shared" si="39"/>
        <v>31.321967043083987</v>
      </c>
      <c r="CB34" s="20">
        <f t="shared" si="10"/>
        <v>260.91810688337119</v>
      </c>
      <c r="CC34" s="59">
        <f t="shared" si="11"/>
        <v>500.96623009618872</v>
      </c>
      <c r="CD34" s="59">
        <f ca="1">AVERAGE(OFFSET($CC$3,0,0,'Données projet'!$E$12+1,1))-AVERAGE(OFFSET($H$3,0,0,'Données projet'!$E$12+1,1))</f>
        <v>486.36097333679697</v>
      </c>
      <c r="CE34" s="59">
        <f t="shared" si="40"/>
        <v>308.47736602748159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616.05814738601453</v>
      </c>
      <c r="S35" s="59">
        <f ca="1">AVERAGE(OFFSET($R$3,0,0,'Données projet'!$E$9+1,1))-AVERAGE(OFFSET($H$3,0,0,'Données projet'!$E$9+1,1))</f>
        <v>407.05634973057056</v>
      </c>
      <c r="T35" s="59">
        <f t="shared" si="34"/>
        <v>375.32891954889965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5.0894117647058819</v>
      </c>
      <c r="AI35" s="13">
        <f>IF('Données projet'!$A$62&gt;35,AI34+AH35-AQ34,IF(A35&lt;'Données projet'!$A$62,$AF$205^A35,IF(A35='Données projet'!$A$62,'Données projet'!$B$62,AI34+AH35-AQ34)))</f>
        <v>127.78822259452934</v>
      </c>
      <c r="AJ35" s="13">
        <f>AI35*VLOOKUP('Données projet'!$B$10,Paramètres!$A$1:$I$89,3,0)*VLOOKUP('Données projet'!$B$10,Paramètres!$A$1:$I$89,5,0)</f>
        <v>115.62278380353014</v>
      </c>
      <c r="AK35" s="13">
        <f t="shared" si="35"/>
        <v>30.651888148407128</v>
      </c>
      <c r="AL35" s="20">
        <f t="shared" si="4"/>
        <v>254.76172031629076</v>
      </c>
      <c r="AM35" s="59">
        <f t="shared" si="5"/>
        <v>495.73422279681608</v>
      </c>
      <c r="AN35" s="59">
        <f ca="1">AVERAGE(OFFSET($AM$3,0,0,'Données projet'!$E$10+1,1))-AVERAGE(OFFSET($H$3,0,0,'Données projet'!$E$10+1,1))</f>
        <v>737.40414421611001</v>
      </c>
      <c r="AO35" s="59">
        <f t="shared" si="36"/>
        <v>245.32893490531674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12.998333333333335</v>
      </c>
      <c r="BD35" s="12">
        <f>IF('Données projet'!$A$88&gt;35,BD34+BC35-BL34,IF(A35&lt;'Données projet'!$A$88,$BA$205^A35,IF(A35='Données projet'!$A$88,'Données projet'!$B$88,BD34+BC35-BL34)))</f>
        <v>99.498333333333335</v>
      </c>
      <c r="BE35" s="13">
        <f>BD35*VLOOKUP('Données projet'!$B$11,Paramètres!$A$1:$I$89,3,0)*VLOOKUP('Données projet'!$B$11,Paramètres!$A$1:$I$89,5,0)</f>
        <v>83.817396000000002</v>
      </c>
      <c r="BF35" s="13">
        <f t="shared" si="37"/>
        <v>23.068010073991108</v>
      </c>
      <c r="BG35" s="20">
        <f t="shared" si="7"/>
        <v>186.15874891220116</v>
      </c>
      <c r="BH35" s="59">
        <f t="shared" si="8"/>
        <v>427.13125139272648</v>
      </c>
      <c r="BI35" s="59">
        <f ca="1">AVERAGE(OFFSET($BH$3,0,0,'Données projet'!$E$11+1,1))-AVERAGE(OFFSET($H$3,0,0,'Données projet'!$E$11+1,1))</f>
        <v>456.35333554128226</v>
      </c>
      <c r="BJ35" s="59">
        <f t="shared" si="38"/>
        <v>296.4517290984877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20.412546873870191</v>
      </c>
      <c r="BR35" s="21">
        <f>EXP(-LN(2)/2)*BR34+(1-EXP(-LN(2)/2))/(LN(2)/2)*BL35*BO35*VLOOKUP('Données projet'!$B$11,Paramètres!$A$1:$I$89,3,0)*0.475*44/12</f>
        <v>7.3929112226186264</v>
      </c>
      <c r="BS35" s="22">
        <f t="shared" si="9"/>
        <v>27.805458096488817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4.016578947368421</v>
      </c>
      <c r="BY35" s="12">
        <f>IF('Données projet'!$A$114&gt;35,BY34+BX35-CG34,IF(A35&lt;'Données projet'!$A$114,$BV$205^A35,IF(A35='Données projet'!$A$114,'Données projet'!$B$114,BY34+BX35-CG34)))</f>
        <v>128.53052631578942</v>
      </c>
      <c r="BZ35" s="13">
        <f>BY35*VLOOKUP('Données projet'!$B$12,Paramètres!$A$1:$I$89,3,0)*VLOOKUP('Données projet'!$B$12,Paramètres!$A$1:$I$89,5,0)</f>
        <v>122.3096488421052</v>
      </c>
      <c r="CA35" s="13">
        <f t="shared" si="39"/>
        <v>32.213087809364474</v>
      </c>
      <c r="CB35" s="20">
        <f t="shared" si="10"/>
        <v>269.12709966797632</v>
      </c>
      <c r="CC35" s="59">
        <f t="shared" si="11"/>
        <v>510.09960214850162</v>
      </c>
      <c r="CD35" s="59">
        <f ca="1">AVERAGE(OFFSET($CC$3,0,0,'Données projet'!$E$12+1,1))-AVERAGE(OFFSET($H$3,0,0,'Données projet'!$E$12+1,1))</f>
        <v>486.36097333679697</v>
      </c>
      <c r="CE35" s="59">
        <f t="shared" si="40"/>
        <v>308.47736602748159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644.66281912241686</v>
      </c>
      <c r="S36" s="59">
        <f ca="1">AVERAGE(OFFSET($R$3,0,0,'Données projet'!$E$9+1,1))-AVERAGE(OFFSET($H$3,0,0,'Données projet'!$E$9+1,1))</f>
        <v>407.05634973057056</v>
      </c>
      <c r="T36" s="59">
        <f t="shared" si="34"/>
        <v>375.32891954889965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5.0894117647058819</v>
      </c>
      <c r="AI36" s="13">
        <f>IF('Données projet'!$A$62&gt;35,AI35+AH36-AQ35,IF(A36&lt;'Données projet'!$A$62,$AF$205^A36,IF(A36='Données projet'!$A$62,'Données projet'!$B$62,AI35+AH36-AQ35)))</f>
        <v>148.70263628381758</v>
      </c>
      <c r="AJ36" s="13">
        <f>AI36*VLOOKUP('Données projet'!$B$10,Paramètres!$A$1:$I$89,3,0)*VLOOKUP('Données projet'!$B$10,Paramètres!$A$1:$I$89,5,0)</f>
        <v>134.54614530959816</v>
      </c>
      <c r="AK36" s="13">
        <f t="shared" si="35"/>
        <v>35.044729338432354</v>
      </c>
      <c r="AL36" s="20">
        <f t="shared" si="4"/>
        <v>295.37077334531978</v>
      </c>
      <c r="AM36" s="59">
        <f t="shared" si="5"/>
        <v>537.25161917986054</v>
      </c>
      <c r="AN36" s="59">
        <f ca="1">AVERAGE(OFFSET($AM$3,0,0,'Données projet'!$E$10+1,1))-AVERAGE(OFFSET($H$3,0,0,'Données projet'!$E$10+1,1))</f>
        <v>737.40414421611001</v>
      </c>
      <c r="AO36" s="59">
        <f t="shared" si="36"/>
        <v>245.32893490531674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12.998333333333335</v>
      </c>
      <c r="BD36" s="12">
        <f>IF('Données projet'!$A$88&gt;35,BD35+BC36-BL35,IF(A36&lt;'Données projet'!$A$88,$BA$205^A36,IF(A36='Données projet'!$A$88,'Données projet'!$B$88,BD35+BC36-BL35)))</f>
        <v>112.49666666666667</v>
      </c>
      <c r="BE36" s="13">
        <f>BD36*VLOOKUP('Données projet'!$B$11,Paramètres!$A$1:$I$89,3,0)*VLOOKUP('Données projet'!$B$11,Paramètres!$A$1:$I$89,5,0)</f>
        <v>94.767192000000009</v>
      </c>
      <c r="BF36" s="13">
        <f t="shared" si="37"/>
        <v>25.711480504393407</v>
      </c>
      <c r="BG36" s="20">
        <f t="shared" si="7"/>
        <v>209.83368794515187</v>
      </c>
      <c r="BH36" s="59">
        <f t="shared" si="8"/>
        <v>451.7145337796926</v>
      </c>
      <c r="BI36" s="59">
        <f ca="1">AVERAGE(OFFSET($BH$3,0,0,'Données projet'!$E$11+1,1))-AVERAGE(OFFSET($H$3,0,0,'Données projet'!$E$11+1,1))</f>
        <v>456.35333554128226</v>
      </c>
      <c r="BJ36" s="59">
        <f t="shared" si="38"/>
        <v>296.4517290984877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19.854364706155025</v>
      </c>
      <c r="BR36" s="21">
        <f>EXP(-LN(2)/2)*BR35+(1-EXP(-LN(2)/2))/(LN(2)/2)*BL36*BO36*VLOOKUP('Données projet'!$B$11,Paramètres!$A$1:$I$89,3,0)*0.475*44/12</f>
        <v>5.227577658223761</v>
      </c>
      <c r="BS36" s="22">
        <f t="shared" si="9"/>
        <v>25.081942364378786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4.016578947368421</v>
      </c>
      <c r="BY36" s="12">
        <f>IF('Données projet'!$A$114&gt;35,BY35+BX36-CG35,IF(A36&lt;'Données projet'!$A$114,$BV$205^A36,IF(A36='Données projet'!$A$114,'Données projet'!$B$114,BY35+BX36-CG35)))</f>
        <v>132.54710526315785</v>
      </c>
      <c r="BZ36" s="13">
        <f>BY36*VLOOKUP('Données projet'!$B$12,Paramètres!$A$1:$I$89,3,0)*VLOOKUP('Données projet'!$B$12,Paramètres!$A$1:$I$89,5,0)</f>
        <v>126.131825368421</v>
      </c>
      <c r="CA36" s="13">
        <f t="shared" si="39"/>
        <v>33.100972455620806</v>
      </c>
      <c r="CB36" s="20">
        <f t="shared" si="10"/>
        <v>277.33045621020614</v>
      </c>
      <c r="CC36" s="59">
        <f t="shared" si="11"/>
        <v>519.21130204474684</v>
      </c>
      <c r="CD36" s="59">
        <f ca="1">AVERAGE(OFFSET($CC$3,0,0,'Données projet'!$E$12+1,1))-AVERAGE(OFFSET($H$3,0,0,'Données projet'!$E$12+1,1))</f>
        <v>486.36097333679697</v>
      </c>
      <c r="CE36" s="59">
        <f t="shared" si="40"/>
        <v>308.47736602748159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673.21055171032299</v>
      </c>
      <c r="S37" s="59">
        <f ca="1">AVERAGE(OFFSET($R$3,0,0,'Données projet'!$E$9+1,1))-AVERAGE(OFFSET($H$3,0,0,'Données projet'!$E$9+1,1))</f>
        <v>407.05634973057056</v>
      </c>
      <c r="T37" s="59">
        <f t="shared" si="34"/>
        <v>375.32891954889965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5.0894117647058819</v>
      </c>
      <c r="AH37" s="12">
        <f t="array" ref="AH37">INDEX(AG:AG,MIN(IF(ISNUMBER(AG37:AG233),ROW(AG37:AG233),"")))</f>
        <v>5.0894117647058819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585.24382306723101</v>
      </c>
      <c r="AN37" s="59">
        <f ca="1">AVERAGE(OFFSET($AM$3,0,0,'Données projet'!$E$10+1,1))-AVERAGE(OFFSET($H$3,0,0,'Données projet'!$E$10+1,1))</f>
        <v>737.40414421611001</v>
      </c>
      <c r="AO37" s="59">
        <f t="shared" si="36"/>
        <v>245.32893490531674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36.679999999999978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0.34400000000000003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12.571124101178455</v>
      </c>
      <c r="AW37" s="21">
        <f>EXP(-LN(2)/2)*AW36+(1-EXP(-LN(2)/2))/(LN(2)/2)*AQ37*AT37*VLOOKUP('Données projet'!$B$10,Paramètres!$A$1:$I$89,3,0)*0.475*44/12</f>
        <v>6.2627663255292276</v>
      </c>
      <c r="AX37" s="21">
        <f t="shared" si="6"/>
        <v>18.833890426707683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12.998333333333335</v>
      </c>
      <c r="BD37" s="12">
        <f>IF('Données projet'!$A$88&gt;35,BD36+BC37-BL36,IF(A37&lt;'Données projet'!$A$88,$BA$205^A37,IF(A37='Données projet'!$A$88,'Données projet'!$B$88,BD36+BC37-BL36)))</f>
        <v>125.495</v>
      </c>
      <c r="BE37" s="13">
        <f>BD37*VLOOKUP('Données projet'!$B$11,Paramètres!$A$1:$I$89,3,0)*VLOOKUP('Données projet'!$B$11,Paramètres!$A$1:$I$89,5,0)</f>
        <v>105.71698800000001</v>
      </c>
      <c r="BF37" s="13">
        <f t="shared" si="37"/>
        <v>28.319552956235832</v>
      </c>
      <c r="BG37" s="20">
        <f t="shared" si="7"/>
        <v>233.44697549877742</v>
      </c>
      <c r="BH37" s="59">
        <f t="shared" si="8"/>
        <v>476.220406960893</v>
      </c>
      <c r="BI37" s="59">
        <f ca="1">AVERAGE(OFFSET($BH$3,0,0,'Données projet'!$E$11+1,1))-AVERAGE(OFFSET($H$3,0,0,'Données projet'!$E$11+1,1))</f>
        <v>456.35333554128226</v>
      </c>
      <c r="BJ37" s="59">
        <f t="shared" si="38"/>
        <v>296.4517290984877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19.311446059169555</v>
      </c>
      <c r="BR37" s="21">
        <f>EXP(-LN(2)/2)*BR36+(1-EXP(-LN(2)/2))/(LN(2)/2)*BL37*BO37*VLOOKUP('Données projet'!$B$11,Paramètres!$A$1:$I$89,3,0)*0.475*44/12</f>
        <v>3.6964556113093137</v>
      </c>
      <c r="BS37" s="22">
        <f t="shared" si="9"/>
        <v>23.007901670478869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4.016578947368421</v>
      </c>
      <c r="BY37" s="12">
        <f>IF('Données projet'!$A$114&gt;35,BY36+BX37-CG36,IF(A37&lt;'Données projet'!$A$114,$BV$205^A37,IF(A37='Données projet'!$A$114,'Données projet'!$B$114,BY36+BX37-CG36)))</f>
        <v>136.56368421052628</v>
      </c>
      <c r="BZ37" s="13">
        <f>BY37*VLOOKUP('Données projet'!$B$12,Paramètres!$A$1:$I$89,3,0)*VLOOKUP('Données projet'!$B$12,Paramètres!$A$1:$I$89,5,0)</f>
        <v>129.95400189473682</v>
      </c>
      <c r="CA37" s="13">
        <f t="shared" si="39"/>
        <v>33.985730301853138</v>
      </c>
      <c r="CB37" s="20">
        <f t="shared" si="10"/>
        <v>285.52836690906082</v>
      </c>
      <c r="CC37" s="59">
        <f t="shared" si="11"/>
        <v>528.30179837117635</v>
      </c>
      <c r="CD37" s="59">
        <f ca="1">AVERAGE(OFFSET($CC$3,0,0,'Données projet'!$E$12+1,1))-AVERAGE(OFFSET($H$3,0,0,'Données projet'!$E$12+1,1))</f>
        <v>486.36097333679697</v>
      </c>
      <c r="CE37" s="59">
        <f t="shared" si="40"/>
        <v>308.47736602748159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701.70463335000477</v>
      </c>
      <c r="S38" s="59">
        <f ca="1">AVERAGE(OFFSET($R$3,0,0,'Données projet'!$E$9+1,1))-AVERAGE(OFFSET($H$3,0,0,'Données projet'!$E$9+1,1))</f>
        <v>407.05634973057056</v>
      </c>
      <c r="T38" s="59">
        <f t="shared" si="34"/>
        <v>375.32891954889965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13.956249999999997</v>
      </c>
      <c r="AI38" s="13">
        <f>IF('Données projet'!$A$62&gt;35,AI37+AH38-AQ37,IF(A38&lt;'Données projet'!$A$62,$AF$205^A38,IF(A38='Données projet'!$A$62,'Données projet'!$B$62,AI37+AH38-AQ37)))</f>
        <v>150.31625</v>
      </c>
      <c r="AJ38" s="13">
        <f>AI38*VLOOKUP('Données projet'!$B$10,Paramètres!$A$1:$I$89,3,0)*VLOOKUP('Données projet'!$B$10,Paramètres!$A$1:$I$89,5,0)</f>
        <v>136.00614299999998</v>
      </c>
      <c r="AK38" s="13">
        <f t="shared" si="35"/>
        <v>35.380533493230494</v>
      </c>
      <c r="AL38" s="20">
        <f t="shared" si="4"/>
        <v>298.49846155904305</v>
      </c>
      <c r="AM38" s="59">
        <f t="shared" si="5"/>
        <v>542.14899428361753</v>
      </c>
      <c r="AN38" s="59">
        <f ca="1">AVERAGE(OFFSET($AM$3,0,0,'Données projet'!$E$10+1,1))-AVERAGE(OFFSET($H$3,0,0,'Données projet'!$E$10+1,1))</f>
        <v>737.40414421611001</v>
      </c>
      <c r="AO38" s="59">
        <f t="shared" si="36"/>
        <v>245.32893490531674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12.227366051545046</v>
      </c>
      <c r="AW38" s="21">
        <f>EXP(-LN(2)/2)*AW37+(1-EXP(-LN(2)/2))/(LN(2)/2)*AQ38*AT38*VLOOKUP('Données projet'!$B$10,Paramètres!$A$1:$I$89,3,0)*0.475*44/12</f>
        <v>4.428444537768474</v>
      </c>
      <c r="AX38" s="21">
        <f t="shared" si="6"/>
        <v>16.655810589313518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12.998333333333335</v>
      </c>
      <c r="BD38" s="12">
        <f>IF('Données projet'!$A$88&gt;35,BD37+BC38-BL37,IF(A38&lt;'Données projet'!$A$88,$BA$205^A38,IF(A38='Données projet'!$A$88,'Données projet'!$B$88,BD37+BC38-BL37)))</f>
        <v>138.49333333333334</v>
      </c>
      <c r="BE38" s="13">
        <f>BD38*VLOOKUP('Données projet'!$B$11,Paramètres!$A$1:$I$89,3,0)*VLOOKUP('Données projet'!$B$11,Paramètres!$A$1:$I$89,5,0)</f>
        <v>116.66678400000002</v>
      </c>
      <c r="BF38" s="13">
        <f t="shared" si="37"/>
        <v>30.896311433156317</v>
      </c>
      <c r="BG38" s="20">
        <f t="shared" si="7"/>
        <v>257.00572454608067</v>
      </c>
      <c r="BH38" s="59">
        <f t="shared" si="8"/>
        <v>500.65625727065515</v>
      </c>
      <c r="BI38" s="59">
        <f ca="1">AVERAGE(OFFSET($BH$3,0,0,'Données projet'!$E$11+1,1))-AVERAGE(OFFSET($H$3,0,0,'Données projet'!$E$11+1,1))</f>
        <v>456.35333554128226</v>
      </c>
      <c r="BJ38" s="59">
        <f t="shared" si="38"/>
        <v>296.4517290984877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18.783373551136751</v>
      </c>
      <c r="BR38" s="21">
        <f>EXP(-LN(2)/2)*BR37+(1-EXP(-LN(2)/2))/(LN(2)/2)*BL38*BO38*VLOOKUP('Données projet'!$B$11,Paramètres!$A$1:$I$89,3,0)*0.475*44/12</f>
        <v>2.6137888291118809</v>
      </c>
      <c r="BS38" s="22">
        <f t="shared" si="9"/>
        <v>21.397162380248631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4.016578947368421</v>
      </c>
      <c r="BY38" s="12">
        <f>IF('Données projet'!$A$114&gt;35,BY37+BX38-CG37,IF(A38&lt;'Données projet'!$A$114,$BV$205^A38,IF(A38='Données projet'!$A$114,'Données projet'!$B$114,BY37+BX38-CG37)))</f>
        <v>140.58026315789471</v>
      </c>
      <c r="BZ38" s="13">
        <f>BY38*VLOOKUP('Données projet'!$B$12,Paramètres!$A$1:$I$89,3,0)*VLOOKUP('Données projet'!$B$12,Paramètres!$A$1:$I$89,5,0)</f>
        <v>133.77617842105261</v>
      </c>
      <c r="CA38" s="13">
        <f t="shared" si="39"/>
        <v>34.867463871880652</v>
      </c>
      <c r="CB38" s="20">
        <f t="shared" si="10"/>
        <v>293.72101032685873</v>
      </c>
      <c r="CC38" s="59">
        <f t="shared" si="11"/>
        <v>537.37154305143326</v>
      </c>
      <c r="CD38" s="59">
        <f ca="1">AVERAGE(OFFSET($CC$3,0,0,'Données projet'!$E$12+1,1))-AVERAGE(OFFSET($H$3,0,0,'Données projet'!$E$12+1,1))</f>
        <v>486.36097333679697</v>
      </c>
      <c r="CE38" s="59">
        <f t="shared" si="40"/>
        <v>308.47736602748159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626.68355553919992</v>
      </c>
      <c r="S39" s="59">
        <f ca="1">AVERAGE(OFFSET($R$3,0,0,'Données projet'!$E$9+1,1))-AVERAGE(OFFSET($H$3,0,0,'Données projet'!$E$9+1,1))</f>
        <v>407.05634973057056</v>
      </c>
      <c r="T39" s="59">
        <f t="shared" si="34"/>
        <v>375.32891954889965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13.956249999999997</v>
      </c>
      <c r="AI39" s="13">
        <f>IF('Données projet'!$A$62&gt;35,AI38+AH39-AQ38,IF(A39&lt;'Données projet'!$A$62,$AF$205^A39,IF(A39='Données projet'!$A$62,'Données projet'!$B$62,AI38+AH39-AQ38)))</f>
        <v>164.27249999999998</v>
      </c>
      <c r="AJ39" s="13">
        <f>AI39*VLOOKUP('Données projet'!$B$10,Paramètres!$A$1:$I$89,3,0)*VLOOKUP('Données projet'!$B$10,Paramètres!$A$1:$I$89,5,0)</f>
        <v>148.63375799999997</v>
      </c>
      <c r="AK39" s="13">
        <f t="shared" si="35"/>
        <v>38.267937075369332</v>
      </c>
      <c r="AL39" s="20">
        <f t="shared" si="4"/>
        <v>325.52045225626819</v>
      </c>
      <c r="AM39" s="59">
        <f t="shared" si="5"/>
        <v>570.03287049730261</v>
      </c>
      <c r="AN39" s="59">
        <f ca="1">AVERAGE(OFFSET($AM$3,0,0,'Données projet'!$E$10+1,1))-AVERAGE(OFFSET($H$3,0,0,'Données projet'!$E$10+1,1))</f>
        <v>737.40414421611001</v>
      </c>
      <c r="AO39" s="59">
        <f t="shared" si="36"/>
        <v>245.32893490531674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11.893008083856312</v>
      </c>
      <c r="AW39" s="21">
        <f>EXP(-LN(2)/2)*AW38+(1-EXP(-LN(2)/2))/(LN(2)/2)*AQ39*AT39*VLOOKUP('Données projet'!$B$10,Paramètres!$A$1:$I$89,3,0)*0.475*44/12</f>
        <v>3.1313831627646143</v>
      </c>
      <c r="AX39" s="21">
        <f t="shared" si="6"/>
        <v>15.024391246620926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12.998333333333335</v>
      </c>
      <c r="BD39" s="12">
        <f>IF('Données projet'!$A$88&gt;35,BD38+BC39-BL38,IF(A39&lt;'Données projet'!$A$88,$BA$205^A39,IF(A39='Données projet'!$A$88,'Données projet'!$B$88,BD38+BC39-BL38)))</f>
        <v>151.49166666666667</v>
      </c>
      <c r="BE39" s="13">
        <f>BD39*VLOOKUP('Données projet'!$B$11,Paramètres!$A$1:$I$89,3,0)*VLOOKUP('Données projet'!$B$11,Paramètres!$A$1:$I$89,5,0)</f>
        <v>127.61658000000001</v>
      </c>
      <c r="BF39" s="13">
        <f t="shared" si="37"/>
        <v>33.445029241298066</v>
      </c>
      <c r="BG39" s="20">
        <f t="shared" si="7"/>
        <v>280.51563609526079</v>
      </c>
      <c r="BH39" s="59">
        <f t="shared" si="8"/>
        <v>525.02805433629521</v>
      </c>
      <c r="BI39" s="59">
        <f ca="1">AVERAGE(OFFSET($BH$3,0,0,'Données projet'!$E$11+1,1))-AVERAGE(OFFSET($H$3,0,0,'Données projet'!$E$11+1,1))</f>
        <v>456.35333554128226</v>
      </c>
      <c r="BJ39" s="59">
        <f t="shared" si="38"/>
        <v>296.4517290984877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18.269741213606231</v>
      </c>
      <c r="BR39" s="21">
        <f>EXP(-LN(2)/2)*BR38+(1-EXP(-LN(2)/2))/(LN(2)/2)*BL39*BO39*VLOOKUP('Données projet'!$B$11,Paramètres!$A$1:$I$89,3,0)*0.475*44/12</f>
        <v>1.8482278056546573</v>
      </c>
      <c r="BS39" s="22">
        <f t="shared" si="9"/>
        <v>20.11796901926089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4.016578947368421</v>
      </c>
      <c r="BY39" s="12">
        <f>IF('Données projet'!$A$114&gt;35,BY38+BX39-CG38,IF(A39&lt;'Données projet'!$A$114,$BV$205^A39,IF(A39='Données projet'!$A$114,'Données projet'!$B$114,BY38+BX39-CG38)))</f>
        <v>144.59684210526314</v>
      </c>
      <c r="BZ39" s="13">
        <f>BY39*VLOOKUP('Données projet'!$B$12,Paramètres!$A$1:$I$89,3,0)*VLOOKUP('Données projet'!$B$12,Paramètres!$A$1:$I$89,5,0)</f>
        <v>137.59835494736839</v>
      </c>
      <c r="CA39" s="13">
        <f t="shared" si="39"/>
        <v>35.746269497802267</v>
      </c>
      <c r="CB39" s="20">
        <f t="shared" si="10"/>
        <v>301.90855424200555</v>
      </c>
      <c r="CC39" s="59">
        <f t="shared" si="11"/>
        <v>546.42097248304003</v>
      </c>
      <c r="CD39" s="59">
        <f ca="1">AVERAGE(OFFSET($CC$3,0,0,'Données projet'!$E$12+1,1))-AVERAGE(OFFSET($H$3,0,0,'Données projet'!$E$12+1,1))</f>
        <v>486.36097333679697</v>
      </c>
      <c r="CE39" s="59">
        <f t="shared" si="40"/>
        <v>308.47736602748159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654.72335146151374</v>
      </c>
      <c r="S40" s="59">
        <f ca="1">AVERAGE(OFFSET($R$3,0,0,'Données projet'!$E$9+1,1))-AVERAGE(OFFSET($H$3,0,0,'Données projet'!$E$9+1,1))</f>
        <v>407.05634973057056</v>
      </c>
      <c r="T40" s="59">
        <f t="shared" si="34"/>
        <v>375.32891954889965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13.956249999999997</v>
      </c>
      <c r="AI40" s="13">
        <f>IF('Données projet'!$A$62&gt;35,AI39+AH40-AQ39,IF(A40&lt;'Données projet'!$A$62,$AF$205^A40,IF(A40='Données projet'!$A$62,'Données projet'!$B$62,AI39+AH40-AQ39)))</f>
        <v>178.22874999999999</v>
      </c>
      <c r="AJ40" s="13">
        <f>AI40*VLOOKUP('Données projet'!$B$10,Paramètres!$A$1:$I$89,3,0)*VLOOKUP('Données projet'!$B$10,Paramètres!$A$1:$I$89,5,0)</f>
        <v>161.26137299999999</v>
      </c>
      <c r="AK40" s="13">
        <f t="shared" si="35"/>
        <v>41.126891450739848</v>
      </c>
      <c r="AL40" s="20">
        <f t="shared" si="4"/>
        <v>352.49289391837186</v>
      </c>
      <c r="AM40" s="59">
        <f t="shared" si="5"/>
        <v>597.85224588904293</v>
      </c>
      <c r="AN40" s="59">
        <f ca="1">AVERAGE(OFFSET($AM$3,0,0,'Données projet'!$E$10+1,1))-AVERAGE(OFFSET($H$3,0,0,'Données projet'!$E$10+1,1))</f>
        <v>737.40414421611001</v>
      </c>
      <c r="AO40" s="59">
        <f t="shared" si="36"/>
        <v>245.32893490531674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11.567793152377147</v>
      </c>
      <c r="AW40" s="21">
        <f>EXP(-LN(2)/2)*AW39+(1-EXP(-LN(2)/2))/(LN(2)/2)*AQ40*AT40*VLOOKUP('Données projet'!$B$10,Paramètres!$A$1:$I$89,3,0)*0.475*44/12</f>
        <v>2.2142222688842375</v>
      </c>
      <c r="AX40" s="21">
        <f t="shared" si="6"/>
        <v>13.782015421261384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164.49</v>
      </c>
      <c r="BB40" s="12">
        <f>VLOOKUP(A40,'Données projet'!$A$87:$I$107,9,0)</f>
        <v>12.998333333333335</v>
      </c>
      <c r="BC40" s="12">
        <f t="array" ref="BC40">INDEX(BB:BB,MIN(IF(ISNUMBER(BB40:BB236),ROW(BB40:BB236),"")))</f>
        <v>12.998333333333335</v>
      </c>
      <c r="BD40" s="12">
        <f>IF('Données projet'!$A$88&gt;35,BD39+BC40-BL39,IF(A40&lt;'Données projet'!$A$88,$BA$205^A40,IF(A40='Données projet'!$A$88,'Données projet'!$B$88,BD39+BC40-BL39)))</f>
        <v>164.49</v>
      </c>
      <c r="BE40" s="13">
        <f>BD40*VLOOKUP('Données projet'!$B$11,Paramètres!$A$1:$I$89,3,0)*VLOOKUP('Données projet'!$B$11,Paramètres!$A$1:$I$89,5,0)</f>
        <v>138.56637600000002</v>
      </c>
      <c r="BF40" s="13">
        <f t="shared" si="37"/>
        <v>35.968385885318511</v>
      </c>
      <c r="BG40" s="20">
        <f t="shared" si="7"/>
        <v>303.9813769502631</v>
      </c>
      <c r="BH40" s="59">
        <f t="shared" si="8"/>
        <v>549.34072892093423</v>
      </c>
      <c r="BI40" s="59">
        <f ca="1">AVERAGE(OFFSET($BH$3,0,0,'Données projet'!$E$11+1,1))-AVERAGE(OFFSET($H$3,0,0,'Données projet'!$E$11+1,1))</f>
        <v>456.35333554128226</v>
      </c>
      <c r="BJ40" s="59">
        <f t="shared" si="38"/>
        <v>296.4517290984877</v>
      </c>
      <c r="BK40" s="15">
        <f>IF(ISNA(VLOOKUP(A40,'Données projet'!$A$87:$I$107,3,0)),0,VLOOKUP(A40,'Données projet'!$A$87:$I$107,3,0))</f>
        <v>2</v>
      </c>
      <c r="BL40" s="15">
        <f>IF(ISNA(VLOOKUP(A40,'Données projet'!$A$87:$I$107,4,0)),0,VLOOKUP(A40,'Données projet'!$A$87:$I$107,4,0))</f>
        <v>43.890000000000015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0.34400000000000003</v>
      </c>
      <c r="BO40" s="16">
        <f>IF(ISNA(VLOOKUP(A40,'Données projet'!$A$87:$I$107,7,0)),0%,VLOOKUP(A40,'Données projet'!$A$87:$I$107,7,0))</f>
        <v>0.2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31.774929114131851</v>
      </c>
      <c r="BR40" s="21">
        <f>EXP(-LN(2)/2)*BR39+(1-EXP(-LN(2)/2))/(LN(2)/2)*BL40*BO40*VLOOKUP('Données projet'!$B$11,Paramètres!$A$1:$I$89,3,0)*0.475*44/12</f>
        <v>8.2838864601524413</v>
      </c>
      <c r="BS40" s="22">
        <f t="shared" si="9"/>
        <v>40.058815574284296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4.016578947368421</v>
      </c>
      <c r="BY40" s="12">
        <f>IF('Données projet'!$A$114&gt;35,BY39+BX40-CG39,IF(A40&lt;'Données projet'!$A$114,$BV$205^A40,IF(A40='Données projet'!$A$114,'Données projet'!$B$114,BY39+BX40-CG39)))</f>
        <v>148.61342105263157</v>
      </c>
      <c r="BZ40" s="13">
        <f>BY40*VLOOKUP('Données projet'!$B$12,Paramètres!$A$1:$I$89,3,0)*VLOOKUP('Données projet'!$B$12,Paramètres!$A$1:$I$89,5,0)</f>
        <v>141.42053147368418</v>
      </c>
      <c r="CA40" s="13">
        <f t="shared" si="39"/>
        <v>36.62223785540634</v>
      </c>
      <c r="CB40" s="20">
        <f t="shared" si="10"/>
        <v>310.09115658149926</v>
      </c>
      <c r="CC40" s="59">
        <f t="shared" si="11"/>
        <v>555.45050855217039</v>
      </c>
      <c r="CD40" s="59">
        <f ca="1">AVERAGE(OFFSET($CC$3,0,0,'Données projet'!$E$12+1,1))-AVERAGE(OFFSET($H$3,0,0,'Données projet'!$E$12+1,1))</f>
        <v>486.36097333679697</v>
      </c>
      <c r="CE40" s="59">
        <f t="shared" si="40"/>
        <v>308.47736602748159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682.70945897482818</v>
      </c>
      <c r="S41" s="59">
        <f ca="1">AVERAGE(OFFSET($R$3,0,0,'Données projet'!$E$9+1,1))-AVERAGE(OFFSET($H$3,0,0,'Données projet'!$E$9+1,1))</f>
        <v>407.05634973057056</v>
      </c>
      <c r="T41" s="59">
        <f t="shared" si="34"/>
        <v>375.32891954889965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13.956249999999997</v>
      </c>
      <c r="AI41" s="13">
        <f>IF('Données projet'!$A$62&gt;35,AI40+AH41-AQ40,IF(A41&lt;'Données projet'!$A$62,$AF$205^A41,IF(A41='Données projet'!$A$62,'Données projet'!$B$62,AI40+AH41-AQ40)))</f>
        <v>192.185</v>
      </c>
      <c r="AJ41" s="13">
        <f>AI41*VLOOKUP('Données projet'!$B$10,Paramètres!$A$1:$I$89,3,0)*VLOOKUP('Données projet'!$B$10,Paramètres!$A$1:$I$89,5,0)</f>
        <v>173.88898799999998</v>
      </c>
      <c r="AK41" s="13">
        <f t="shared" si="35"/>
        <v>43.959877621771504</v>
      </c>
      <c r="AL41" s="20">
        <f t="shared" si="4"/>
        <v>379.42010762458534</v>
      </c>
      <c r="AM41" s="59">
        <f t="shared" si="5"/>
        <v>625.61170091814404</v>
      </c>
      <c r="AN41" s="59">
        <f ca="1">AVERAGE(OFFSET($AM$3,0,0,'Données projet'!$E$10+1,1))-AVERAGE(OFFSET($H$3,0,0,'Données projet'!$E$10+1,1))</f>
        <v>737.40414421611001</v>
      </c>
      <c r="AO41" s="59">
        <f t="shared" si="36"/>
        <v>245.32893490531674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11.251471240301591</v>
      </c>
      <c r="AW41" s="21">
        <f>EXP(-LN(2)/2)*AW40+(1-EXP(-LN(2)/2))/(LN(2)/2)*AQ41*AT41*VLOOKUP('Données projet'!$B$10,Paramètres!$A$1:$I$89,3,0)*0.475*44/12</f>
        <v>1.5656915813823074</v>
      </c>
      <c r="AX41" s="21">
        <f t="shared" si="6"/>
        <v>12.817162821683898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13.987142857142857</v>
      </c>
      <c r="BD41" s="12">
        <f>IF('Données projet'!$A$88&gt;35,BD40+BC41-BL40,IF(A41&lt;'Données projet'!$A$88,$BA$205^A41,IF(A41='Données projet'!$A$88,'Données projet'!$B$88,BD40+BC41-BL40)))</f>
        <v>134.58714285714285</v>
      </c>
      <c r="BE41" s="13">
        <f>BD41*VLOOKUP('Données projet'!$B$11,Paramètres!$A$1:$I$89,3,0)*VLOOKUP('Données projet'!$B$11,Paramètres!$A$1:$I$89,5,0)</f>
        <v>113.37620914285714</v>
      </c>
      <c r="BF41" s="13">
        <f t="shared" si="37"/>
        <v>30.125040801765408</v>
      </c>
      <c r="BG41" s="20">
        <f t="shared" si="7"/>
        <v>249.93134365355093</v>
      </c>
      <c r="BH41" s="59">
        <f t="shared" si="8"/>
        <v>496.12293694710968</v>
      </c>
      <c r="BI41" s="59">
        <f ca="1">AVERAGE(OFFSET($BH$3,0,0,'Données projet'!$E$11+1,1))-AVERAGE(OFFSET($H$3,0,0,'Données projet'!$E$11+1,1))</f>
        <v>456.35333554128226</v>
      </c>
      <c r="BJ41" s="59">
        <f t="shared" si="38"/>
        <v>296.4517290984877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30.906042006535017</v>
      </c>
      <c r="BR41" s="21">
        <f>EXP(-LN(2)/2)*BR40+(1-EXP(-LN(2)/2))/(LN(2)/2)*BL41*BO41*VLOOKUP('Données projet'!$B$11,Paramètres!$A$1:$I$89,3,0)*0.475*44/12</f>
        <v>5.8575922905532165</v>
      </c>
      <c r="BS41" s="22">
        <f t="shared" si="9"/>
        <v>36.763634297088231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>
        <f>VLOOKUP(A41,'Données projet'!$A$113:$I$133,2,0)</f>
        <v>152.63</v>
      </c>
      <c r="BW41" s="12">
        <f>VLOOKUP(A41,'Données projet'!$A$113:$I$133,9,0)</f>
        <v>4.016578947368421</v>
      </c>
      <c r="BX41" s="12">
        <f t="array" ref="BX41">INDEX(BW:BW,MIN(IF(ISNUMBER(BW41:BW237),ROW(BW41:BW237),"")))</f>
        <v>4.016578947368421</v>
      </c>
      <c r="BY41" s="12">
        <f>IF('Données projet'!$A$114&gt;35,BY40+BX41-CG40,IF(A41&lt;'Données projet'!$A$114,$BV$205^A41,IF(A41='Données projet'!$A$114,'Données projet'!$B$114,BY40+BX41-CG40)))</f>
        <v>152.63</v>
      </c>
      <c r="BZ41" s="13">
        <f>BY41*VLOOKUP('Données projet'!$B$12,Paramètres!$A$1:$I$89,3,0)*VLOOKUP('Données projet'!$B$12,Paramètres!$A$1:$I$89,5,0)</f>
        <v>145.24270799999999</v>
      </c>
      <c r="CA41" s="13">
        <f t="shared" si="39"/>
        <v>37.495454440070851</v>
      </c>
      <c r="CB41" s="20">
        <f t="shared" si="10"/>
        <v>318.26896624979003</v>
      </c>
      <c r="CC41" s="59">
        <f t="shared" si="11"/>
        <v>564.46055954334872</v>
      </c>
      <c r="CD41" s="59">
        <f ca="1">AVERAGE(OFFSET($CC$3,0,0,'Données projet'!$E$12+1,1))-AVERAGE(OFFSET($H$3,0,0,'Données projet'!$E$12+1,1))</f>
        <v>486.36097333679697</v>
      </c>
      <c r="CE41" s="59">
        <f t="shared" si="40"/>
        <v>308.47736602748159</v>
      </c>
      <c r="CF41" s="15">
        <f>IF(ISNA(VLOOKUP(A41,'Données projet'!$A$113:$I$133,3,0)),0,VLOOKUP(A41,'Données projet'!$A$113:$I$133,3,0))</f>
        <v>1</v>
      </c>
      <c r="CG41" s="15">
        <f>IF(ISNA(VLOOKUP(A41,'Données projet'!$A$113:$I$133,4,0)),0,VLOOKUP(A41,'Données projet'!$A$113:$I$133,4,0))</f>
        <v>71.569999999999993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0.1075</v>
      </c>
      <c r="CJ41" s="16">
        <f>IF(ISNA(VLOOKUP(A41,'Données projet'!$A$113:$I$133,7,0)),0%,VLOOKUP(A41,'Données projet'!$A$113:$I$133,7,0))</f>
        <v>0.25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8.0617192005417753</v>
      </c>
      <c r="CM41" s="21">
        <f>EXP(-LN(2)/2)*CM40+(1-EXP(-LN(2)/2))/(LN(2)/2)*CG41*CJ41*VLOOKUP('Données projet'!$B$12,Paramètres!$A$1:$I$89,3,0)*0.475*44/12</f>
        <v>16.064963842109382</v>
      </c>
      <c r="CN41" s="22">
        <f t="shared" si="12"/>
        <v>24.126683042651159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710.64489706420954</v>
      </c>
      <c r="S42" s="59">
        <f ca="1">AVERAGE(OFFSET($R$3,0,0,'Données projet'!$E$9+1,1))-AVERAGE(OFFSET($H$3,0,0,'Données projet'!$E$9+1,1))</f>
        <v>407.05634973057056</v>
      </c>
      <c r="T42" s="59">
        <f t="shared" si="34"/>
        <v>375.32891954889965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13.956249999999997</v>
      </c>
      <c r="AI42" s="13">
        <f>IF('Données projet'!$A$62&gt;35,AI41+AH42-AQ41,IF(A42&lt;'Données projet'!$A$62,$AF$205^A42,IF(A42='Données projet'!$A$62,'Données projet'!$B$62,AI41+AH42-AQ41)))</f>
        <v>206.14125000000001</v>
      </c>
      <c r="AJ42" s="13">
        <f>AI42*VLOOKUP('Données projet'!$B$10,Paramètres!$A$1:$I$89,3,0)*VLOOKUP('Données projet'!$B$10,Paramètres!$A$1:$I$89,5,0)</f>
        <v>186.516603</v>
      </c>
      <c r="AK42" s="13">
        <f t="shared" si="35"/>
        <v>46.768995827807657</v>
      </c>
      <c r="AL42" s="20">
        <f t="shared" si="4"/>
        <v>406.30575129176503</v>
      </c>
      <c r="AM42" s="59">
        <f t="shared" si="5"/>
        <v>653.31514838187218</v>
      </c>
      <c r="AN42" s="59">
        <f ca="1">AVERAGE(OFFSET($AM$3,0,0,'Données projet'!$E$10+1,1))-AVERAGE(OFFSET($H$3,0,0,'Données projet'!$E$10+1,1))</f>
        <v>737.40414421611001</v>
      </c>
      <c r="AO42" s="59">
        <f t="shared" si="36"/>
        <v>245.32893490531674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10.943799167546386</v>
      </c>
      <c r="AW42" s="21">
        <f>EXP(-LN(2)/2)*AW41+(1-EXP(-LN(2)/2))/(LN(2)/2)*AQ42*AT42*VLOOKUP('Données projet'!$B$10,Paramètres!$A$1:$I$89,3,0)*0.475*44/12</f>
        <v>1.1071111344421189</v>
      </c>
      <c r="AX42" s="21">
        <f t="shared" si="6"/>
        <v>12.050910301988505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13.987142857142857</v>
      </c>
      <c r="BD42" s="12">
        <f>IF('Données projet'!$A$88&gt;35,BD41+BC42-BL41,IF(A42&lt;'Données projet'!$A$88,$BA$205^A42,IF(A42='Données projet'!$A$88,'Données projet'!$B$88,BD41+BC42-BL41)))</f>
        <v>148.57428571428571</v>
      </c>
      <c r="BE42" s="13">
        <f>BD42*VLOOKUP('Données projet'!$B$11,Paramètres!$A$1:$I$89,3,0)*VLOOKUP('Données projet'!$B$11,Paramètres!$A$1:$I$89,5,0)</f>
        <v>125.1589782857143</v>
      </c>
      <c r="BF42" s="13">
        <f t="shared" si="37"/>
        <v>32.875282708584329</v>
      </c>
      <c r="BG42" s="20">
        <f t="shared" si="7"/>
        <v>275.24300456507007</v>
      </c>
      <c r="BH42" s="59">
        <f t="shared" si="8"/>
        <v>522.25240165517721</v>
      </c>
      <c r="BI42" s="59">
        <f ca="1">AVERAGE(OFFSET($BH$3,0,0,'Données projet'!$E$11+1,1))-AVERAGE(OFFSET($H$3,0,0,'Données projet'!$E$11+1,1))</f>
        <v>456.35333554128226</v>
      </c>
      <c r="BJ42" s="59">
        <f t="shared" si="38"/>
        <v>296.4517290984877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30.060914662588203</v>
      </c>
      <c r="BR42" s="21">
        <f>EXP(-LN(2)/2)*BR41+(1-EXP(-LN(2)/2))/(LN(2)/2)*BL42*BO42*VLOOKUP('Données projet'!$B$11,Paramètres!$A$1:$I$89,3,0)*0.475*44/12</f>
        <v>4.1419432300762216</v>
      </c>
      <c r="BS42" s="22">
        <f t="shared" si="9"/>
        <v>34.202857892664426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9.8128571428571423</v>
      </c>
      <c r="BY42" s="12">
        <f>IF('Données projet'!$A$114&gt;35,BY41+BX42-CG41,IF(A42&lt;'Données projet'!$A$114,$BV$205^A42,IF(A42='Données projet'!$A$114,'Données projet'!$B$114,BY41+BX42-CG41)))</f>
        <v>90.872857142857157</v>
      </c>
      <c r="BZ42" s="13">
        <f>BY42*VLOOKUP('Données projet'!$B$12,Paramètres!$A$1:$I$89,3,0)*VLOOKUP('Données projet'!$B$12,Paramètres!$A$1:$I$89,5,0)</f>
        <v>86.474610857142878</v>
      </c>
      <c r="CA42" s="13">
        <f t="shared" si="39"/>
        <v>23.713018835104659</v>
      </c>
      <c r="CB42" s="20">
        <f t="shared" si="10"/>
        <v>191.9101217139978</v>
      </c>
      <c r="CC42" s="59">
        <f t="shared" si="11"/>
        <v>438.91951880410488</v>
      </c>
      <c r="CD42" s="59">
        <f ca="1">AVERAGE(OFFSET($CC$3,0,0,'Données projet'!$E$12+1,1))-AVERAGE(OFFSET($H$3,0,0,'Données projet'!$E$12+1,1))</f>
        <v>486.36097333679697</v>
      </c>
      <c r="CE42" s="59">
        <f t="shared" si="40"/>
        <v>308.47736602748159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7.8412710650555733</v>
      </c>
      <c r="CM42" s="21">
        <f>EXP(-LN(2)/2)*CM41+(1-EXP(-LN(2)/2))/(LN(2)/2)*CG42*CJ42*VLOOKUP('Données projet'!$B$12,Paramètres!$A$1:$I$89,3,0)*0.475*44/12</f>
        <v>11.359644872272238</v>
      </c>
      <c r="CN42" s="22">
        <f t="shared" si="12"/>
        <v>19.20091593732781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738.53233085050613</v>
      </c>
      <c r="S43" s="59">
        <f ca="1">AVERAGE(OFFSET($R$3,0,0,'Données projet'!$E$9+1,1))-AVERAGE(OFFSET($H$3,0,0,'Données projet'!$E$9+1,1))</f>
        <v>407.05634973057056</v>
      </c>
      <c r="T43" s="59">
        <f t="shared" si="34"/>
        <v>375.32891954889965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13.956249999999997</v>
      </c>
      <c r="AI43" s="13">
        <f>IF('Données projet'!$A$62&gt;35,AI42+AH43-AQ42,IF(A43&lt;'Données projet'!$A$62,$AF$205^A43,IF(A43='Données projet'!$A$62,'Données projet'!$B$62,AI42+AH43-AQ42)))</f>
        <v>220.09750000000003</v>
      </c>
      <c r="AJ43" s="13">
        <f>AI43*VLOOKUP('Données projet'!$B$10,Paramètres!$A$1:$I$89,3,0)*VLOOKUP('Données projet'!$B$10,Paramètres!$A$1:$I$89,5,0)</f>
        <v>199.14421800000002</v>
      </c>
      <c r="AK43" s="13">
        <f t="shared" si="35"/>
        <v>49.55604583218453</v>
      </c>
      <c r="AL43" s="20">
        <f t="shared" si="4"/>
        <v>433.15295950772139</v>
      </c>
      <c r="AM43" s="59">
        <f t="shared" si="5"/>
        <v>680.96597332684223</v>
      </c>
      <c r="AN43" s="59">
        <f ca="1">AVERAGE(OFFSET($AM$3,0,0,'Données projet'!$E$10+1,1))-AVERAGE(OFFSET($H$3,0,0,'Données projet'!$E$10+1,1))</f>
        <v>737.40414421611001</v>
      </c>
      <c r="AO43" s="59">
        <f t="shared" si="36"/>
        <v>245.32893490531674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10.644540403800445</v>
      </c>
      <c r="AW43" s="21">
        <f>EXP(-LN(2)/2)*AW42+(1-EXP(-LN(2)/2))/(LN(2)/2)*AQ43*AT43*VLOOKUP('Données projet'!$B$10,Paramètres!$A$1:$I$89,3,0)*0.475*44/12</f>
        <v>0.7828457906911539</v>
      </c>
      <c r="AX43" s="21">
        <f t="shared" si="6"/>
        <v>11.427386194491598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13.987142857142857</v>
      </c>
      <c r="BD43" s="12">
        <f>IF('Données projet'!$A$88&gt;35,BD42+BC43-BL42,IF(A43&lt;'Données projet'!$A$88,$BA$205^A43,IF(A43='Données projet'!$A$88,'Données projet'!$B$88,BD42+BC43-BL42)))</f>
        <v>162.56142857142856</v>
      </c>
      <c r="BE43" s="13">
        <f>BD43*VLOOKUP('Données projet'!$B$11,Paramètres!$A$1:$I$89,3,0)*VLOOKUP('Données projet'!$B$11,Paramètres!$A$1:$I$89,5,0)</f>
        <v>136.94174742857143</v>
      </c>
      <c r="BF43" s="13">
        <f t="shared" si="37"/>
        <v>35.595504732914314</v>
      </c>
      <c r="BG43" s="20">
        <f t="shared" si="7"/>
        <v>300.50238084792096</v>
      </c>
      <c r="BH43" s="59">
        <f t="shared" si="8"/>
        <v>548.3153946670418</v>
      </c>
      <c r="BI43" s="59">
        <f ca="1">AVERAGE(OFFSET($BH$3,0,0,'Données projet'!$E$11+1,1))-AVERAGE(OFFSET($H$3,0,0,'Données projet'!$E$11+1,1))</f>
        <v>456.35333554128226</v>
      </c>
      <c r="BJ43" s="59">
        <f t="shared" si="38"/>
        <v>296.4517290984877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29.238897370304933</v>
      </c>
      <c r="BR43" s="21">
        <f>EXP(-LN(2)/2)*BR42+(1-EXP(-LN(2)/2))/(LN(2)/2)*BL43*BO43*VLOOKUP('Données projet'!$B$11,Paramètres!$A$1:$I$89,3,0)*0.475*44/12</f>
        <v>2.9287961452766087</v>
      </c>
      <c r="BS43" s="22">
        <f t="shared" si="9"/>
        <v>32.16769351558154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9.8128571428571423</v>
      </c>
      <c r="BY43" s="12">
        <f>IF('Données projet'!$A$114&gt;35,BY42+BX43-CG42,IF(A43&lt;'Données projet'!$A$114,$BV$205^A43,IF(A43='Données projet'!$A$114,'Données projet'!$B$114,BY42+BX43-CG42)))</f>
        <v>100.6857142857143</v>
      </c>
      <c r="BZ43" s="13">
        <f>BY43*VLOOKUP('Données projet'!$B$12,Paramètres!$A$1:$I$89,3,0)*VLOOKUP('Données projet'!$B$12,Paramètres!$A$1:$I$89,5,0)</f>
        <v>95.812525714285727</v>
      </c>
      <c r="CA43" s="13">
        <f t="shared" si="39"/>
        <v>25.961919514574856</v>
      </c>
      <c r="CB43" s="20">
        <f t="shared" si="10"/>
        <v>212.09049210693217</v>
      </c>
      <c r="CC43" s="59">
        <f t="shared" si="11"/>
        <v>459.90350592605296</v>
      </c>
      <c r="CD43" s="59">
        <f ca="1">AVERAGE(OFFSET($CC$3,0,0,'Données projet'!$E$12+1,1))-AVERAGE(OFFSET($H$3,0,0,'Données projet'!$E$12+1,1))</f>
        <v>486.36097333679697</v>
      </c>
      <c r="CE43" s="59">
        <f t="shared" si="40"/>
        <v>308.47736602748159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7.6268510954271047</v>
      </c>
      <c r="CM43" s="21">
        <f>EXP(-LN(2)/2)*CM42+(1-EXP(-LN(2)/2))/(LN(2)/2)*CG43*CJ43*VLOOKUP('Données projet'!$B$12,Paramètres!$A$1:$I$89,3,0)*0.475*44/12</f>
        <v>8.0324819210546927</v>
      </c>
      <c r="CN43" s="22">
        <f t="shared" si="12"/>
        <v>15.659333016481797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766.37413308172211</v>
      </c>
      <c r="S44" s="59">
        <f ca="1">AVERAGE(OFFSET($R$3,0,0,'Données projet'!$E$9+1,1))-AVERAGE(OFFSET($H$3,0,0,'Données projet'!$E$9+1,1))</f>
        <v>407.05634973057056</v>
      </c>
      <c r="T44" s="59">
        <f t="shared" si="34"/>
        <v>375.32891954889965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13.956249999999997</v>
      </c>
      <c r="AI44" s="13">
        <f>IF('Données projet'!$A$62&gt;35,AI43+AH44-AQ43,IF(A44&lt;'Données projet'!$A$62,$AF$205^A44,IF(A44='Données projet'!$A$62,'Données projet'!$B$62,AI43+AH44-AQ43)))</f>
        <v>234.05375000000004</v>
      </c>
      <c r="AJ44" s="13">
        <f>AI44*VLOOKUP('Données projet'!$B$10,Paramètres!$A$1:$I$89,3,0)*VLOOKUP('Données projet'!$B$10,Paramètres!$A$1:$I$89,5,0)</f>
        <v>211.77183300000004</v>
      </c>
      <c r="AK44" s="13">
        <f t="shared" si="35"/>
        <v>52.322586251762758</v>
      </c>
      <c r="AL44" s="20">
        <f t="shared" si="4"/>
        <v>459.9644468634869</v>
      </c>
      <c r="AM44" s="59">
        <f t="shared" si="5"/>
        <v>708.56713645799084</v>
      </c>
      <c r="AN44" s="59">
        <f ca="1">AVERAGE(OFFSET($AM$3,0,0,'Données projet'!$E$10+1,1))-AVERAGE(OFFSET($H$3,0,0,'Données projet'!$E$10+1,1))</f>
        <v>737.40414421611001</v>
      </c>
      <c r="AO44" s="59">
        <f t="shared" si="36"/>
        <v>245.32893490531674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10.353464886686471</v>
      </c>
      <c r="AW44" s="21">
        <f>EXP(-LN(2)/2)*AW43+(1-EXP(-LN(2)/2))/(LN(2)/2)*AQ44*AT44*VLOOKUP('Données projet'!$B$10,Paramètres!$A$1:$I$89,3,0)*0.475*44/12</f>
        <v>0.55355556722105959</v>
      </c>
      <c r="AX44" s="21">
        <f t="shared" si="6"/>
        <v>10.90702045390753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13.987142857142857</v>
      </c>
      <c r="BD44" s="12">
        <f>IF('Données projet'!$A$88&gt;35,BD43+BC44-BL43,IF(A44&lt;'Données projet'!$A$88,$BA$205^A44,IF(A44='Données projet'!$A$88,'Données projet'!$B$88,BD43+BC44-BL43)))</f>
        <v>176.54857142857142</v>
      </c>
      <c r="BE44" s="13">
        <f>BD44*VLOOKUP('Données projet'!$B$11,Paramètres!$A$1:$I$89,3,0)*VLOOKUP('Données projet'!$B$11,Paramètres!$A$1:$I$89,5,0)</f>
        <v>148.72451657142858</v>
      </c>
      <c r="BF44" s="13">
        <f t="shared" si="37"/>
        <v>38.288583531630934</v>
      </c>
      <c r="BG44" s="20">
        <f t="shared" si="7"/>
        <v>325.71448267949529</v>
      </c>
      <c r="BH44" s="59">
        <f t="shared" si="8"/>
        <v>574.31717227399929</v>
      </c>
      <c r="BI44" s="59">
        <f ca="1">AVERAGE(OFFSET($BH$3,0,0,'Données projet'!$E$11+1,1))-AVERAGE(OFFSET($H$3,0,0,'Données projet'!$E$11+1,1))</f>
        <v>456.35333554128226</v>
      </c>
      <c r="BJ44" s="59">
        <f t="shared" si="38"/>
        <v>296.4517290984877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28.43935818410716</v>
      </c>
      <c r="BR44" s="21">
        <f>EXP(-LN(2)/2)*BR43+(1-EXP(-LN(2)/2))/(LN(2)/2)*BL44*BO44*VLOOKUP('Données projet'!$B$11,Paramètres!$A$1:$I$89,3,0)*0.475*44/12</f>
        <v>2.0709716150381108</v>
      </c>
      <c r="BS44" s="22">
        <f t="shared" si="9"/>
        <v>30.510329799145271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9.8128571428571423</v>
      </c>
      <c r="BY44" s="12">
        <f>IF('Données projet'!$A$114&gt;35,BY43+BX44-CG43,IF(A44&lt;'Données projet'!$A$114,$BV$205^A44,IF(A44='Données projet'!$A$114,'Données projet'!$B$114,BY43+BX44-CG43)))</f>
        <v>110.49857142857144</v>
      </c>
      <c r="BZ44" s="13">
        <f>BY44*VLOOKUP('Données projet'!$B$12,Paramètres!$A$1:$I$89,3,0)*VLOOKUP('Données projet'!$B$12,Paramètres!$A$1:$I$89,5,0)</f>
        <v>105.15044057142858</v>
      </c>
      <c r="CA44" s="13">
        <f t="shared" si="39"/>
        <v>28.185409559827399</v>
      </c>
      <c r="CB44" s="20">
        <f t="shared" si="10"/>
        <v>232.22660564527078</v>
      </c>
      <c r="CC44" s="59">
        <f t="shared" si="11"/>
        <v>480.82929523977475</v>
      </c>
      <c r="CD44" s="59">
        <f ca="1">AVERAGE(OFFSET($CC$3,0,0,'Données projet'!$E$12+1,1))-AVERAGE(OFFSET($H$3,0,0,'Données projet'!$E$12+1,1))</f>
        <v>486.36097333679697</v>
      </c>
      <c r="CE44" s="59">
        <f t="shared" si="40"/>
        <v>308.47736602748159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7.418294451143983</v>
      </c>
      <c r="CM44" s="21">
        <f>EXP(-LN(2)/2)*CM43+(1-EXP(-LN(2)/2))/(LN(2)/2)*CG44*CJ44*VLOOKUP('Données projet'!$B$12,Paramètres!$A$1:$I$89,3,0)*0.475*44/12</f>
        <v>5.6798224361361198</v>
      </c>
      <c r="CN44" s="22">
        <f t="shared" si="12"/>
        <v>13.098116887280103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794.17243212099868</v>
      </c>
      <c r="S45" s="59">
        <f ca="1">AVERAGE(OFFSET($R$3,0,0,'Données projet'!$E$9+1,1))-AVERAGE(OFFSET($H$3,0,0,'Données projet'!$E$9+1,1))</f>
        <v>407.05634973057056</v>
      </c>
      <c r="T45" s="59">
        <f t="shared" si="34"/>
        <v>375.32891954889965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13.956249999999997</v>
      </c>
      <c r="AH45" s="12">
        <f t="array" ref="AH45">INDEX(AG:AG,MIN(IF(ISNUMBER(AG45:AG241),ROW(AG45:AG241),"")))</f>
        <v>13.956249999999997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736.12125218775577</v>
      </c>
      <c r="AN45" s="59">
        <f ca="1">AVERAGE(OFFSET($AM$3,0,0,'Données projet'!$E$10+1,1))-AVERAGE(OFFSET($H$3,0,0,'Données projet'!$E$10+1,1))</f>
        <v>737.40414421611001</v>
      </c>
      <c r="AO45" s="59">
        <f t="shared" si="36"/>
        <v>245.32893490531674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58.099999999999994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29.982625570044064</v>
      </c>
      <c r="AW45" s="21">
        <f>EXP(-LN(2)/2)*AW44+(1-EXP(-LN(2)/2))/(LN(2)/2)*AQ45*AT45*VLOOKUP('Données projet'!$B$10,Paramètres!$A$1:$I$89,3,0)*0.475*44/12</f>
        <v>10.311453525477758</v>
      </c>
      <c r="AX45" s="21">
        <f t="shared" si="6"/>
        <v>40.294079095521823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13.987142857142857</v>
      </c>
      <c r="BD45" s="12">
        <f>IF('Données projet'!$A$88&gt;35,BD44+BC45-BL44,IF(A45&lt;'Données projet'!$A$88,$BA$205^A45,IF(A45='Données projet'!$A$88,'Données projet'!$B$88,BD44+BC45-BL44)))</f>
        <v>190.53571428571428</v>
      </c>
      <c r="BE45" s="13">
        <f>BD45*VLOOKUP('Données projet'!$B$11,Paramètres!$A$1:$I$89,3,0)*VLOOKUP('Données projet'!$B$11,Paramètres!$A$1:$I$89,5,0)</f>
        <v>160.50728571428573</v>
      </c>
      <c r="BF45" s="13">
        <f t="shared" si="37"/>
        <v>40.956914027108454</v>
      </c>
      <c r="BG45" s="20">
        <f t="shared" si="7"/>
        <v>350.88348121626149</v>
      </c>
      <c r="BH45" s="59">
        <f t="shared" si="8"/>
        <v>600.26214747689619</v>
      </c>
      <c r="BI45" s="59">
        <f ca="1">AVERAGE(OFFSET($BH$3,0,0,'Données projet'!$E$11+1,1))-AVERAGE(OFFSET($H$3,0,0,'Données projet'!$E$11+1,1))</f>
        <v>456.35333554128226</v>
      </c>
      <c r="BJ45" s="59">
        <f t="shared" si="38"/>
        <v>296.4517290984877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27.6616824390019</v>
      </c>
      <c r="BR45" s="21">
        <f>EXP(-LN(2)/2)*BR44+(1-EXP(-LN(2)/2))/(LN(2)/2)*BL45*BO45*VLOOKUP('Données projet'!$B$11,Paramètres!$A$1:$I$89,3,0)*0.475*44/12</f>
        <v>1.4643980726383043</v>
      </c>
      <c r="BS45" s="22">
        <f t="shared" si="9"/>
        <v>29.126080511640204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9.8128571428571423</v>
      </c>
      <c r="BY45" s="12">
        <f>IF('Données projet'!$A$114&gt;35,BY44+BX45-CG44,IF(A45&lt;'Données projet'!$A$114,$BV$205^A45,IF(A45='Données projet'!$A$114,'Données projet'!$B$114,BY44+BX45-CG44)))</f>
        <v>120.31142857142858</v>
      </c>
      <c r="BZ45" s="13">
        <f>BY45*VLOOKUP('Données projet'!$B$12,Paramètres!$A$1:$I$89,3,0)*VLOOKUP('Données projet'!$B$12,Paramètres!$A$1:$I$89,5,0)</f>
        <v>114.48835542857144</v>
      </c>
      <c r="CA45" s="13">
        <f t="shared" si="39"/>
        <v>30.386002172379861</v>
      </c>
      <c r="CB45" s="20">
        <f t="shared" si="10"/>
        <v>252.32283948832352</v>
      </c>
      <c r="CC45" s="59">
        <f t="shared" si="11"/>
        <v>501.70150574895825</v>
      </c>
      <c r="CD45" s="59">
        <f ca="1">AVERAGE(OFFSET($CC$3,0,0,'Données projet'!$E$12+1,1))-AVERAGE(OFFSET($H$3,0,0,'Données projet'!$E$12+1,1))</f>
        <v>486.36097333679697</v>
      </c>
      <c r="CE45" s="59">
        <f t="shared" si="40"/>
        <v>308.47736602748159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7.2154407992663003</v>
      </c>
      <c r="CM45" s="21">
        <f>EXP(-LN(2)/2)*CM44+(1-EXP(-LN(2)/2))/(LN(2)/2)*CG45*CJ45*VLOOKUP('Données projet'!$B$12,Paramètres!$A$1:$I$89,3,0)*0.475*44/12</f>
        <v>4.0162409605273472</v>
      </c>
      <c r="CN45" s="22">
        <f t="shared" si="12"/>
        <v>11.231681759793648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702.4886886659076</v>
      </c>
      <c r="S46" s="59">
        <f ca="1">AVERAGE(OFFSET($R$3,0,0,'Données projet'!$E$9+1,1))-AVERAGE(OFFSET($H$3,0,0,'Données projet'!$E$9+1,1))</f>
        <v>407.05634973057056</v>
      </c>
      <c r="T46" s="59">
        <f t="shared" si="34"/>
        <v>375.32891954889965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14.351250000000004</v>
      </c>
      <c r="AI46" s="13">
        <f>IF('Données projet'!$A$62&gt;35,AI45+AH46-AQ45,IF(A46&lt;'Données projet'!$A$62,$AF$205^A46,IF(A46='Données projet'!$A$62,'Données projet'!$B$62,AI45+AH46-AQ45)))</f>
        <v>204.26125000000005</v>
      </c>
      <c r="AJ46" s="13">
        <f>AI46*VLOOKUP('Données projet'!$B$10,Paramètres!$A$1:$I$89,3,0)*VLOOKUP('Données projet'!$B$10,Paramètres!$A$1:$I$89,5,0)</f>
        <v>184.81557900000004</v>
      </c>
      <c r="AK46" s="13">
        <f t="shared" si="35"/>
        <v>46.391911974203119</v>
      </c>
      <c r="AL46" s="20">
        <f t="shared" si="4"/>
        <v>402.6863801134038</v>
      </c>
      <c r="AM46" s="59">
        <f t="shared" si="5"/>
        <v>652.8275615798359</v>
      </c>
      <c r="AN46" s="59">
        <f ca="1">AVERAGE(OFFSET($AM$3,0,0,'Données projet'!$E$10+1,1))-AVERAGE(OFFSET($H$3,0,0,'Données projet'!$E$10+1,1))</f>
        <v>737.40414421611001</v>
      </c>
      <c r="AO46" s="59">
        <f t="shared" si="36"/>
        <v>245.32893490531674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29.162749097113455</v>
      </c>
      <c r="AW46" s="21">
        <f>EXP(-LN(2)/2)*AW45+(1-EXP(-LN(2)/2))/(LN(2)/2)*AQ46*AT46*VLOOKUP('Données projet'!$B$10,Paramètres!$A$1:$I$89,3,0)*0.475*44/12</f>
        <v>7.291298711755255</v>
      </c>
      <c r="AX46" s="21">
        <f t="shared" si="6"/>
        <v>36.454047808868708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13.987142857142857</v>
      </c>
      <c r="BD46" s="12">
        <f>IF('Données projet'!$A$88&gt;35,BD45+BC46-BL45,IF(A46&lt;'Données projet'!$A$88,$BA$205^A46,IF(A46='Données projet'!$A$88,'Données projet'!$B$88,BD45+BC46-BL45)))</f>
        <v>204.52285714285713</v>
      </c>
      <c r="BE46" s="13">
        <f>BD46*VLOOKUP('Données projet'!$B$11,Paramètres!$A$1:$I$89,3,0)*VLOOKUP('Données projet'!$B$11,Paramètres!$A$1:$I$89,5,0)</f>
        <v>172.29005485714288</v>
      </c>
      <c r="BF46" s="13">
        <f t="shared" si="37"/>
        <v>43.602519580548581</v>
      </c>
      <c r="BG46" s="20">
        <f t="shared" si="7"/>
        <v>376.01290047897925</v>
      </c>
      <c r="BH46" s="59">
        <f t="shared" si="8"/>
        <v>626.15408194541124</v>
      </c>
      <c r="BI46" s="59">
        <f ca="1">AVERAGE(OFFSET($BH$3,0,0,'Données projet'!$E$11+1,1))-AVERAGE(OFFSET($H$3,0,0,'Données projet'!$E$11+1,1))</f>
        <v>456.35333554128226</v>
      </c>
      <c r="BJ46" s="59">
        <f t="shared" si="38"/>
        <v>296.4517290984877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26.905272278042737</v>
      </c>
      <c r="BR46" s="21">
        <f>EXP(-LN(2)/2)*BR45+(1-EXP(-LN(2)/2))/(LN(2)/2)*BL46*BO46*VLOOKUP('Données projet'!$B$11,Paramètres!$A$1:$I$89,3,0)*0.475*44/12</f>
        <v>1.0354858075190554</v>
      </c>
      <c r="BS46" s="22">
        <f t="shared" si="9"/>
        <v>27.940758085561793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9.8128571428571423</v>
      </c>
      <c r="BY46" s="12">
        <f>IF('Données projet'!$A$114&gt;35,BY45+BX46-CG45,IF(A46&lt;'Données projet'!$A$114,$BV$205^A46,IF(A46='Données projet'!$A$114,'Données projet'!$B$114,BY45+BX46-CG45)))</f>
        <v>130.12428571428572</v>
      </c>
      <c r="BZ46" s="13">
        <f>BY46*VLOOKUP('Données projet'!$B$12,Paramètres!$A$1:$I$89,3,0)*VLOOKUP('Données projet'!$B$12,Paramètres!$A$1:$I$89,5,0)</f>
        <v>123.82627028571429</v>
      </c>
      <c r="CA46" s="13">
        <f t="shared" si="39"/>
        <v>32.565777238714922</v>
      </c>
      <c r="CB46" s="20">
        <f t="shared" si="10"/>
        <v>272.38281610504754</v>
      </c>
      <c r="CC46" s="59">
        <f t="shared" si="11"/>
        <v>522.52399757147964</v>
      </c>
      <c r="CD46" s="59">
        <f ca="1">AVERAGE(OFFSET($CC$3,0,0,'Données projet'!$E$12+1,1))-AVERAGE(OFFSET($H$3,0,0,'Données projet'!$E$12+1,1))</f>
        <v>486.36097333679697</v>
      </c>
      <c r="CE46" s="59">
        <f t="shared" si="40"/>
        <v>308.47736602748159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7.0181341911668227</v>
      </c>
      <c r="CM46" s="21">
        <f>EXP(-LN(2)/2)*CM45+(1-EXP(-LN(2)/2))/(LN(2)/2)*CG46*CJ46*VLOOKUP('Données projet'!$B$12,Paramètres!$A$1:$I$89,3,0)*0.475*44/12</f>
        <v>2.8399112180680608</v>
      </c>
      <c r="CN46" s="22">
        <f t="shared" si="12"/>
        <v>9.858045409234883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729.29100481329829</v>
      </c>
      <c r="S47" s="59">
        <f ca="1">AVERAGE(OFFSET($R$3,0,0,'Données projet'!$E$9+1,1))-AVERAGE(OFFSET($H$3,0,0,'Données projet'!$E$9+1,1))</f>
        <v>407.05634973057056</v>
      </c>
      <c r="T47" s="59">
        <f t="shared" si="34"/>
        <v>375.32891954889965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14.351250000000004</v>
      </c>
      <c r="AI47" s="13">
        <f>IF('Données projet'!$A$62&gt;35,AI46+AH47-AQ46,IF(A47&lt;'Données projet'!$A$62,$AF$205^A47,IF(A47='Données projet'!$A$62,'Données projet'!$B$62,AI46+AH47-AQ46)))</f>
        <v>218.61250000000004</v>
      </c>
      <c r="AJ47" s="13">
        <f>AI47*VLOOKUP('Données projet'!$B$10,Paramètres!$A$1:$I$89,3,0)*VLOOKUP('Données projet'!$B$10,Paramètres!$A$1:$I$89,5,0)</f>
        <v>197.80059000000003</v>
      </c>
      <c r="AK47" s="13">
        <f t="shared" si="35"/>
        <v>49.260493336959819</v>
      </c>
      <c r="AL47" s="20">
        <f t="shared" si="4"/>
        <v>430.29805347853835</v>
      </c>
      <c r="AM47" s="59">
        <f t="shared" si="5"/>
        <v>681.18852221667578</v>
      </c>
      <c r="AN47" s="59">
        <f ca="1">AVERAGE(OFFSET($AM$3,0,0,'Données projet'!$E$10+1,1))-AVERAGE(OFFSET($H$3,0,0,'Données projet'!$E$10+1,1))</f>
        <v>737.40414421611001</v>
      </c>
      <c r="AO47" s="59">
        <f t="shared" si="36"/>
        <v>245.32893490531674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28.365292189450564</v>
      </c>
      <c r="AW47" s="21">
        <f>EXP(-LN(2)/2)*AW46+(1-EXP(-LN(2)/2))/(LN(2)/2)*AQ47*AT47*VLOOKUP('Données projet'!$B$10,Paramètres!$A$1:$I$89,3,0)*0.475*44/12</f>
        <v>5.1557267627388796</v>
      </c>
      <c r="AX47" s="21">
        <f t="shared" si="6"/>
        <v>33.521018952189443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218.51</v>
      </c>
      <c r="BB47" s="12">
        <f>VLOOKUP(A47,'Données projet'!$A$87:$I$107,9,0)</f>
        <v>13.987142857142857</v>
      </c>
      <c r="BC47" s="12">
        <f t="array" ref="BC47">INDEX(BB:BB,MIN(IF(ISNUMBER(BB47:BB243),ROW(BB47:BB243),"")))</f>
        <v>13.987142857142857</v>
      </c>
      <c r="BD47" s="12">
        <f>IF('Données projet'!$A$88&gt;35,BD46+BC47-BL46,IF(A47&lt;'Données projet'!$A$88,$BA$205^A47,IF(A47='Données projet'!$A$88,'Données projet'!$B$88,BD46+BC47-BL46)))</f>
        <v>218.51</v>
      </c>
      <c r="BE47" s="13">
        <f>BD47*VLOOKUP('Données projet'!$B$11,Paramètres!$A$1:$I$89,3,0)*VLOOKUP('Données projet'!$B$11,Paramètres!$A$1:$I$89,5,0)</f>
        <v>184.07282400000003</v>
      </c>
      <c r="BF47" s="13">
        <f t="shared" si="37"/>
        <v>46.227131136084815</v>
      </c>
      <c r="BG47" s="20">
        <f t="shared" si="7"/>
        <v>401.10575519534768</v>
      </c>
      <c r="BH47" s="59">
        <f t="shared" si="8"/>
        <v>651.99622393348511</v>
      </c>
      <c r="BI47" s="59">
        <f ca="1">AVERAGE(OFFSET($BH$3,0,0,'Données projet'!$E$11+1,1))-AVERAGE(OFFSET($H$3,0,0,'Données projet'!$E$11+1,1))</f>
        <v>456.35333554128226</v>
      </c>
      <c r="BJ47" s="59">
        <f t="shared" si="38"/>
        <v>296.4517290984877</v>
      </c>
      <c r="BK47" s="15">
        <f>IF(ISNA(VLOOKUP(A47,'Données projet'!$A$87:$I$107,3,0)),0,VLOOKUP(A47,'Données projet'!$A$87:$I$107,3,0))</f>
        <v>3</v>
      </c>
      <c r="BL47" s="15">
        <f>IF(ISNA(VLOOKUP(A47,'Données projet'!$A$87:$I$107,4,0)),0,VLOOKUP(A47,'Données projet'!$A$87:$I$107,4,0))</f>
        <v>56.45999999999998</v>
      </c>
      <c r="BM47" s="16">
        <f>IF(ISNA(VLOOKUP(A47,'Données projet'!$A$87:$I$107,5,0)),0%,VLOOKUP(A47,'Données projet'!$A$87:$I$107,5,0)*VLOOKUP('Données projet'!$B$11,Paramètres!$A$1:$I$89,7,0))</f>
        <v>0.15049999999999999</v>
      </c>
      <c r="BN47" s="16">
        <f>IF(ISNA(VLOOKUP(A47,'Données projet'!$A$87:$I$107,6,0)),0%,VLOOKUP(A47,'Données projet'!$A$87:$I$107,6,0)*VLOOKUP('Données projet'!$B$11,Paramètres!$A$1:$I$89,7,0))</f>
        <v>8.6000000000000007E-2</v>
      </c>
      <c r="BO47" s="16">
        <f>IF(ISNA(VLOOKUP(A47,'Données projet'!$A$87:$I$107,7,0)),0%,VLOOKUP(A47,'Données projet'!$A$87:$I$107,7,0))</f>
        <v>0.1</v>
      </c>
      <c r="BP47" s="21">
        <f>EXP(-LN(2)/35)*BP46+(1-EXP(-LN(2)/35))/(LN(2)/35)*BL47*BM47*VLOOKUP('Données projet'!$B$11,Paramètres!$A$1:$I$89,3,0)*0.475*44/12</f>
        <v>7.9130305479615517</v>
      </c>
      <c r="BQ47" s="21">
        <f>EXP(-LN(2)/25)*BQ46+(1-EXP(-LN(2)/25))/(LN(2)/25)*Calculateur!BL47*Calculateur!BN47*VLOOKUP('Données projet'!$B$11,Paramètres!$A$1:$I$89,3,0)*0.475*44/12</f>
        <v>30.673474153623289</v>
      </c>
      <c r="BR47" s="21">
        <f>EXP(-LN(2)/2)*BR46+(1-EXP(-LN(2)/2))/(LN(2)/2)*BL47*BO47*VLOOKUP('Données projet'!$B$11,Paramètres!$A$1:$I$89,3,0)*0.475*44/12</f>
        <v>5.2197926897069191</v>
      </c>
      <c r="BS47" s="22">
        <f t="shared" si="9"/>
        <v>43.806297391291764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9.8128571428571423</v>
      </c>
      <c r="BY47" s="12">
        <f>IF('Données projet'!$A$114&gt;35,BY46+BX47-CG46,IF(A47&lt;'Données projet'!$A$114,$BV$205^A47,IF(A47='Données projet'!$A$114,'Données projet'!$B$114,BY46+BX47-CG46)))</f>
        <v>139.93714285714287</v>
      </c>
      <c r="BZ47" s="13">
        <f>BY47*VLOOKUP('Données projet'!$B$12,Paramètres!$A$1:$I$89,3,0)*VLOOKUP('Données projet'!$B$12,Paramètres!$A$1:$I$89,5,0)</f>
        <v>133.16418514285718</v>
      </c>
      <c r="CA47" s="13">
        <f t="shared" si="39"/>
        <v>34.726483144583192</v>
      </c>
      <c r="CB47" s="20">
        <f t="shared" si="10"/>
        <v>292.4095806006253</v>
      </c>
      <c r="CC47" s="59">
        <f t="shared" si="11"/>
        <v>543.30004933876273</v>
      </c>
      <c r="CD47" s="59">
        <f ca="1">AVERAGE(OFFSET($CC$3,0,0,'Données projet'!$E$12+1,1))-AVERAGE(OFFSET($H$3,0,0,'Données projet'!$E$12+1,1))</f>
        <v>486.36097333679697</v>
      </c>
      <c r="CE47" s="59">
        <f t="shared" si="40"/>
        <v>308.47736602748159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6.8262229426417287</v>
      </c>
      <c r="CM47" s="21">
        <f>EXP(-LN(2)/2)*CM46+(1-EXP(-LN(2)/2))/(LN(2)/2)*CG47*CJ47*VLOOKUP('Données projet'!$B$12,Paramètres!$A$1:$I$89,3,0)*0.475*44/12</f>
        <v>2.0081204802636741</v>
      </c>
      <c r="CN47" s="22">
        <f t="shared" si="12"/>
        <v>8.8343434229054019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756.05016655696068</v>
      </c>
      <c r="S48" s="59">
        <f ca="1">AVERAGE(OFFSET($R$3,0,0,'Données projet'!$E$9+1,1))-AVERAGE(OFFSET($H$3,0,0,'Données projet'!$E$9+1,1))</f>
        <v>407.05634973057056</v>
      </c>
      <c r="T48" s="59">
        <f t="shared" si="34"/>
        <v>375.32891954889965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14.351250000000004</v>
      </c>
      <c r="AI48" s="13">
        <f>IF('Données projet'!$A$62&gt;35,AI47+AH48-AQ47,IF(A48&lt;'Données projet'!$A$62,$AF$205^A48,IF(A48='Données projet'!$A$62,'Données projet'!$B$62,AI47+AH48-AQ47)))</f>
        <v>232.96375000000003</v>
      </c>
      <c r="AJ48" s="13">
        <f>AI48*VLOOKUP('Données projet'!$B$10,Paramètres!$A$1:$I$89,3,0)*VLOOKUP('Données projet'!$B$10,Paramètres!$A$1:$I$89,5,0)</f>
        <v>210.78560100000001</v>
      </c>
      <c r="AK48" s="13">
        <f t="shared" si="35"/>
        <v>52.107221956756902</v>
      </c>
      <c r="AL48" s="20">
        <f t="shared" si="4"/>
        <v>457.87166664968487</v>
      </c>
      <c r="AM48" s="59">
        <f t="shared" si="5"/>
        <v>709.49842420051903</v>
      </c>
      <c r="AN48" s="59">
        <f ca="1">AVERAGE(OFFSET($AM$3,0,0,'Données projet'!$E$10+1,1))-AVERAGE(OFFSET($H$3,0,0,'Données projet'!$E$10+1,1))</f>
        <v>737.40414421611001</v>
      </c>
      <c r="AO48" s="59">
        <f t="shared" si="36"/>
        <v>245.32893490531674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27.589641782864152</v>
      </c>
      <c r="AW48" s="21">
        <f>EXP(-LN(2)/2)*AW47+(1-EXP(-LN(2)/2))/(LN(2)/2)*AQ48*AT48*VLOOKUP('Données projet'!$B$10,Paramètres!$A$1:$I$89,3,0)*0.475*44/12</f>
        <v>3.6456493558776284</v>
      </c>
      <c r="AX48" s="21">
        <f t="shared" si="6"/>
        <v>31.235291138741779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14.224285714285713</v>
      </c>
      <c r="BD48" s="12">
        <f>IF('Données projet'!$A$88&gt;35,BD47+BC48-BL47,IF(A48&lt;'Données projet'!$A$88,$BA$205^A48,IF(A48='Données projet'!$A$88,'Données projet'!$B$88,BD47+BC48-BL47)))</f>
        <v>176.27428571428572</v>
      </c>
      <c r="BE48" s="13">
        <f>BD48*VLOOKUP('Données projet'!$B$11,Paramètres!$A$1:$I$89,3,0)*VLOOKUP('Données projet'!$B$11,Paramètres!$A$1:$I$89,5,0)</f>
        <v>148.4934582857143</v>
      </c>
      <c r="BF48" s="13">
        <f t="shared" si="37"/>
        <v>38.236017731685749</v>
      </c>
      <c r="BG48" s="20">
        <f t="shared" si="7"/>
        <v>325.22050406363837</v>
      </c>
      <c r="BH48" s="59">
        <f t="shared" si="8"/>
        <v>576.84726161447247</v>
      </c>
      <c r="BI48" s="59">
        <f ca="1">AVERAGE(OFFSET($BH$3,0,0,'Données projet'!$E$11+1,1))-AVERAGE(OFFSET($H$3,0,0,'Données projet'!$E$11+1,1))</f>
        <v>456.35333554128226</v>
      </c>
      <c r="BJ48" s="59">
        <f t="shared" si="38"/>
        <v>296.4517290984877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7.7578608453880857</v>
      </c>
      <c r="BQ48" s="21">
        <f>EXP(-LN(2)/25)*BQ47+(1-EXP(-LN(2)/25))/(LN(2)/25)*Calculateur!BL48*Calculateur!BN48*VLOOKUP('Données projet'!$B$11,Paramètres!$A$1:$I$89,3,0)*0.475*44/12</f>
        <v>29.834706389844559</v>
      </c>
      <c r="BR48" s="21">
        <f>EXP(-LN(2)/2)*BR47+(1-EXP(-LN(2)/2))/(LN(2)/2)*BL48*BO48*VLOOKUP('Données projet'!$B$11,Paramètres!$A$1:$I$89,3,0)*0.475*44/12</f>
        <v>3.690950807279731</v>
      </c>
      <c r="BS48" s="22">
        <f t="shared" si="9"/>
        <v>41.283518042512377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149.75</v>
      </c>
      <c r="BW48" s="12">
        <f>VLOOKUP(A48,'Données projet'!$A$113:$I$133,9,0)</f>
        <v>9.8128571428571423</v>
      </c>
      <c r="BX48" s="12">
        <f t="array" ref="BX48">INDEX(BW:BW,MIN(IF(ISNUMBER(BW48:BW244),ROW(BW48:BW244),"")))</f>
        <v>9.8128571428571423</v>
      </c>
      <c r="BY48" s="12">
        <f>IF('Données projet'!$A$114&gt;35,BY47+BX48-CG47,IF(A48&lt;'Données projet'!$A$114,$BV$205^A48,IF(A48='Données projet'!$A$114,'Données projet'!$B$114,BY47+BX48-CG47)))</f>
        <v>149.75000000000003</v>
      </c>
      <c r="BZ48" s="13">
        <f>BY48*VLOOKUP('Données projet'!$B$12,Paramètres!$A$1:$I$89,3,0)*VLOOKUP('Données projet'!$B$12,Paramètres!$A$1:$I$89,5,0)</f>
        <v>142.50210000000001</v>
      </c>
      <c r="CA48" s="13">
        <f t="shared" si="39"/>
        <v>36.869609182810613</v>
      </c>
      <c r="CB48" s="20">
        <f t="shared" si="10"/>
        <v>312.40572682672854</v>
      </c>
      <c r="CC48" s="59">
        <f t="shared" si="11"/>
        <v>564.0324843775627</v>
      </c>
      <c r="CD48" s="59">
        <f ca="1">AVERAGE(OFFSET($CC$3,0,0,'Données projet'!$E$12+1,1))-AVERAGE(OFFSET($H$3,0,0,'Données projet'!$E$12+1,1))</f>
        <v>486.36097333679697</v>
      </c>
      <c r="CE48" s="59">
        <f t="shared" si="40"/>
        <v>308.47736602748159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41.69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11.335564456109097</v>
      </c>
      <c r="CM48" s="21">
        <f>EXP(-LN(2)/2)*CM47+(1-EXP(-LN(2)/2))/(LN(2)/2)*CG48*CJ48*VLOOKUP('Données projet'!$B$12,Paramètres!$A$1:$I$89,3,0)*0.475*44/12</f>
        <v>10.777903667962914</v>
      </c>
      <c r="CN48" s="22">
        <f t="shared" si="12"/>
        <v>22.113468124072011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782.76817208743887</v>
      </c>
      <c r="S49" s="59">
        <f ca="1">AVERAGE(OFFSET($R$3,0,0,'Données projet'!$E$9+1,1))-AVERAGE(OFFSET($H$3,0,0,'Données projet'!$E$9+1,1))</f>
        <v>407.05634973057056</v>
      </c>
      <c r="T49" s="59">
        <f t="shared" si="34"/>
        <v>375.32891954889965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14.351250000000004</v>
      </c>
      <c r="AI49" s="13">
        <f>IF('Données projet'!$A$62&gt;35,AI48+AH49-AQ48,IF(A49&lt;'Données projet'!$A$62,$AF$205^A49,IF(A49='Données projet'!$A$62,'Données projet'!$B$62,AI48+AH49-AQ48)))</f>
        <v>247.31500000000003</v>
      </c>
      <c r="AJ49" s="13">
        <f>AI49*VLOOKUP('Données projet'!$B$10,Paramètres!$A$1:$I$89,3,0)*VLOOKUP('Données projet'!$B$10,Paramètres!$A$1:$I$89,5,0)</f>
        <v>223.770612</v>
      </c>
      <c r="AK49" s="13">
        <f t="shared" si="35"/>
        <v>54.933597302380846</v>
      </c>
      <c r="AL49" s="20">
        <f t="shared" si="4"/>
        <v>485.40983120164657</v>
      </c>
      <c r="AM49" s="59">
        <f t="shared" si="5"/>
        <v>737.76010460037219</v>
      </c>
      <c r="AN49" s="59">
        <f ca="1">AVERAGE(OFFSET($AM$3,0,0,'Données projet'!$E$10+1,1))-AVERAGE(OFFSET($H$3,0,0,'Données projet'!$E$10+1,1))</f>
        <v>737.40414421611001</v>
      </c>
      <c r="AO49" s="59">
        <f t="shared" si="36"/>
        <v>245.32893490531674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26.835201577435527</v>
      </c>
      <c r="AW49" s="21">
        <f>EXP(-LN(2)/2)*AW48+(1-EXP(-LN(2)/2))/(LN(2)/2)*AQ49*AT49*VLOOKUP('Données projet'!$B$10,Paramètres!$A$1:$I$89,3,0)*0.475*44/12</f>
        <v>2.5778633813694403</v>
      </c>
      <c r="AX49" s="21">
        <f t="shared" si="6"/>
        <v>29.413064958804966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14.224285714285713</v>
      </c>
      <c r="BD49" s="12">
        <f>IF('Données projet'!$A$88&gt;35,BD48+BC49-BL48,IF(A49&lt;'Données projet'!$A$88,$BA$205^A49,IF(A49='Données projet'!$A$88,'Données projet'!$B$88,BD48+BC49-BL48)))</f>
        <v>190.49857142857144</v>
      </c>
      <c r="BE49" s="13">
        <f>BD49*VLOOKUP('Données projet'!$B$11,Paramètres!$A$1:$I$89,3,0)*VLOOKUP('Données projet'!$B$11,Paramètres!$A$1:$I$89,5,0)</f>
        <v>160.4759965714286</v>
      </c>
      <c r="BF49" s="13">
        <f t="shared" si="37"/>
        <v>40.949859193473067</v>
      </c>
      <c r="BG49" s="20">
        <f t="shared" si="7"/>
        <v>350.81669879053698</v>
      </c>
      <c r="BH49" s="59">
        <f t="shared" si="8"/>
        <v>603.16697218926265</v>
      </c>
      <c r="BI49" s="59">
        <f ca="1">AVERAGE(OFFSET($BH$3,0,0,'Données projet'!$E$11+1,1))-AVERAGE(OFFSET($H$3,0,0,'Données projet'!$E$11+1,1))</f>
        <v>456.35333554128226</v>
      </c>
      <c r="BJ49" s="59">
        <f t="shared" si="38"/>
        <v>296.4517290984877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7.605733926037912</v>
      </c>
      <c r="BQ49" s="21">
        <f>EXP(-LN(2)/25)*BQ48+(1-EXP(-LN(2)/25))/(LN(2)/25)*Calculateur!BL49*Calculateur!BN49*VLOOKUP('Données projet'!$B$11,Paramètres!$A$1:$I$89,3,0)*0.475*44/12</f>
        <v>29.01887477467524</v>
      </c>
      <c r="BR49" s="21">
        <f>EXP(-LN(2)/2)*BR48+(1-EXP(-LN(2)/2))/(LN(2)/2)*BL49*BO49*VLOOKUP('Données projet'!$B$11,Paramètres!$A$1:$I$89,3,0)*0.475*44/12</f>
        <v>2.60989634485346</v>
      </c>
      <c r="BS49" s="22">
        <f t="shared" si="9"/>
        <v>39.234505045566614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10.001428571428571</v>
      </c>
      <c r="BY49" s="12">
        <f>IF('Données projet'!$A$114&gt;35,BY48+BX49-CG48,IF(A49&lt;'Données projet'!$A$114,$BV$205^A49,IF(A49='Données projet'!$A$114,'Données projet'!$B$114,BY48+BX49-CG48)))</f>
        <v>118.06142857142859</v>
      </c>
      <c r="BZ49" s="13">
        <f>BY49*VLOOKUP('Données projet'!$B$12,Paramètres!$A$1:$I$89,3,0)*VLOOKUP('Données projet'!$B$12,Paramètres!$A$1:$I$89,5,0)</f>
        <v>112.34725542857144</v>
      </c>
      <c r="CA49" s="13">
        <f t="shared" si="39"/>
        <v>29.883334836157822</v>
      </c>
      <c r="CB49" s="20">
        <f t="shared" si="10"/>
        <v>247.71827804440349</v>
      </c>
      <c r="CC49" s="59">
        <f t="shared" si="11"/>
        <v>500.06855144312914</v>
      </c>
      <c r="CD49" s="59">
        <f ca="1">AVERAGE(OFFSET($CC$3,0,0,'Données projet'!$E$12+1,1))-AVERAGE(OFFSET($H$3,0,0,'Données projet'!$E$12+1,1))</f>
        <v>486.36097333679697</v>
      </c>
      <c r="CE49" s="59">
        <f t="shared" si="40"/>
        <v>308.47736602748159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11.025592849945367</v>
      </c>
      <c r="CM49" s="21">
        <f>EXP(-LN(2)/2)*CM48+(1-EXP(-LN(2)/2))/(LN(2)/2)*CG49*CJ49*VLOOKUP('Données projet'!$B$12,Paramètres!$A$1:$I$89,3,0)*0.475*44/12</f>
        <v>7.6211287705919402</v>
      </c>
      <c r="CN49" s="22">
        <f t="shared" si="12"/>
        <v>18.646721620537306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809.44682794288997</v>
      </c>
      <c r="S50" s="59">
        <f ca="1">AVERAGE(OFFSET($R$3,0,0,'Données projet'!$E$9+1,1))-AVERAGE(OFFSET($H$3,0,0,'Données projet'!$E$9+1,1))</f>
        <v>407.05634973057056</v>
      </c>
      <c r="T50" s="59">
        <f t="shared" si="34"/>
        <v>375.32891954889965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14.351250000000004</v>
      </c>
      <c r="AI50" s="13">
        <f>IF('Données projet'!$A$62&gt;35,AI49+AH50-AQ49,IF(A50&lt;'Données projet'!$A$62,$AF$205^A50,IF(A50='Données projet'!$A$62,'Données projet'!$B$62,AI49+AH50-AQ49)))</f>
        <v>261.66625000000005</v>
      </c>
      <c r="AJ50" s="13">
        <f>AI50*VLOOKUP('Données projet'!$B$10,Paramètres!$A$1:$I$89,3,0)*VLOOKUP('Données projet'!$B$10,Paramètres!$A$1:$I$89,5,0)</f>
        <v>236.75562300000004</v>
      </c>
      <c r="AK50" s="13">
        <f t="shared" si="35"/>
        <v>57.740934989627185</v>
      </c>
      <c r="AL50" s="20">
        <f t="shared" si="4"/>
        <v>512.91483849860072</v>
      </c>
      <c r="AM50" s="59">
        <f t="shared" si="5"/>
        <v>765.97607636279611</v>
      </c>
      <c r="AN50" s="59">
        <f ca="1">AVERAGE(OFFSET($AM$3,0,0,'Données projet'!$E$10+1,1))-AVERAGE(OFFSET($H$3,0,0,'Données projet'!$E$10+1,1))</f>
        <v>737.40414421611001</v>
      </c>
      <c r="AO50" s="59">
        <f t="shared" si="36"/>
        <v>245.32893490531674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26.101391579098635</v>
      </c>
      <c r="AW50" s="21">
        <f>EXP(-LN(2)/2)*AW49+(1-EXP(-LN(2)/2))/(LN(2)/2)*AQ50*AT50*VLOOKUP('Données projet'!$B$10,Paramètres!$A$1:$I$89,3,0)*0.475*44/12</f>
        <v>1.8228246779388144</v>
      </c>
      <c r="AX50" s="21">
        <f t="shared" si="6"/>
        <v>27.92421625703745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14.224285714285713</v>
      </c>
      <c r="BD50" s="12">
        <f>IF('Données projet'!$A$88&gt;35,BD49+BC50-BL49,IF(A50&lt;'Données projet'!$A$88,$BA$205^A50,IF(A50='Données projet'!$A$88,'Données projet'!$B$88,BD49+BC50-BL49)))</f>
        <v>204.72285714285715</v>
      </c>
      <c r="BE50" s="13">
        <f>BD50*VLOOKUP('Données projet'!$B$11,Paramètres!$A$1:$I$89,3,0)*VLOOKUP('Données projet'!$B$11,Paramètres!$A$1:$I$89,5,0)</f>
        <v>172.45853485714287</v>
      </c>
      <c r="BF50" s="13">
        <f t="shared" si="37"/>
        <v>43.640192625939278</v>
      </c>
      <c r="BG50" s="20">
        <f t="shared" si="7"/>
        <v>376.37195036636803</v>
      </c>
      <c r="BH50" s="59">
        <f t="shared" si="8"/>
        <v>629.43318823056347</v>
      </c>
      <c r="BI50" s="59">
        <f ca="1">AVERAGE(OFFSET($BH$3,0,0,'Données projet'!$E$11+1,1))-AVERAGE(OFFSET($H$3,0,0,'Données projet'!$E$11+1,1))</f>
        <v>456.35333554128226</v>
      </c>
      <c r="BJ50" s="59">
        <f t="shared" si="38"/>
        <v>296.4517290984877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7.4565901227879365</v>
      </c>
      <c r="BQ50" s="21">
        <f>EXP(-LN(2)/25)*BQ49+(1-EXP(-LN(2)/25))/(LN(2)/25)*Calculateur!BL50*Calculateur!BN50*VLOOKUP('Données projet'!$B$11,Paramètres!$A$1:$I$89,3,0)*0.475*44/12</f>
        <v>28.225352117925443</v>
      </c>
      <c r="BR50" s="21">
        <f>EXP(-LN(2)/2)*BR49+(1-EXP(-LN(2)/2))/(LN(2)/2)*BL50*BO50*VLOOKUP('Données projet'!$B$11,Paramètres!$A$1:$I$89,3,0)*0.475*44/12</f>
        <v>1.845475403639866</v>
      </c>
      <c r="BS50" s="22">
        <f t="shared" si="9"/>
        <v>37.52741764435325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10.001428571428571</v>
      </c>
      <c r="BY50" s="12">
        <f>IF('Données projet'!$A$114&gt;35,BY49+BX50-CG49,IF(A50&lt;'Données projet'!$A$114,$BV$205^A50,IF(A50='Données projet'!$A$114,'Données projet'!$B$114,BY49+BX50-CG49)))</f>
        <v>128.06285714285715</v>
      </c>
      <c r="BZ50" s="13">
        <f>BY50*VLOOKUP('Données projet'!$B$12,Paramètres!$A$1:$I$89,3,0)*VLOOKUP('Données projet'!$B$12,Paramètres!$A$1:$I$89,5,0)</f>
        <v>121.86461485714287</v>
      </c>
      <c r="CA50" s="13">
        <f t="shared" si="39"/>
        <v>32.109499056362758</v>
      </c>
      <c r="CB50" s="20">
        <f t="shared" si="10"/>
        <v>268.17158173268894</v>
      </c>
      <c r="CC50" s="59">
        <f t="shared" si="11"/>
        <v>521.23281959688438</v>
      </c>
      <c r="CD50" s="59">
        <f ca="1">AVERAGE(OFFSET($CC$3,0,0,'Données projet'!$E$12+1,1))-AVERAGE(OFFSET($H$3,0,0,'Données projet'!$E$12+1,1))</f>
        <v>486.36097333679697</v>
      </c>
      <c r="CE50" s="59">
        <f t="shared" si="40"/>
        <v>308.47736602748159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10.724097433652883</v>
      </c>
      <c r="CM50" s="21">
        <f>EXP(-LN(2)/2)*CM49+(1-EXP(-LN(2)/2))/(LN(2)/2)*CG50*CJ50*VLOOKUP('Données projet'!$B$12,Paramètres!$A$1:$I$89,3,0)*0.475*44/12</f>
        <v>5.3889518339814577</v>
      </c>
      <c r="CN50" s="22">
        <f t="shared" si="12"/>
        <v>16.113049267634342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836.08777696934078</v>
      </c>
      <c r="S51" s="59">
        <f ca="1">AVERAGE(OFFSET($R$3,0,0,'Données projet'!$E$9+1,1))-AVERAGE(OFFSET($H$3,0,0,'Données projet'!$E$9+1,1))</f>
        <v>407.05634973057056</v>
      </c>
      <c r="T51" s="59">
        <f t="shared" si="34"/>
        <v>375.32891954889965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14.351250000000004</v>
      </c>
      <c r="AI51" s="13">
        <f>IF('Données projet'!$A$62&gt;35,AI50+AH51-AQ50,IF(A51&lt;'Données projet'!$A$62,$AF$205^A51,IF(A51='Données projet'!$A$62,'Données projet'!$B$62,AI50+AH51-AQ50)))</f>
        <v>276.01750000000004</v>
      </c>
      <c r="AJ51" s="13">
        <f>AI51*VLOOKUP('Données projet'!$B$10,Paramètres!$A$1:$I$89,3,0)*VLOOKUP('Données projet'!$B$10,Paramètres!$A$1:$I$89,5,0)</f>
        <v>249.74063400000006</v>
      </c>
      <c r="AK51" s="13">
        <f t="shared" si="35"/>
        <v>60.530398172289644</v>
      </c>
      <c r="AL51" s="20">
        <f t="shared" si="4"/>
        <v>540.38871436673799</v>
      </c>
      <c r="AM51" s="59">
        <f t="shared" si="5"/>
        <v>794.14858305240568</v>
      </c>
      <c r="AN51" s="59">
        <f ca="1">AVERAGE(OFFSET($AM$3,0,0,'Données projet'!$E$10+1,1))-AVERAGE(OFFSET($H$3,0,0,'Données projet'!$E$10+1,1))</f>
        <v>737.40414421611001</v>
      </c>
      <c r="AO51" s="59">
        <f t="shared" si="36"/>
        <v>245.32893490531674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25.387647653755657</v>
      </c>
      <c r="AW51" s="21">
        <f>EXP(-LN(2)/2)*AW50+(1-EXP(-LN(2)/2))/(LN(2)/2)*AQ51*AT51*VLOOKUP('Données projet'!$B$10,Paramètres!$A$1:$I$89,3,0)*0.475*44/12</f>
        <v>1.2889316906847204</v>
      </c>
      <c r="AX51" s="21">
        <f t="shared" si="6"/>
        <v>26.676579344440377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14.224285714285713</v>
      </c>
      <c r="BD51" s="12">
        <f>IF('Données projet'!$A$88&gt;35,BD50+BC51-BL50,IF(A51&lt;'Données projet'!$A$88,$BA$205^A51,IF(A51='Données projet'!$A$88,'Données projet'!$B$88,BD50+BC51-BL50)))</f>
        <v>218.94714285714286</v>
      </c>
      <c r="BE51" s="13">
        <f>BD51*VLOOKUP('Données projet'!$B$11,Paramètres!$A$1:$I$89,3,0)*VLOOKUP('Données projet'!$B$11,Paramètres!$A$1:$I$89,5,0)</f>
        <v>184.44107314285716</v>
      </c>
      <c r="BF51" s="13">
        <f t="shared" si="37"/>
        <v>46.308837180748704</v>
      </c>
      <c r="BG51" s="20">
        <f t="shared" si="7"/>
        <v>401.88942714694684</v>
      </c>
      <c r="BH51" s="59">
        <f t="shared" si="8"/>
        <v>655.6492958326146</v>
      </c>
      <c r="BI51" s="59">
        <f ca="1">AVERAGE(OFFSET($BH$3,0,0,'Données projet'!$E$11+1,1))-AVERAGE(OFFSET($H$3,0,0,'Données projet'!$E$11+1,1))</f>
        <v>456.35333554128226</v>
      </c>
      <c r="BJ51" s="59">
        <f t="shared" si="38"/>
        <v>296.4517290984877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7.310370938550955</v>
      </c>
      <c r="BQ51" s="21">
        <f>EXP(-LN(2)/25)*BQ50+(1-EXP(-LN(2)/25))/(LN(2)/25)*Calculateur!BL51*Calculateur!BN51*VLOOKUP('Données projet'!$B$11,Paramètres!$A$1:$I$89,3,0)*0.475*44/12</f>
        <v>27.453528379954015</v>
      </c>
      <c r="BR51" s="21">
        <f>EXP(-LN(2)/2)*BR50+(1-EXP(-LN(2)/2))/(LN(2)/2)*BL51*BO51*VLOOKUP('Données projet'!$B$11,Paramètres!$A$1:$I$89,3,0)*0.475*44/12</f>
        <v>1.3049481724267302</v>
      </c>
      <c r="BS51" s="22">
        <f t="shared" si="9"/>
        <v>36.068847490931702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10.001428571428571</v>
      </c>
      <c r="BY51" s="12">
        <f>IF('Données projet'!$A$114&gt;35,BY50+BX51-CG50,IF(A51&lt;'Données projet'!$A$114,$BV$205^A51,IF(A51='Données projet'!$A$114,'Données projet'!$B$114,BY50+BX51-CG50)))</f>
        <v>138.06428571428572</v>
      </c>
      <c r="BZ51" s="13">
        <f>BY51*VLOOKUP('Données projet'!$B$12,Paramètres!$A$1:$I$89,3,0)*VLOOKUP('Données projet'!$B$12,Paramètres!$A$1:$I$89,5,0)</f>
        <v>131.38197428571428</v>
      </c>
      <c r="CA51" s="13">
        <f t="shared" si="39"/>
        <v>34.315496219726761</v>
      </c>
      <c r="CB51" s="20">
        <f t="shared" si="10"/>
        <v>288.5897611303098</v>
      </c>
      <c r="CC51" s="59">
        <f t="shared" si="11"/>
        <v>542.34962981597755</v>
      </c>
      <c r="CD51" s="59">
        <f ca="1">AVERAGE(OFFSET($CC$3,0,0,'Données projet'!$E$12+1,1))-AVERAGE(OFFSET($H$3,0,0,'Données projet'!$E$12+1,1))</f>
        <v>486.36097333679697</v>
      </c>
      <c r="CE51" s="59">
        <f t="shared" si="40"/>
        <v>308.47736602748159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10.43084642537387</v>
      </c>
      <c r="CM51" s="21">
        <f>EXP(-LN(2)/2)*CM50+(1-EXP(-LN(2)/2))/(LN(2)/2)*CG51*CJ51*VLOOKUP('Données projet'!$B$12,Paramètres!$A$1:$I$89,3,0)*0.475*44/12</f>
        <v>3.810564385295971</v>
      </c>
      <c r="CN51" s="22">
        <f t="shared" si="12"/>
        <v>14.241410810669841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862.69252105348448</v>
      </c>
      <c r="S52" s="59">
        <f ca="1">AVERAGE(OFFSET($R$3,0,0,'Données projet'!$E$9+1,1))-AVERAGE(OFFSET($H$3,0,0,'Données projet'!$E$9+1,1))</f>
        <v>407.05634973057056</v>
      </c>
      <c r="T52" s="59">
        <f t="shared" si="34"/>
        <v>375.32891954889965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14.351250000000004</v>
      </c>
      <c r="AI52" s="13">
        <f>IF('Données projet'!$A$62&gt;35,AI51+AH52-AQ51,IF(A52&lt;'Données projet'!$A$62,$AF$205^A52,IF(A52='Données projet'!$A$62,'Données projet'!$B$62,AI51+AH52-AQ51)))</f>
        <v>290.36875000000003</v>
      </c>
      <c r="AJ52" s="13">
        <f>AI52*VLOOKUP('Données projet'!$B$10,Paramètres!$A$1:$I$89,3,0)*VLOOKUP('Données projet'!$B$10,Paramètres!$A$1:$I$89,5,0)</f>
        <v>262.72564500000004</v>
      </c>
      <c r="AK52" s="13">
        <f t="shared" si="35"/>
        <v>63.303022218516737</v>
      </c>
      <c r="AL52" s="20">
        <f t="shared" si="4"/>
        <v>567.83326207225002</v>
      </c>
      <c r="AM52" s="59">
        <f t="shared" si="5"/>
        <v>822.27964189654199</v>
      </c>
      <c r="AN52" s="59">
        <f ca="1">AVERAGE(OFFSET($AM$3,0,0,'Données projet'!$E$10+1,1))-AVERAGE(OFFSET($H$3,0,0,'Données projet'!$E$10+1,1))</f>
        <v>737.40414421611001</v>
      </c>
      <c r="AO52" s="59">
        <f t="shared" si="36"/>
        <v>245.32893490531674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24.693421093585343</v>
      </c>
      <c r="AW52" s="21">
        <f>EXP(-LN(2)/2)*AW51+(1-EXP(-LN(2)/2))/(LN(2)/2)*AQ52*AT52*VLOOKUP('Données projet'!$B$10,Paramètres!$A$1:$I$89,3,0)*0.475*44/12</f>
        <v>0.91141233896940732</v>
      </c>
      <c r="AX52" s="21">
        <f t="shared" si="6"/>
        <v>25.604833432554749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14.224285714285713</v>
      </c>
      <c r="BD52" s="12">
        <f>IF('Données projet'!$A$88&gt;35,BD51+BC52-BL51,IF(A52&lt;'Données projet'!$A$88,$BA$205^A52,IF(A52='Données projet'!$A$88,'Données projet'!$B$88,BD51+BC52-BL51)))</f>
        <v>233.17142857142858</v>
      </c>
      <c r="BE52" s="13">
        <f>BD52*VLOOKUP('Données projet'!$B$11,Paramètres!$A$1:$I$89,3,0)*VLOOKUP('Données projet'!$B$11,Paramètres!$A$1:$I$89,5,0)</f>
        <v>196.42361142857146</v>
      </c>
      <c r="BF52" s="13">
        <f t="shared" si="37"/>
        <v>48.957362274220372</v>
      </c>
      <c r="BG52" s="20">
        <f t="shared" si="7"/>
        <v>427.3718625323624</v>
      </c>
      <c r="BH52" s="59">
        <f t="shared" si="8"/>
        <v>681.81824235665431</v>
      </c>
      <c r="BI52" s="59">
        <f ca="1">AVERAGE(OFFSET($BH$3,0,0,'Données projet'!$E$11+1,1))-AVERAGE(OFFSET($H$3,0,0,'Données projet'!$E$11+1,1))</f>
        <v>456.35333554128226</v>
      </c>
      <c r="BJ52" s="59">
        <f t="shared" si="38"/>
        <v>296.4517290984877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7.1670190233319646</v>
      </c>
      <c r="BQ52" s="21">
        <f>EXP(-LN(2)/25)*BQ51+(1-EXP(-LN(2)/25))/(LN(2)/25)*Calculateur!BL52*Calculateur!BN52*VLOOKUP('Données projet'!$B$11,Paramètres!$A$1:$I$89,3,0)*0.475*44/12</f>
        <v>26.70281020268586</v>
      </c>
      <c r="BR52" s="21">
        <f>EXP(-LN(2)/2)*BR51+(1-EXP(-LN(2)/2))/(LN(2)/2)*BL52*BO52*VLOOKUP('Données projet'!$B$11,Paramètres!$A$1:$I$89,3,0)*0.475*44/12</f>
        <v>0.92273770181993309</v>
      </c>
      <c r="BS52" s="22">
        <f t="shared" si="9"/>
        <v>34.792566927837761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10.001428571428571</v>
      </c>
      <c r="BY52" s="12">
        <f>IF('Données projet'!$A$114&gt;35,BY51+BX52-CG51,IF(A52&lt;'Données projet'!$A$114,$BV$205^A52,IF(A52='Données projet'!$A$114,'Données projet'!$B$114,BY51+BX52-CG51)))</f>
        <v>148.06571428571428</v>
      </c>
      <c r="BZ52" s="13">
        <f>BY52*VLOOKUP('Données projet'!$B$12,Paramètres!$A$1:$I$89,3,0)*VLOOKUP('Données projet'!$B$12,Paramètres!$A$1:$I$89,5,0)</f>
        <v>140.89933371428572</v>
      </c>
      <c r="CA52" s="13">
        <f t="shared" si="39"/>
        <v>36.502953377985676</v>
      </c>
      <c r="CB52" s="20">
        <f t="shared" si="10"/>
        <v>308.97565001903934</v>
      </c>
      <c r="CC52" s="59">
        <f t="shared" si="11"/>
        <v>563.4220298433313</v>
      </c>
      <c r="CD52" s="59">
        <f ca="1">AVERAGE(OFFSET($CC$3,0,0,'Données projet'!$E$12+1,1))-AVERAGE(OFFSET($H$3,0,0,'Données projet'!$E$12+1,1))</f>
        <v>486.36097333679697</v>
      </c>
      <c r="CE52" s="59">
        <f t="shared" si="40"/>
        <v>308.47736602748159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10.145614381337648</v>
      </c>
      <c r="CM52" s="21">
        <f>EXP(-LN(2)/2)*CM51+(1-EXP(-LN(2)/2))/(LN(2)/2)*CG52*CJ52*VLOOKUP('Données projet'!$B$12,Paramètres!$A$1:$I$89,3,0)*0.475*44/12</f>
        <v>2.6944759169907293</v>
      </c>
      <c r="CN52" s="22">
        <f t="shared" si="12"/>
        <v>12.840090298328377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754.25891678841663</v>
      </c>
      <c r="S53" s="59">
        <f ca="1">AVERAGE(OFFSET($R$3,0,0,'Données projet'!$E$9+1,1))-AVERAGE(OFFSET($H$3,0,0,'Données projet'!$E$9+1,1))</f>
        <v>407.05634973057056</v>
      </c>
      <c r="T53" s="59">
        <f t="shared" si="34"/>
        <v>375.32891954889965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14.351250000000004</v>
      </c>
      <c r="AH53" s="12">
        <f t="array" ref="AH53">INDEX(AG:AG,MIN(IF(ISNUMBER(AG53:AG249),ROW(AG53:AG249),"")))</f>
        <v>14.351250000000004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850.37107809089764</v>
      </c>
      <c r="AN53" s="59">
        <f ca="1">AVERAGE(OFFSET($AM$3,0,0,'Données projet'!$E$10+1,1))-AVERAGE(OFFSET($H$3,0,0,'Données projet'!$E$10+1,1))</f>
        <v>737.40414421611001</v>
      </c>
      <c r="AO53" s="59">
        <f t="shared" si="36"/>
        <v>245.32893490531674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70.730000000000018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48.259061719647775</v>
      </c>
      <c r="AW53" s="21">
        <f>EXP(-LN(2)/2)*AW52+(1-EXP(-LN(2)/2))/(LN(2)/2)*AQ53*AT53*VLOOKUP('Données projet'!$B$10,Paramètres!$A$1:$I$89,3,0)*0.475*44/12</f>
        <v>12.720950638272642</v>
      </c>
      <c r="AX53" s="21">
        <f t="shared" si="6"/>
        <v>60.980012357920415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14.224285714285713</v>
      </c>
      <c r="BD53" s="12">
        <f>IF('Données projet'!$A$88&gt;35,BD52+BC53-BL52,IF(A53&lt;'Données projet'!$A$88,$BA$205^A53,IF(A53='Données projet'!$A$88,'Données projet'!$B$88,BD52+BC53-BL52)))</f>
        <v>247.39571428571429</v>
      </c>
      <c r="BE53" s="13">
        <f>BD53*VLOOKUP('Données projet'!$B$11,Paramètres!$A$1:$I$89,3,0)*VLOOKUP('Données projet'!$B$11,Paramètres!$A$1:$I$89,5,0)</f>
        <v>208.40614971428573</v>
      </c>
      <c r="BF53" s="13">
        <f t="shared" si="37"/>
        <v>51.587135022941858</v>
      </c>
      <c r="BG53" s="20">
        <f t="shared" si="7"/>
        <v>452.82163758400475</v>
      </c>
      <c r="BH53" s="59">
        <f t="shared" si="8"/>
        <v>707.94261911347485</v>
      </c>
      <c r="BI53" s="59">
        <f ca="1">AVERAGE(OFFSET($BH$3,0,0,'Données projet'!$E$11+1,1))-AVERAGE(OFFSET($H$3,0,0,'Données projet'!$E$11+1,1))</f>
        <v>456.35333554128226</v>
      </c>
      <c r="BJ53" s="59">
        <f t="shared" si="38"/>
        <v>296.4517290984877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7.0264781517343842</v>
      </c>
      <c r="BQ53" s="21">
        <f>EXP(-LN(2)/25)*BQ52+(1-EXP(-LN(2)/25))/(LN(2)/25)*Calculateur!BL53*Calculateur!BN53*VLOOKUP('Données projet'!$B$11,Paramètres!$A$1:$I$89,3,0)*0.475*44/12</f>
        <v>25.972620453453658</v>
      </c>
      <c r="BR53" s="21">
        <f>EXP(-LN(2)/2)*BR52+(1-EXP(-LN(2)/2))/(LN(2)/2)*BL53*BO53*VLOOKUP('Données projet'!$B$11,Paramètres!$A$1:$I$89,3,0)*0.475*44/12</f>
        <v>0.65247408621336522</v>
      </c>
      <c r="BS53" s="22">
        <f t="shared" si="9"/>
        <v>33.651572691401405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10.001428571428571</v>
      </c>
      <c r="BY53" s="12">
        <f>IF('Données projet'!$A$114&gt;35,BY52+BX53-CG52,IF(A53&lt;'Données projet'!$A$114,$BV$205^A53,IF(A53='Données projet'!$A$114,'Données projet'!$B$114,BY52+BX53-CG52)))</f>
        <v>158.06714285714284</v>
      </c>
      <c r="BZ53" s="13">
        <f>BY53*VLOOKUP('Données projet'!$B$12,Paramètres!$A$1:$I$89,3,0)*VLOOKUP('Données projet'!$B$12,Paramètres!$A$1:$I$89,5,0)</f>
        <v>150.41669314285713</v>
      </c>
      <c r="CA53" s="13">
        <f t="shared" si="39"/>
        <v>38.673265338618677</v>
      </c>
      <c r="CB53" s="20">
        <f t="shared" si="10"/>
        <v>329.33167768857032</v>
      </c>
      <c r="CC53" s="59">
        <f t="shared" si="11"/>
        <v>584.45265921804048</v>
      </c>
      <c r="CD53" s="59">
        <f ca="1">AVERAGE(OFFSET($CC$3,0,0,'Données projet'!$E$12+1,1))-AVERAGE(OFFSET($H$3,0,0,'Données projet'!$E$12+1,1))</f>
        <v>486.36097333679697</v>
      </c>
      <c r="CE53" s="59">
        <f t="shared" si="40"/>
        <v>308.47736602748159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9.8681820225452981</v>
      </c>
      <c r="CM53" s="21">
        <f>EXP(-LN(2)/2)*CM52+(1-EXP(-LN(2)/2))/(LN(2)/2)*CG53*CJ53*VLOOKUP('Données projet'!$B$12,Paramètres!$A$1:$I$89,3,0)*0.475*44/12</f>
        <v>1.9052821926479857</v>
      </c>
      <c r="CN53" s="22">
        <f t="shared" si="12"/>
        <v>11.773464215193284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779.01247388050808</v>
      </c>
      <c r="S54" s="59">
        <f ca="1">AVERAGE(OFFSET($R$3,0,0,'Données projet'!$E$9+1,1))-AVERAGE(OFFSET($H$3,0,0,'Données projet'!$E$9+1,1))</f>
        <v>407.05634973057056</v>
      </c>
      <c r="T54" s="59">
        <f t="shared" si="34"/>
        <v>375.32891954889965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14.073749999999997</v>
      </c>
      <c r="AI54" s="13">
        <f>IF('Données projet'!$A$62&gt;35,AI53+AH54-AQ53,IF(A54&lt;'Données projet'!$A$62,$AF$205^A54,IF(A54='Données projet'!$A$62,'Données projet'!$B$62,AI53+AH54-AQ53)))</f>
        <v>248.06375000000003</v>
      </c>
      <c r="AJ54" s="13">
        <f>AI54*VLOOKUP('Données projet'!$B$10,Paramètres!$A$1:$I$89,3,0)*VLOOKUP('Données projet'!$B$10,Paramètres!$A$1:$I$89,5,0)</f>
        <v>224.44808100000003</v>
      </c>
      <c r="AK54" s="13">
        <f t="shared" si="35"/>
        <v>55.080525002460227</v>
      </c>
      <c r="AL54" s="20">
        <f t="shared" si="4"/>
        <v>486.84565545428495</v>
      </c>
      <c r="AM54" s="59">
        <f t="shared" si="5"/>
        <v>742.62953585753178</v>
      </c>
      <c r="AN54" s="59">
        <f ca="1">AVERAGE(OFFSET($AM$3,0,0,'Données projet'!$E$10+1,1))-AVERAGE(OFFSET($H$3,0,0,'Données projet'!$E$10+1,1))</f>
        <v>737.40414421611001</v>
      </c>
      <c r="AO54" s="59">
        <f t="shared" si="36"/>
        <v>245.32893490531674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46.939415139090251</v>
      </c>
      <c r="AW54" s="21">
        <f>EXP(-LN(2)/2)*AW53+(1-EXP(-LN(2)/2))/(LN(2)/2)*AQ54*AT54*VLOOKUP('Données projet'!$B$10,Paramètres!$A$1:$I$89,3,0)*0.475*44/12</f>
        <v>8.9950704594619264</v>
      </c>
      <c r="AX54" s="21">
        <f t="shared" si="6"/>
        <v>55.934485598552179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261.62</v>
      </c>
      <c r="BB54" s="12">
        <f>VLOOKUP(A54,'Données projet'!$A$87:$I$107,9,0)</f>
        <v>14.224285714285713</v>
      </c>
      <c r="BC54" s="12">
        <f t="array" ref="BC54">INDEX(BB:BB,MIN(IF(ISNUMBER(BB54:BB250),ROW(BB54:BB250),"")))</f>
        <v>14.224285714285713</v>
      </c>
      <c r="BD54" s="12">
        <f>IF('Données projet'!$A$88&gt;35,BD53+BC54-BL53,IF(A54&lt;'Données projet'!$A$88,$BA$205^A54,IF(A54='Données projet'!$A$88,'Données projet'!$B$88,BD53+BC54-BL53)))</f>
        <v>261.62</v>
      </c>
      <c r="BE54" s="13">
        <f>BD54*VLOOKUP('Données projet'!$B$11,Paramètres!$A$1:$I$89,3,0)*VLOOKUP('Données projet'!$B$11,Paramètres!$A$1:$I$89,5,0)</f>
        <v>220.388688</v>
      </c>
      <c r="BF54" s="13">
        <f t="shared" si="37"/>
        <v>54.199356456019601</v>
      </c>
      <c r="BG54" s="20">
        <f t="shared" si="7"/>
        <v>478.24084409423403</v>
      </c>
      <c r="BH54" s="59">
        <f t="shared" si="8"/>
        <v>734.02472449748086</v>
      </c>
      <c r="BI54" s="59">
        <f ca="1">AVERAGE(OFFSET($BH$3,0,0,'Données projet'!$E$11+1,1))-AVERAGE(OFFSET($H$3,0,0,'Données projet'!$E$11+1,1))</f>
        <v>456.35333554128226</v>
      </c>
      <c r="BJ54" s="59">
        <f t="shared" si="38"/>
        <v>296.4517290984877</v>
      </c>
      <c r="BK54" s="15">
        <f>IF(ISNA(VLOOKUP(A54,'Données projet'!$A$87:$I$107,3,0)),0,VLOOKUP(A54,'Données projet'!$A$87:$I$107,3,0))</f>
        <v>4</v>
      </c>
      <c r="BL54" s="15">
        <f>IF(ISNA(VLOOKUP(A54,'Données projet'!$A$87:$I$107,4,0)),0,VLOOKUP(A54,'Données projet'!$A$87:$I$107,4,0))</f>
        <v>55.400000000000006</v>
      </c>
      <c r="BM54" s="16">
        <f>IF(ISNA(VLOOKUP(A54,'Données projet'!$A$87:$I$107,5,0)),0%,VLOOKUP(A54,'Données projet'!$A$87:$I$107,5,0)*VLOOKUP('Données projet'!$B$11,Paramètres!$A$1:$I$89,7,0))</f>
        <v>0.15049999999999999</v>
      </c>
      <c r="BN54" s="16">
        <f>IF(ISNA(VLOOKUP(A54,'Données projet'!$A$87:$I$107,6,0)),0%,VLOOKUP(A54,'Données projet'!$A$87:$I$107,6,0)*VLOOKUP('Données projet'!$B$11,Paramètres!$A$1:$I$89,7,0))</f>
        <v>8.6000000000000007E-2</v>
      </c>
      <c r="BO54" s="16">
        <f>IF(ISNA(VLOOKUP(A54,'Données projet'!$A$87:$I$107,7,0)),0%,VLOOKUP(A54,'Données projet'!$A$87:$I$107,7,0))</f>
        <v>0.1</v>
      </c>
      <c r="BP54" s="21">
        <f>EXP(-LN(2)/35)*BP53+(1-EXP(-LN(2)/35))/(LN(2)/35)*BL54*BM54*VLOOKUP('Données projet'!$B$11,Paramètres!$A$1:$I$89,3,0)*0.475*44/12</f>
        <v>14.653161715910381</v>
      </c>
      <c r="BQ54" s="21">
        <f>EXP(-LN(2)/25)*BQ53+(1-EXP(-LN(2)/25))/(LN(2)/25)*Calculateur!BL54*Calculateur!BN54*VLOOKUP('Données projet'!$B$11,Paramètres!$A$1:$I$89,3,0)*0.475*44/12</f>
        <v>29.681767406436077</v>
      </c>
      <c r="BR54" s="21">
        <f>EXP(-LN(2)/2)*BR53+(1-EXP(-LN(2)/2))/(LN(2)/2)*BL54*BO54*VLOOKUP('Données projet'!$B$11,Paramètres!$A$1:$I$89,3,0)*0.475*44/12</f>
        <v>4.8647108345741961</v>
      </c>
      <c r="BS54" s="22">
        <f t="shared" si="9"/>
        <v>49.199639956920656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10.001428571428571</v>
      </c>
      <c r="BY54" s="12">
        <f>IF('Données projet'!$A$114&gt;35,BY53+BX54-CG53,IF(A54&lt;'Données projet'!$A$114,$BV$205^A54,IF(A54='Données projet'!$A$114,'Données projet'!$B$114,BY53+BX54-CG53)))</f>
        <v>168.0685714285714</v>
      </c>
      <c r="BZ54" s="13">
        <f>BY54*VLOOKUP('Données projet'!$B$12,Paramètres!$A$1:$I$89,3,0)*VLOOKUP('Données projet'!$B$12,Paramètres!$A$1:$I$89,5,0)</f>
        <v>159.93405257142857</v>
      </c>
      <c r="CA54" s="13">
        <f t="shared" si="39"/>
        <v>40.827640423227386</v>
      </c>
      <c r="CB54" s="20">
        <f t="shared" si="10"/>
        <v>349.65994863235909</v>
      </c>
      <c r="CC54" s="59">
        <f t="shared" si="11"/>
        <v>605.44382903560586</v>
      </c>
      <c r="CD54" s="59">
        <f ca="1">AVERAGE(OFFSET($CC$3,0,0,'Données projet'!$E$12+1,1))-AVERAGE(OFFSET($H$3,0,0,'Données projet'!$E$12+1,1))</f>
        <v>486.36097333679697</v>
      </c>
      <c r="CE54" s="59">
        <f t="shared" si="40"/>
        <v>308.47736602748159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9.5983360661936583</v>
      </c>
      <c r="CM54" s="21">
        <f>EXP(-LN(2)/2)*CM53+(1-EXP(-LN(2)/2))/(LN(2)/2)*CG54*CJ54*VLOOKUP('Données projet'!$B$12,Paramètres!$A$1:$I$89,3,0)*0.475*44/12</f>
        <v>1.3472379584953649</v>
      </c>
      <c r="CN54" s="22">
        <f t="shared" si="12"/>
        <v>10.945574024689023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803.73116619201403</v>
      </c>
      <c r="S55" s="59">
        <f ca="1">AVERAGE(OFFSET($R$3,0,0,'Données projet'!$E$9+1,1))-AVERAGE(OFFSET($H$3,0,0,'Données projet'!$E$9+1,1))</f>
        <v>407.05634973057056</v>
      </c>
      <c r="T55" s="59">
        <f t="shared" si="34"/>
        <v>375.32891954889965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14.073749999999997</v>
      </c>
      <c r="AI55" s="13">
        <f>IF('Données projet'!$A$62&gt;35,AI54+AH55-AQ54,IF(A55&lt;'Données projet'!$A$62,$AF$205^A55,IF(A55='Données projet'!$A$62,'Données projet'!$B$62,AI54+AH55-AQ54)))</f>
        <v>262.13750000000005</v>
      </c>
      <c r="AJ55" s="13">
        <f>AI55*VLOOKUP('Données projet'!$B$10,Paramètres!$A$1:$I$89,3,0)*VLOOKUP('Données projet'!$B$10,Paramètres!$A$1:$I$89,5,0)</f>
        <v>237.18201000000005</v>
      </c>
      <c r="AK55" s="13">
        <f t="shared" si="35"/>
        <v>57.832810058824109</v>
      </c>
      <c r="AL55" s="20">
        <f t="shared" si="4"/>
        <v>513.81747826911885</v>
      </c>
      <c r="AM55" s="59">
        <f t="shared" si="5"/>
        <v>770.25275773270221</v>
      </c>
      <c r="AN55" s="59">
        <f ca="1">AVERAGE(OFFSET($AM$3,0,0,'Données projet'!$E$10+1,1))-AVERAGE(OFFSET($H$3,0,0,'Données projet'!$E$10+1,1))</f>
        <v>737.40414421611001</v>
      </c>
      <c r="AO55" s="59">
        <f t="shared" si="36"/>
        <v>245.32893490531674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45.655854363675267</v>
      </c>
      <c r="AW55" s="21">
        <f>EXP(-LN(2)/2)*AW54+(1-EXP(-LN(2)/2))/(LN(2)/2)*AQ55*AT55*VLOOKUP('Données projet'!$B$10,Paramètres!$A$1:$I$89,3,0)*0.475*44/12</f>
        <v>6.3604753191363219</v>
      </c>
      <c r="AX55" s="21">
        <f t="shared" si="6"/>
        <v>52.016329682811588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14.12857142857143</v>
      </c>
      <c r="BD55" s="12">
        <f>IF('Données projet'!$A$88&gt;35,BD54+BC55-BL54,IF(A55&lt;'Données projet'!$A$88,$BA$205^A55,IF(A55='Données projet'!$A$88,'Données projet'!$B$88,BD54+BC55-BL54)))</f>
        <v>220.34857142857143</v>
      </c>
      <c r="BE55" s="13">
        <f>BD55*VLOOKUP('Données projet'!$B$11,Paramètres!$A$1:$I$89,3,0)*VLOOKUP('Données projet'!$B$11,Paramètres!$A$1:$I$89,5,0)</f>
        <v>185.62163657142858</v>
      </c>
      <c r="BF55" s="13">
        <f t="shared" si="37"/>
        <v>46.570649354822137</v>
      </c>
      <c r="BG55" s="20">
        <f t="shared" si="7"/>
        <v>404.40156465488667</v>
      </c>
      <c r="BH55" s="59">
        <f t="shared" si="8"/>
        <v>660.83684411847003</v>
      </c>
      <c r="BI55" s="59">
        <f ca="1">AVERAGE(OFFSET($BH$3,0,0,'Données projet'!$E$11+1,1))-AVERAGE(OFFSET($H$3,0,0,'Données projet'!$E$11+1,1))</f>
        <v>456.35333554128226</v>
      </c>
      <c r="BJ55" s="59">
        <f t="shared" si="38"/>
        <v>296.4517290984877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14.365822152207516</v>
      </c>
      <c r="BQ55" s="21">
        <f>EXP(-LN(2)/25)*BQ54+(1-EXP(-LN(2)/25))/(LN(2)/25)*Calculateur!BL55*Calculateur!BN55*VLOOKUP('Données projet'!$B$11,Paramètres!$A$1:$I$89,3,0)*0.475*44/12</f>
        <v>28.870117915810773</v>
      </c>
      <c r="BR55" s="21">
        <f>EXP(-LN(2)/2)*BR54+(1-EXP(-LN(2)/2))/(LN(2)/2)*BL55*BO55*VLOOKUP('Données projet'!$B$11,Paramètres!$A$1:$I$89,3,0)*0.475*44/12</f>
        <v>3.4398700196390832</v>
      </c>
      <c r="BS55" s="22">
        <f t="shared" si="9"/>
        <v>46.675810087657368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178.07</v>
      </c>
      <c r="BW55" s="12">
        <f>VLOOKUP(A55,'Données projet'!$A$113:$I$133,9,0)</f>
        <v>10.001428571428571</v>
      </c>
      <c r="BX55" s="12">
        <f t="array" ref="BX55">INDEX(BW:BW,MIN(IF(ISNUMBER(BW55:BW251),ROW(BW55:BW251),"")))</f>
        <v>10.001428571428571</v>
      </c>
      <c r="BY55" s="12">
        <f>IF('Données projet'!$A$114&gt;35,BY54+BX55-CG54,IF(A55&lt;'Données projet'!$A$114,$BV$205^A55,IF(A55='Données projet'!$A$114,'Données projet'!$B$114,BY54+BX55-CG54)))</f>
        <v>178.06999999999996</v>
      </c>
      <c r="BZ55" s="13">
        <f>BY55*VLOOKUP('Données projet'!$B$12,Paramètres!$A$1:$I$89,3,0)*VLOOKUP('Données projet'!$B$12,Paramètres!$A$1:$I$89,5,0)</f>
        <v>169.45141199999998</v>
      </c>
      <c r="CA55" s="13">
        <f t="shared" si="39"/>
        <v>42.967135019238462</v>
      </c>
      <c r="CB55" s="20">
        <f t="shared" si="10"/>
        <v>369.96230272517363</v>
      </c>
      <c r="CC55" s="59">
        <f t="shared" si="11"/>
        <v>626.39758218875704</v>
      </c>
      <c r="CD55" s="59">
        <f ca="1">AVERAGE(OFFSET($CC$3,0,0,'Données projet'!$E$12+1,1))-AVERAGE(OFFSET($H$3,0,0,'Données projet'!$E$12+1,1))</f>
        <v>486.36097333679697</v>
      </c>
      <c r="CE55" s="59">
        <f t="shared" si="40"/>
        <v>308.47736602748159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44.400000000000006</v>
      </c>
      <c r="CH55" s="16">
        <f>IF(ISNA(VLOOKUP(A55,'Données projet'!$A$113:$I$133,5,0)),0%,VLOOKUP(A55,'Données projet'!$A$113:$I$133,5,0)*VLOOKUP('Données projet'!$B$12,Paramètres!$A$1:$I$89,7,0))</f>
        <v>0.1075</v>
      </c>
      <c r="CI55" s="16">
        <f>IF(ISNA(VLOOKUP(A55,'Données projet'!$A$113:$I$133,6,0)),0%,VLOOKUP(A55,'Données projet'!$A$113:$I$133,6,0)*VLOOKUP('Données projet'!$B$12,Paramètres!$A$1:$I$89,7,0))</f>
        <v>0.1075</v>
      </c>
      <c r="CJ55" s="16">
        <f>IF(ISNA(VLOOKUP(A55,'Données projet'!$A$113:$I$133,7,0)),0%,VLOOKUP(A55,'Données projet'!$A$113:$I$133,7,0))</f>
        <v>0.25</v>
      </c>
      <c r="CK55" s="21">
        <f>EXP(-LN(2)/35)*CK54+(1-EXP(-LN(2)/35))/(LN(2)/35)*CG55*CH55*VLOOKUP('Données projet'!$B$12,Paramètres!$A$1:$I$89,3,0)*0.475*44/12</f>
        <v>5.02103187162965</v>
      </c>
      <c r="CL55" s="21">
        <f>EXP(-LN(2)/25)*CL54+(1-EXP(-LN(2)/25))/(LN(2)/25)*Calculateur!CG55*Calculateur!CI55*VLOOKUP('Données projet'!$B$12,Paramètres!$A$1:$I$89,3,0)*0.475*44/12</f>
        <v>14.337131217696948</v>
      </c>
      <c r="CM55" s="21">
        <f>EXP(-LN(2)/2)*CM54+(1-EXP(-LN(2)/2))/(LN(2)/2)*CG55*CJ55*VLOOKUP('Données projet'!$B$12,Paramètres!$A$1:$I$89,3,0)*0.475*44/12</f>
        <v>10.918889448841206</v>
      </c>
      <c r="CN55" s="22">
        <f t="shared" si="12"/>
        <v>30.277052538167805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828.41636410030856</v>
      </c>
      <c r="S56" s="59">
        <f ca="1">AVERAGE(OFFSET($R$3,0,0,'Données projet'!$E$9+1,1))-AVERAGE(OFFSET($H$3,0,0,'Données projet'!$E$9+1,1))</f>
        <v>407.05634973057056</v>
      </c>
      <c r="T56" s="59">
        <f t="shared" si="34"/>
        <v>375.32891954889965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14.073749999999997</v>
      </c>
      <c r="AI56" s="13">
        <f>IF('Données projet'!$A$62&gt;35,AI55+AH56-AQ55,IF(A56&lt;'Données projet'!$A$62,$AF$205^A56,IF(A56='Données projet'!$A$62,'Données projet'!$B$62,AI55+AH56-AQ55)))</f>
        <v>276.21125000000006</v>
      </c>
      <c r="AJ56" s="13">
        <f>AI56*VLOOKUP('Données projet'!$B$10,Paramètres!$A$1:$I$89,3,0)*VLOOKUP('Données projet'!$B$10,Paramètres!$A$1:$I$89,5,0)</f>
        <v>249.91593900000007</v>
      </c>
      <c r="AK56" s="13">
        <f t="shared" si="35"/>
        <v>60.567940102066487</v>
      </c>
      <c r="AL56" s="20">
        <f t="shared" si="4"/>
        <v>540.7594227694326</v>
      </c>
      <c r="AM56" s="59">
        <f t="shared" si="5"/>
        <v>797.83480097596589</v>
      </c>
      <c r="AN56" s="59">
        <f ca="1">AVERAGE(OFFSET($AM$3,0,0,'Données projet'!$E$10+1,1))-AVERAGE(OFFSET($H$3,0,0,'Données projet'!$E$10+1,1))</f>
        <v>737.40414421611001</v>
      </c>
      <c r="AO56" s="59">
        <f t="shared" si="36"/>
        <v>245.32893490531674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44.407392625163531</v>
      </c>
      <c r="AW56" s="21">
        <f>EXP(-LN(2)/2)*AW55+(1-EXP(-LN(2)/2))/(LN(2)/2)*AQ56*AT56*VLOOKUP('Données projet'!$B$10,Paramètres!$A$1:$I$89,3,0)*0.475*44/12</f>
        <v>4.4975352297309632</v>
      </c>
      <c r="AX56" s="21">
        <f t="shared" si="6"/>
        <v>48.904927854894495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14.12857142857143</v>
      </c>
      <c r="BD56" s="12">
        <f>IF('Données projet'!$A$88&gt;35,BD55+BC56-BL55,IF(A56&lt;'Données projet'!$A$88,$BA$205^A56,IF(A56='Données projet'!$A$88,'Données projet'!$B$88,BD55+BC56-BL55)))</f>
        <v>234.47714285714287</v>
      </c>
      <c r="BE56" s="13">
        <f>BD56*VLOOKUP('Données projet'!$B$11,Paramètres!$A$1:$I$89,3,0)*VLOOKUP('Données projet'!$B$11,Paramètres!$A$1:$I$89,5,0)</f>
        <v>197.52354514285716</v>
      </c>
      <c r="BF56" s="13">
        <f t="shared" si="37"/>
        <v>49.199523870679094</v>
      </c>
      <c r="BG56" s="20">
        <f t="shared" si="7"/>
        <v>429.70934519857565</v>
      </c>
      <c r="BH56" s="59">
        <f t="shared" si="8"/>
        <v>686.78472340510893</v>
      </c>
      <c r="BI56" s="59">
        <f ca="1">AVERAGE(OFFSET($BH$3,0,0,'Données projet'!$E$11+1,1))-AVERAGE(OFFSET($H$3,0,0,'Données projet'!$E$11+1,1))</f>
        <v>456.35333554128226</v>
      </c>
      <c r="BJ56" s="59">
        <f t="shared" si="38"/>
        <v>296.4517290984877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14.084117142089035</v>
      </c>
      <c r="BQ56" s="21">
        <f>EXP(-LN(2)/25)*BQ55+(1-EXP(-LN(2)/25))/(LN(2)/25)*Calculateur!BL56*Calculateur!BN56*VLOOKUP('Données projet'!$B$11,Paramètres!$A$1:$I$89,3,0)*0.475*44/12</f>
        <v>28.080663023189409</v>
      </c>
      <c r="BR56" s="21">
        <f>EXP(-LN(2)/2)*BR55+(1-EXP(-LN(2)/2))/(LN(2)/2)*BL56*BO56*VLOOKUP('Données projet'!$B$11,Paramètres!$A$1:$I$89,3,0)*0.475*44/12</f>
        <v>2.4323554172870985</v>
      </c>
      <c r="BS56" s="22">
        <f t="shared" si="9"/>
        <v>44.597135582565542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9.8828571428571443</v>
      </c>
      <c r="BY56" s="12">
        <f>IF('Données projet'!$A$114&gt;35,BY55+BX56-CG55,IF(A56&lt;'Données projet'!$A$114,$BV$205^A56,IF(A56='Données projet'!$A$114,'Données projet'!$B$114,BY55+BX56-CG55)))</f>
        <v>143.55285714285711</v>
      </c>
      <c r="BZ56" s="13">
        <f>BY56*VLOOKUP('Données projet'!$B$12,Paramètres!$A$1:$I$89,3,0)*VLOOKUP('Données projet'!$B$12,Paramètres!$A$1:$I$89,5,0)</f>
        <v>136.60489885714281</v>
      </c>
      <c r="CA56" s="13">
        <f t="shared" si="39"/>
        <v>35.518127724762081</v>
      </c>
      <c r="CB56" s="20">
        <f t="shared" si="10"/>
        <v>299.78093796348435</v>
      </c>
      <c r="CC56" s="59">
        <f t="shared" si="11"/>
        <v>556.85631617001764</v>
      </c>
      <c r="CD56" s="59">
        <f ca="1">AVERAGE(OFFSET($CC$3,0,0,'Données projet'!$E$12+1,1))-AVERAGE(OFFSET($H$3,0,0,'Données projet'!$E$12+1,1))</f>
        <v>486.36097333679697</v>
      </c>
      <c r="CE56" s="59">
        <f t="shared" si="40"/>
        <v>308.47736602748159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4.9225724991540352</v>
      </c>
      <c r="CL56" s="21">
        <f>EXP(-LN(2)/25)*CL55+(1-EXP(-LN(2)/25))/(LN(2)/25)*Calculateur!CG56*Calculateur!CI56*VLOOKUP('Données projet'!$B$12,Paramètres!$A$1:$I$89,3,0)*0.475*44/12</f>
        <v>13.945081610592062</v>
      </c>
      <c r="CM56" s="21">
        <f>EXP(-LN(2)/2)*CM55+(1-EXP(-LN(2)/2))/(LN(2)/2)*CG56*CJ56*VLOOKUP('Données projet'!$B$12,Paramètres!$A$1:$I$89,3,0)*0.475*44/12</f>
        <v>7.7208207723018614</v>
      </c>
      <c r="CN56" s="22">
        <f t="shared" si="12"/>
        <v>26.588474882047962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853.06932803542236</v>
      </c>
      <c r="S57" s="59">
        <f ca="1">AVERAGE(OFFSET($R$3,0,0,'Données projet'!$E$9+1,1))-AVERAGE(OFFSET($H$3,0,0,'Données projet'!$E$9+1,1))</f>
        <v>407.05634973057056</v>
      </c>
      <c r="T57" s="59">
        <f t="shared" si="34"/>
        <v>375.32891954889965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14.073749999999997</v>
      </c>
      <c r="AI57" s="13">
        <f>IF('Données projet'!$A$62&gt;35,AI56+AH57-AQ56,IF(A57&lt;'Données projet'!$A$62,$AF$205^A57,IF(A57='Données projet'!$A$62,'Données projet'!$B$62,AI56+AH57-AQ56)))</f>
        <v>290.28500000000008</v>
      </c>
      <c r="AJ57" s="13">
        <f>AI57*VLOOKUP('Données projet'!$B$10,Paramètres!$A$1:$I$89,3,0)*VLOOKUP('Données projet'!$B$10,Paramètres!$A$1:$I$89,5,0)</f>
        <v>262.64986800000008</v>
      </c>
      <c r="AK57" s="13">
        <f t="shared" si="35"/>
        <v>63.286888949205185</v>
      </c>
      <c r="AL57" s="20">
        <f t="shared" si="4"/>
        <v>567.67318501986585</v>
      </c>
      <c r="AM57" s="59">
        <f t="shared" si="5"/>
        <v>825.37755768720513</v>
      </c>
      <c r="AN57" s="59">
        <f ca="1">AVERAGE(OFFSET($AM$3,0,0,'Données projet'!$E$10+1,1))-AVERAGE(OFFSET($H$3,0,0,'Données projet'!$E$10+1,1))</f>
        <v>737.40414421611001</v>
      </c>
      <c r="AO57" s="59">
        <f t="shared" si="36"/>
        <v>245.32893490531674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43.193070138545153</v>
      </c>
      <c r="AW57" s="21">
        <f>EXP(-LN(2)/2)*AW56+(1-EXP(-LN(2)/2))/(LN(2)/2)*AQ57*AT57*VLOOKUP('Données projet'!$B$10,Paramètres!$A$1:$I$89,3,0)*0.475*44/12</f>
        <v>3.180237659568161</v>
      </c>
      <c r="AX57" s="21">
        <f t="shared" si="6"/>
        <v>46.373307798113316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14.12857142857143</v>
      </c>
      <c r="BD57" s="12">
        <f>IF('Données projet'!$A$88&gt;35,BD56+BC57-BL56,IF(A57&lt;'Données projet'!$A$88,$BA$205^A57,IF(A57='Données projet'!$A$88,'Données projet'!$B$88,BD56+BC57-BL56)))</f>
        <v>248.6057142857143</v>
      </c>
      <c r="BE57" s="13">
        <f>BD57*VLOOKUP('Données projet'!$B$11,Paramètres!$A$1:$I$89,3,0)*VLOOKUP('Données projet'!$B$11,Paramètres!$A$1:$I$89,5,0)</f>
        <v>209.42545371428574</v>
      </c>
      <c r="BF57" s="13">
        <f t="shared" si="37"/>
        <v>51.810012867163444</v>
      </c>
      <c r="BG57" s="20">
        <f t="shared" si="7"/>
        <v>454.98510429602402</v>
      </c>
      <c r="BH57" s="59">
        <f t="shared" si="8"/>
        <v>712.6894769633634</v>
      </c>
      <c r="BI57" s="59">
        <f ca="1">AVERAGE(OFFSET($BH$3,0,0,'Données projet'!$E$11+1,1))-AVERAGE(OFFSET($H$3,0,0,'Données projet'!$E$11+1,1))</f>
        <v>456.35333554128226</v>
      </c>
      <c r="BJ57" s="59">
        <f t="shared" si="38"/>
        <v>296.4517290984877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13.807936195395888</v>
      </c>
      <c r="BQ57" s="21">
        <f>EXP(-LN(2)/25)*BQ56+(1-EXP(-LN(2)/25))/(LN(2)/25)*Calculateur!BL57*Calculateur!BN57*VLOOKUP('Données projet'!$B$11,Paramètres!$A$1:$I$89,3,0)*0.475*44/12</f>
        <v>27.312795816122406</v>
      </c>
      <c r="BR57" s="21">
        <f>EXP(-LN(2)/2)*BR56+(1-EXP(-LN(2)/2))/(LN(2)/2)*BL57*BO57*VLOOKUP('Données projet'!$B$11,Paramètres!$A$1:$I$89,3,0)*0.475*44/12</f>
        <v>1.7199350098195421</v>
      </c>
      <c r="BS57" s="22">
        <f t="shared" si="9"/>
        <v>42.840667021337836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9.8828571428571443</v>
      </c>
      <c r="BY57" s="12">
        <f>IF('Données projet'!$A$114&gt;35,BY56+BX57-CG56,IF(A57&lt;'Données projet'!$A$114,$BV$205^A57,IF(A57='Données projet'!$A$114,'Données projet'!$B$114,BY56+BX57-CG56)))</f>
        <v>153.43571428571425</v>
      </c>
      <c r="BZ57" s="13">
        <f>BY57*VLOOKUP('Données projet'!$B$12,Paramètres!$A$1:$I$89,3,0)*VLOOKUP('Données projet'!$B$12,Paramètres!$A$1:$I$89,5,0)</f>
        <v>146.0094257142857</v>
      </c>
      <c r="CA57" s="13">
        <f t="shared" si="39"/>
        <v>37.670295045235548</v>
      </c>
      <c r="CB57" s="20">
        <f t="shared" si="10"/>
        <v>319.90884698949952</v>
      </c>
      <c r="CC57" s="59">
        <f t="shared" si="11"/>
        <v>577.61321965683885</v>
      </c>
      <c r="CD57" s="59">
        <f ca="1">AVERAGE(OFFSET($CC$3,0,0,'Données projet'!$E$12+1,1))-AVERAGE(OFFSET($H$3,0,0,'Données projet'!$E$12+1,1))</f>
        <v>486.36097333679697</v>
      </c>
      <c r="CE57" s="59">
        <f t="shared" si="40"/>
        <v>308.47736602748159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4.8260438549183791</v>
      </c>
      <c r="CL57" s="21">
        <f>EXP(-LN(2)/25)*CL56+(1-EXP(-LN(2)/25))/(LN(2)/25)*Calculateur!CG57*Calculateur!CI57*VLOOKUP('Données projet'!$B$12,Paramètres!$A$1:$I$89,3,0)*0.475*44/12</f>
        <v>13.563752620610453</v>
      </c>
      <c r="CM57" s="21">
        <f>EXP(-LN(2)/2)*CM56+(1-EXP(-LN(2)/2))/(LN(2)/2)*CG57*CJ57*VLOOKUP('Données projet'!$B$12,Paramètres!$A$1:$I$89,3,0)*0.475*44/12</f>
        <v>5.4594447244206039</v>
      </c>
      <c r="CN57" s="22">
        <f t="shared" si="12"/>
        <v>23.849241199949436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877.69122221658085</v>
      </c>
      <c r="S58" s="59">
        <f ca="1">AVERAGE(OFFSET($R$3,0,0,'Données projet'!$E$9+1,1))-AVERAGE(OFFSET($H$3,0,0,'Données projet'!$E$9+1,1))</f>
        <v>407.05634973057056</v>
      </c>
      <c r="T58" s="59">
        <f t="shared" si="34"/>
        <v>375.32891954889965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14.073749999999997</v>
      </c>
      <c r="AI58" s="13">
        <f>IF('Données projet'!$A$62&gt;35,AI57+AH58-AQ57,IF(A58&lt;'Données projet'!$A$62,$AF$205^A58,IF(A58='Données projet'!$A$62,'Données projet'!$B$62,AI57+AH58-AQ57)))</f>
        <v>304.3587500000001</v>
      </c>
      <c r="AJ58" s="13">
        <f>AI58*VLOOKUP('Données projet'!$B$10,Paramètres!$A$1:$I$89,3,0)*VLOOKUP('Données projet'!$B$10,Paramètres!$A$1:$I$89,5,0)</f>
        <v>275.38379700000007</v>
      </c>
      <c r="AK58" s="13">
        <f t="shared" si="35"/>
        <v>65.990530656055242</v>
      </c>
      <c r="AL58" s="20">
        <f t="shared" si="4"/>
        <v>594.56028733429628</v>
      </c>
      <c r="AM58" s="59">
        <f t="shared" si="5"/>
        <v>852.88274281476765</v>
      </c>
      <c r="AN58" s="59">
        <f ca="1">AVERAGE(OFFSET($AM$3,0,0,'Données projet'!$E$10+1,1))-AVERAGE(OFFSET($H$3,0,0,'Données projet'!$E$10+1,1))</f>
        <v>737.40414421611001</v>
      </c>
      <c r="AO58" s="59">
        <f t="shared" si="36"/>
        <v>245.32893490531674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42.011953364181799</v>
      </c>
      <c r="AW58" s="21">
        <f>EXP(-LN(2)/2)*AW57+(1-EXP(-LN(2)/2))/(LN(2)/2)*AQ58*AT58*VLOOKUP('Données projet'!$B$10,Paramètres!$A$1:$I$89,3,0)*0.475*44/12</f>
        <v>2.2487676148654816</v>
      </c>
      <c r="AX58" s="21">
        <f t="shared" si="6"/>
        <v>44.260720979047278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14.12857142857143</v>
      </c>
      <c r="BD58" s="12">
        <f>IF('Données projet'!$A$88&gt;35,BD57+BC58-BL57,IF(A58&lt;'Données projet'!$A$88,$BA$205^A58,IF(A58='Données projet'!$A$88,'Données projet'!$B$88,BD57+BC58-BL57)))</f>
        <v>262.7342857142857</v>
      </c>
      <c r="BE58" s="13">
        <f>BD58*VLOOKUP('Données projet'!$B$11,Paramètres!$A$1:$I$89,3,0)*VLOOKUP('Données projet'!$B$11,Paramètres!$A$1:$I$89,5,0)</f>
        <v>221.32736228571429</v>
      </c>
      <c r="BF58" s="13">
        <f t="shared" si="37"/>
        <v>54.403280277320995</v>
      </c>
      <c r="BG58" s="20">
        <f t="shared" si="7"/>
        <v>480.23086913061974</v>
      </c>
      <c r="BH58" s="59">
        <f t="shared" si="8"/>
        <v>738.55332461109106</v>
      </c>
      <c r="BI58" s="59">
        <f ca="1">AVERAGE(OFFSET($BH$3,0,0,'Données projet'!$E$11+1,1))-AVERAGE(OFFSET($H$3,0,0,'Données projet'!$E$11+1,1))</f>
        <v>456.35333554128226</v>
      </c>
      <c r="BJ58" s="59">
        <f t="shared" si="38"/>
        <v>296.4517290984877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13.537170988613649</v>
      </c>
      <c r="BQ58" s="21">
        <f>EXP(-LN(2)/25)*BQ57+(1-EXP(-LN(2)/25))/(LN(2)/25)*Calculateur!BL58*Calculateur!BN58*VLOOKUP('Données projet'!$B$11,Paramètres!$A$1:$I$89,3,0)*0.475*44/12</f>
        <v>26.565925978213031</v>
      </c>
      <c r="BR58" s="21">
        <f>EXP(-LN(2)/2)*BR57+(1-EXP(-LN(2)/2))/(LN(2)/2)*BL58*BO58*VLOOKUP('Données projet'!$B$11,Paramètres!$A$1:$I$89,3,0)*0.475*44/12</f>
        <v>1.2161777086435495</v>
      </c>
      <c r="BS58" s="22">
        <f t="shared" si="9"/>
        <v>41.319274675470233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9.8828571428571443</v>
      </c>
      <c r="BY58" s="12">
        <f>IF('Données projet'!$A$114&gt;35,BY57+BX58-CG57,IF(A58&lt;'Données projet'!$A$114,$BV$205^A58,IF(A58='Données projet'!$A$114,'Données projet'!$B$114,BY57+BX58-CG57)))</f>
        <v>163.3185714285714</v>
      </c>
      <c r="BZ58" s="13">
        <f>BY58*VLOOKUP('Données projet'!$B$12,Paramètres!$A$1:$I$89,3,0)*VLOOKUP('Données projet'!$B$12,Paramètres!$A$1:$I$89,5,0)</f>
        <v>155.41395257142855</v>
      </c>
      <c r="CA58" s="13">
        <f t="shared" si="39"/>
        <v>39.806375365418063</v>
      </c>
      <c r="CB58" s="20">
        <f t="shared" si="10"/>
        <v>340.00873782334116</v>
      </c>
      <c r="CC58" s="59">
        <f t="shared" si="11"/>
        <v>598.3311933038126</v>
      </c>
      <c r="CD58" s="59">
        <f ca="1">AVERAGE(OFFSET($CC$3,0,0,'Données projet'!$E$12+1,1))-AVERAGE(OFFSET($H$3,0,0,'Données projet'!$E$12+1,1))</f>
        <v>486.36097333679697</v>
      </c>
      <c r="CE58" s="59">
        <f t="shared" si="40"/>
        <v>308.47736602748159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4.7314080785195252</v>
      </c>
      <c r="CL58" s="21">
        <f>EXP(-LN(2)/25)*CL57+(1-EXP(-LN(2)/25))/(LN(2)/25)*Calculateur!CG58*Calculateur!CI58*VLOOKUP('Données projet'!$B$12,Paramètres!$A$1:$I$89,3,0)*0.475*44/12</f>
        <v>13.192851091913109</v>
      </c>
      <c r="CM58" s="21">
        <f>EXP(-LN(2)/2)*CM57+(1-EXP(-LN(2)/2))/(LN(2)/2)*CG58*CJ58*VLOOKUP('Données projet'!$B$12,Paramètres!$A$1:$I$89,3,0)*0.475*44/12</f>
        <v>3.8604103861509316</v>
      </c>
      <c r="CN58" s="22">
        <f t="shared" si="12"/>
        <v>21.784669556583566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902.28312615881987</v>
      </c>
      <c r="S59" s="59">
        <f ca="1">AVERAGE(OFFSET($R$3,0,0,'Données projet'!$E$9+1,1))-AVERAGE(OFFSET($H$3,0,0,'Données projet'!$E$9+1,1))</f>
        <v>407.05634973057056</v>
      </c>
      <c r="T59" s="59">
        <f t="shared" si="34"/>
        <v>375.32891954889965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14.073749999999997</v>
      </c>
      <c r="AI59" s="13">
        <f>IF('Données projet'!$A$62&gt;35,AI58+AH59-AQ58,IF(A59&lt;'Données projet'!$A$62,$AF$205^A59,IF(A59='Données projet'!$A$62,'Données projet'!$B$62,AI58+AH59-AQ58)))</f>
        <v>318.43250000000012</v>
      </c>
      <c r="AJ59" s="13">
        <f>AI59*VLOOKUP('Données projet'!$B$10,Paramètres!$A$1:$I$89,3,0)*VLOOKUP('Données projet'!$B$10,Paramètres!$A$1:$I$89,5,0)</f>
        <v>288.11772600000012</v>
      </c>
      <c r="AK59" s="13">
        <f t="shared" si="35"/>
        <v>68.679653876016673</v>
      </c>
      <c r="AL59" s="20">
        <f t="shared" si="4"/>
        <v>621.42210328406259</v>
      </c>
      <c r="AM59" s="59">
        <f t="shared" si="5"/>
        <v>880.35191922268427</v>
      </c>
      <c r="AN59" s="59">
        <f ca="1">AVERAGE(OFFSET($AM$3,0,0,'Données projet'!$E$10+1,1))-AVERAGE(OFFSET($H$3,0,0,'Données projet'!$E$10+1,1))</f>
        <v>737.40414421611001</v>
      </c>
      <c r="AO59" s="59">
        <f t="shared" si="36"/>
        <v>245.32893490531674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40.863134290125643</v>
      </c>
      <c r="AW59" s="21">
        <f>EXP(-LN(2)/2)*AW58+(1-EXP(-LN(2)/2))/(LN(2)/2)*AQ59*AT59*VLOOKUP('Données projet'!$B$10,Paramètres!$A$1:$I$89,3,0)*0.475*44/12</f>
        <v>1.5901188297840805</v>
      </c>
      <c r="AX59" s="21">
        <f t="shared" si="6"/>
        <v>42.453253119909725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14.12857142857143</v>
      </c>
      <c r="BD59" s="12">
        <f>IF('Données projet'!$A$88&gt;35,BD58+BC59-BL58,IF(A59&lt;'Données projet'!$A$88,$BA$205^A59,IF(A59='Données projet'!$A$88,'Données projet'!$B$88,BD58+BC59-BL58)))</f>
        <v>276.86285714285714</v>
      </c>
      <c r="BE59" s="13">
        <f>BD59*VLOOKUP('Données projet'!$B$11,Paramètres!$A$1:$I$89,3,0)*VLOOKUP('Données projet'!$B$11,Paramètres!$A$1:$I$89,5,0)</f>
        <v>233.22927085714286</v>
      </c>
      <c r="BF59" s="13">
        <f t="shared" si="37"/>
        <v>56.980357782875821</v>
      </c>
      <c r="BG59" s="20">
        <f t="shared" si="7"/>
        <v>505.44843654803253</v>
      </c>
      <c r="BH59" s="59">
        <f t="shared" si="8"/>
        <v>764.37825248665422</v>
      </c>
      <c r="BI59" s="59">
        <f ca="1">AVERAGE(OFFSET($BH$3,0,0,'Données projet'!$E$11+1,1))-AVERAGE(OFFSET($H$3,0,0,'Données projet'!$E$11+1,1))</f>
        <v>456.35333554128226</v>
      </c>
      <c r="BJ59" s="59">
        <f t="shared" si="38"/>
        <v>296.4517290984877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13.271715322385942</v>
      </c>
      <c r="BQ59" s="21">
        <f>EXP(-LN(2)/25)*BQ58+(1-EXP(-LN(2)/25))/(LN(2)/25)*Calculateur!BL59*Calculateur!BN59*VLOOKUP('Données projet'!$B$11,Paramètres!$A$1:$I$89,3,0)*0.475*44/12</f>
        <v>25.839479335297465</v>
      </c>
      <c r="BR59" s="21">
        <f>EXP(-LN(2)/2)*BR58+(1-EXP(-LN(2)/2))/(LN(2)/2)*BL59*BO59*VLOOKUP('Données projet'!$B$11,Paramètres!$A$1:$I$89,3,0)*0.475*44/12</f>
        <v>0.85996750490977114</v>
      </c>
      <c r="BS59" s="22">
        <f t="shared" si="9"/>
        <v>39.971162162593174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9.8828571428571443</v>
      </c>
      <c r="BY59" s="12">
        <f>IF('Données projet'!$A$114&gt;35,BY58+BX59-CG58,IF(A59&lt;'Données projet'!$A$114,$BV$205^A59,IF(A59='Données projet'!$A$114,'Données projet'!$B$114,BY58+BX59-CG58)))</f>
        <v>173.20142857142855</v>
      </c>
      <c r="BZ59" s="13">
        <f>BY59*VLOOKUP('Données projet'!$B$12,Paramètres!$A$1:$I$89,3,0)*VLOOKUP('Données projet'!$B$12,Paramètres!$A$1:$I$89,5,0)</f>
        <v>164.81847942857141</v>
      </c>
      <c r="CA59" s="13">
        <f t="shared" si="39"/>
        <v>41.927453010205141</v>
      </c>
      <c r="CB59" s="20">
        <f t="shared" si="10"/>
        <v>360.08249899753582</v>
      </c>
      <c r="CC59" s="59">
        <f t="shared" si="11"/>
        <v>619.01231493615751</v>
      </c>
      <c r="CD59" s="59">
        <f ca="1">AVERAGE(OFFSET($CC$3,0,0,'Données projet'!$E$12+1,1))-AVERAGE(OFFSET($H$3,0,0,'Données projet'!$E$12+1,1))</f>
        <v>486.36097333679697</v>
      </c>
      <c r="CE59" s="59">
        <f t="shared" si="40"/>
        <v>308.47736602748159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4.6386280519737291</v>
      </c>
      <c r="CL59" s="21">
        <f>EXP(-LN(2)/25)*CL58+(1-EXP(-LN(2)/25))/(LN(2)/25)*Calculateur!CG59*Calculateur!CI59*VLOOKUP('Données projet'!$B$12,Paramètres!$A$1:$I$89,3,0)*0.475*44/12</f>
        <v>12.832091885022859</v>
      </c>
      <c r="CM59" s="21">
        <f>EXP(-LN(2)/2)*CM58+(1-EXP(-LN(2)/2))/(LN(2)/2)*CG59*CJ59*VLOOKUP('Données projet'!$B$12,Paramètres!$A$1:$I$89,3,0)*0.475*44/12</f>
        <v>2.7297223622103024</v>
      </c>
      <c r="CN59" s="22">
        <f t="shared" si="12"/>
        <v>20.200442299206891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813.16792585540702</v>
      </c>
      <c r="S60" s="59">
        <f ca="1">AVERAGE(OFFSET($R$3,0,0,'Données projet'!$E$9+1,1))-AVERAGE(OFFSET($H$3,0,0,'Données projet'!$E$9+1,1))</f>
        <v>407.05634973057056</v>
      </c>
      <c r="T60" s="59">
        <f t="shared" si="34"/>
        <v>375.32891954889965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14.073749999999997</v>
      </c>
      <c r="AI60" s="13">
        <f>IF('Données projet'!$A$62&gt;35,AI59+AH60-AQ59,IF(A60&lt;'Données projet'!$A$62,$AF$205^A60,IF(A60='Données projet'!$A$62,'Données projet'!$B$62,AI59+AH60-AQ59)))</f>
        <v>332.50625000000014</v>
      </c>
      <c r="AJ60" s="13">
        <f>AI60*VLOOKUP('Données projet'!$B$10,Paramètres!$A$1:$I$89,3,0)*VLOOKUP('Données projet'!$B$10,Paramètres!$A$1:$I$89,5,0)</f>
        <v>300.85165500000011</v>
      </c>
      <c r="AK60" s="13">
        <f t="shared" si="35"/>
        <v>71.354973608730333</v>
      </c>
      <c r="AL60" s="20">
        <f t="shared" si="4"/>
        <v>648.25987816020552</v>
      </c>
      <c r="AM60" s="59">
        <f t="shared" si="5"/>
        <v>907.78651821088329</v>
      </c>
      <c r="AN60" s="59">
        <f ca="1">AVERAGE(OFFSET($AM$3,0,0,'Données projet'!$E$10+1,1))-AVERAGE(OFFSET($H$3,0,0,'Données projet'!$E$10+1,1))</f>
        <v>737.40414421611001</v>
      </c>
      <c r="AO60" s="59">
        <f t="shared" si="36"/>
        <v>245.32893490531674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39.745729734063318</v>
      </c>
      <c r="AW60" s="21">
        <f>EXP(-LN(2)/2)*AW59+(1-EXP(-LN(2)/2))/(LN(2)/2)*AQ60*AT60*VLOOKUP('Données projet'!$B$10,Paramètres!$A$1:$I$89,3,0)*0.475*44/12</f>
        <v>1.1243838074327408</v>
      </c>
      <c r="AX60" s="21">
        <f t="shared" si="6"/>
        <v>40.87011354149606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14.12857142857143</v>
      </c>
      <c r="BD60" s="12">
        <f>IF('Données projet'!$A$88&gt;35,BD59+BC60-BL59,IF(A60&lt;'Données projet'!$A$88,$BA$205^A60,IF(A60='Données projet'!$A$88,'Données projet'!$B$88,BD59+BC60-BL59)))</f>
        <v>290.99142857142857</v>
      </c>
      <c r="BE60" s="13">
        <f>BD60*VLOOKUP('Données projet'!$B$11,Paramètres!$A$1:$I$89,3,0)*VLOOKUP('Données projet'!$B$11,Paramètres!$A$1:$I$89,5,0)</f>
        <v>245.13117942857144</v>
      </c>
      <c r="BF60" s="13">
        <f t="shared" si="37"/>
        <v>59.542165822606094</v>
      </c>
      <c r="BG60" s="20">
        <f t="shared" si="7"/>
        <v>530.63940964580081</v>
      </c>
      <c r="BH60" s="59">
        <f t="shared" si="8"/>
        <v>790.16604969647847</v>
      </c>
      <c r="BI60" s="59">
        <f ca="1">AVERAGE(OFFSET($BH$3,0,0,'Données projet'!$E$11+1,1))-AVERAGE(OFFSET($H$3,0,0,'Données projet'!$E$11+1,1))</f>
        <v>456.35333554128226</v>
      </c>
      <c r="BJ60" s="59">
        <f t="shared" si="38"/>
        <v>296.4517290984877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13.011465079860992</v>
      </c>
      <c r="BQ60" s="21">
        <f>EXP(-LN(2)/25)*BQ59+(1-EXP(-LN(2)/25))/(LN(2)/25)*Calculateur!BL60*Calculateur!BN60*VLOOKUP('Données projet'!$B$11,Paramètres!$A$1:$I$89,3,0)*0.475*44/12</f>
        <v>25.132897414034595</v>
      </c>
      <c r="BR60" s="21">
        <f>EXP(-LN(2)/2)*BR59+(1-EXP(-LN(2)/2))/(LN(2)/2)*BL60*BO60*VLOOKUP('Données projet'!$B$11,Paramètres!$A$1:$I$89,3,0)*0.475*44/12</f>
        <v>0.60808885432177484</v>
      </c>
      <c r="BS60" s="22">
        <f t="shared" si="9"/>
        <v>38.752451348217363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9.8828571428571443</v>
      </c>
      <c r="BY60" s="12">
        <f>IF('Données projet'!$A$114&gt;35,BY59+BX60-CG59,IF(A60&lt;'Données projet'!$A$114,$BV$205^A60,IF(A60='Données projet'!$A$114,'Données projet'!$B$114,BY59+BX60-CG59)))</f>
        <v>183.0842857142857</v>
      </c>
      <c r="BZ60" s="13">
        <f>BY60*VLOOKUP('Données projet'!$B$12,Paramètres!$A$1:$I$89,3,0)*VLOOKUP('Données projet'!$B$12,Paramètres!$A$1:$I$89,5,0)</f>
        <v>174.22300628571426</v>
      </c>
      <c r="CA60" s="13">
        <f t="shared" si="39"/>
        <v>44.034481572204157</v>
      </c>
      <c r="CB60" s="20">
        <f t="shared" si="10"/>
        <v>380.13179135254126</v>
      </c>
      <c r="CC60" s="59">
        <f t="shared" si="11"/>
        <v>639.65843140321897</v>
      </c>
      <c r="CD60" s="59">
        <f ca="1">AVERAGE(OFFSET($CC$3,0,0,'Données projet'!$E$12+1,1))-AVERAGE(OFFSET($H$3,0,0,'Données projet'!$E$12+1,1))</f>
        <v>486.36097333679697</v>
      </c>
      <c r="CE60" s="59">
        <f t="shared" si="40"/>
        <v>308.47736602748159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4.5476673851582676</v>
      </c>
      <c r="CL60" s="21">
        <f>EXP(-LN(2)/25)*CL59+(1-EXP(-LN(2)/25))/(LN(2)/25)*Calculateur!CG60*Calculateur!CI60*VLOOKUP('Données projet'!$B$12,Paramètres!$A$1:$I$89,3,0)*0.475*44/12</f>
        <v>12.481197657616525</v>
      </c>
      <c r="CM60" s="21">
        <f>EXP(-LN(2)/2)*CM59+(1-EXP(-LN(2)/2))/(LN(2)/2)*CG60*CJ60*VLOOKUP('Données projet'!$B$12,Paramètres!$A$1:$I$89,3,0)*0.475*44/12</f>
        <v>1.930205193075466</v>
      </c>
      <c r="CN60" s="22">
        <f t="shared" si="12"/>
        <v>18.959070235850259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835.74145562956278</v>
      </c>
      <c r="S61" s="59">
        <f ca="1">AVERAGE(OFFSET($R$3,0,0,'Données projet'!$E$9+1,1))-AVERAGE(OFFSET($H$3,0,0,'Données projet'!$E$9+1,1))</f>
        <v>407.05634973057056</v>
      </c>
      <c r="T61" s="59">
        <f t="shared" si="34"/>
        <v>375.32891954889965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14.073749999999997</v>
      </c>
      <c r="AH61" s="12">
        <f t="array" ref="AH61">INDEX(AG:AG,MIN(IF(ISNUMBER(AG61:AG257),ROW(AG61:AG257),"")))</f>
        <v>14.073749999999997</v>
      </c>
      <c r="AI61" s="13">
        <f>IF('Données projet'!$A$62&gt;35,AI60+AH61-AQ60,IF(A61&lt;'Données projet'!$A$62,$AF$205^A61,IF(A61='Données projet'!$A$62,'Données projet'!$B$62,AI60+AH61-AQ60)))</f>
        <v>346.58000000000015</v>
      </c>
      <c r="AJ61" s="13">
        <f>AI61*VLOOKUP('Données projet'!$B$10,Paramètres!$A$1:$I$89,3,0)*VLOOKUP('Données projet'!$B$10,Paramètres!$A$1:$I$89,5,0)</f>
        <v>313.58558400000015</v>
      </c>
      <c r="AK61" s="13">
        <f t="shared" si="35"/>
        <v>74.017140903550782</v>
      </c>
      <c r="AL61" s="20">
        <f t="shared" si="4"/>
        <v>675.07474587368461</v>
      </c>
      <c r="AM61" s="59">
        <f t="shared" si="5"/>
        <v>935.18785647237303</v>
      </c>
      <c r="AN61" s="59">
        <f ca="1">AVERAGE(OFFSET($AM$3,0,0,'Données projet'!$E$10+1,1))-AVERAGE(OFFSET($H$3,0,0,'Données projet'!$E$10+1,1))</f>
        <v>737.40414421611001</v>
      </c>
      <c r="AO61" s="59">
        <f t="shared" si="36"/>
        <v>245.32893490531674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65.819999999999993</v>
      </c>
      <c r="AR61" s="16">
        <f>IF(ISNA(VLOOKUP(A61,'Données projet'!$A$61:$I$81,5,0)),0%,VLOOKUP(A61,'Données projet'!$A$61:$I$81,5,0)*VLOOKUP('Données projet'!$B$10,Paramètres!$A$1:$I$89,7,0))</f>
        <v>0.15049999999999999</v>
      </c>
      <c r="AS61" s="16">
        <f>IF(ISNA(VLOOKUP(A61,'Données projet'!$A$61:$I$81,6,0)),0%,VLOOKUP(A61,'Données projet'!$A$61:$I$81,6,0)*VLOOKUP('Données projet'!$B$10,Paramètres!$A$1:$I$89,7,0))</f>
        <v>8.6000000000000007E-2</v>
      </c>
      <c r="AT61" s="16">
        <f>IF(ISNA(VLOOKUP(A61,'Données projet'!$A$61:$I$81,7,0)),0%,VLOOKUP(A61,'Données projet'!$A$61:$I$81,7,0))</f>
        <v>0.1</v>
      </c>
      <c r="AU61" s="21">
        <f>EXP(-LN(2)/35)*AU60+(1-EXP(-LN(2)/35))/(LN(2)/35)*AQ61*AR61*VLOOKUP('Données projet'!$B$10,Paramètres!$A$1:$I$89,3,0)*0.475*44/12</f>
        <v>9.9081843910064524</v>
      </c>
      <c r="AV61" s="21">
        <f>EXP(-LN(2)/25)*AV60+(1-EXP(-LN(2)/25))/(LN(2)/25)*Calculateur!AQ61*Calculateur!AS61*VLOOKUP('Données projet'!$B$10,Paramètres!$A$1:$I$89,3,0)*0.475*44/12</f>
        <v>44.298407575059599</v>
      </c>
      <c r="AW61" s="21">
        <f>EXP(-LN(2)/2)*AW60+(1-EXP(-LN(2)/2))/(LN(2)/2)*AQ61*AT61*VLOOKUP('Données projet'!$B$10,Paramètres!$A$1:$I$89,3,0)*0.475*44/12</f>
        <v>6.414133563560716</v>
      </c>
      <c r="AX61" s="21">
        <f t="shared" si="6"/>
        <v>60.620725529626768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305.12</v>
      </c>
      <c r="BB61" s="12">
        <f>VLOOKUP(A61,'Données projet'!$A$87:$I$107,9,0)</f>
        <v>14.12857142857143</v>
      </c>
      <c r="BC61" s="12">
        <f t="array" ref="BC61">INDEX(BB:BB,MIN(IF(ISNUMBER(BB61:BB257),ROW(BB61:BB257),"")))</f>
        <v>14.12857142857143</v>
      </c>
      <c r="BD61" s="12">
        <f>IF('Données projet'!$A$88&gt;35,BD60+BC61-BL60,IF(A61&lt;'Données projet'!$A$88,$BA$205^A61,IF(A61='Données projet'!$A$88,'Données projet'!$B$88,BD60+BC61-BL60)))</f>
        <v>305.12</v>
      </c>
      <c r="BE61" s="13">
        <f>BD61*VLOOKUP('Données projet'!$B$11,Paramètres!$A$1:$I$89,3,0)*VLOOKUP('Données projet'!$B$11,Paramètres!$A$1:$I$89,5,0)</f>
        <v>257.03308800000002</v>
      </c>
      <c r="BF61" s="13">
        <f t="shared" si="37"/>
        <v>62.08953040488894</v>
      </c>
      <c r="BG61" s="20">
        <f t="shared" si="7"/>
        <v>555.8052270551816</v>
      </c>
      <c r="BH61" s="59">
        <f t="shared" si="8"/>
        <v>815.91833765387003</v>
      </c>
      <c r="BI61" s="59">
        <f ca="1">AVERAGE(OFFSET($BH$3,0,0,'Données projet'!$E$11+1,1))-AVERAGE(OFFSET($H$3,0,0,'Données projet'!$E$11+1,1))</f>
        <v>456.35333554128226</v>
      </c>
      <c r="BJ61" s="59">
        <f t="shared" si="38"/>
        <v>296.4517290984877</v>
      </c>
      <c r="BK61" s="15">
        <f>IF(ISNA(VLOOKUP(A61,'Données projet'!$A$87:$I$107,3,0)),0,VLOOKUP(A61,'Données projet'!$A$87:$I$107,3,0))</f>
        <v>5</v>
      </c>
      <c r="BL61" s="15">
        <f>IF(ISNA(VLOOKUP(A61,'Données projet'!$A$87:$I$107,4,0)),0,VLOOKUP(A61,'Données projet'!$A$87:$I$107,4,0))</f>
        <v>53.97</v>
      </c>
      <c r="BM61" s="16">
        <f>IF(ISNA(VLOOKUP(A61,'Données projet'!$A$87:$I$107,5,0)),0%,VLOOKUP(A61,'Données projet'!$A$87:$I$107,5,0)*VLOOKUP('Données projet'!$B$11,Paramètres!$A$1:$I$89,7,0))</f>
        <v>0.15049999999999999</v>
      </c>
      <c r="BN61" s="16">
        <f>IF(ISNA(VLOOKUP(A61,'Données projet'!$A$87:$I$107,6,0)),0%,VLOOKUP(A61,'Données projet'!$A$87:$I$107,6,0)*VLOOKUP('Données projet'!$B$11,Paramètres!$A$1:$I$89,7,0))</f>
        <v>8.6000000000000007E-2</v>
      </c>
      <c r="BO61" s="16">
        <f>IF(ISNA(VLOOKUP(A61,'Données projet'!$A$87:$I$107,7,0)),0%,VLOOKUP(A61,'Données projet'!$A$87:$I$107,7,0))</f>
        <v>0.1</v>
      </c>
      <c r="BP61" s="21">
        <f>EXP(-LN(2)/35)*BP60+(1-EXP(-LN(2)/35))/(LN(2)/35)*BL61*BM61*VLOOKUP('Données projet'!$B$11,Paramètres!$A$1:$I$89,3,0)*0.475*44/12</f>
        <v>20.320368109225246</v>
      </c>
      <c r="BQ61" s="21">
        <f>EXP(-LN(2)/25)*BQ60+(1-EXP(-LN(2)/25))/(LN(2)/25)*Calculateur!BL61*Calculateur!BN61*VLOOKUP('Données projet'!$B$11,Paramètres!$A$1:$I$89,3,0)*0.475*44/12</f>
        <v>28.750932656390745</v>
      </c>
      <c r="BR61" s="21">
        <f>EXP(-LN(2)/2)*BR60+(1-EXP(-LN(2)/2))/(LN(2)/2)*BL61*BO61*VLOOKUP('Données projet'!$B$11,Paramètres!$A$1:$I$89,3,0)*0.475*44/12</f>
        <v>4.7196654646996219</v>
      </c>
      <c r="BS61" s="22">
        <f t="shared" si="9"/>
        <v>53.790966230315611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9.8828571428571443</v>
      </c>
      <c r="BY61" s="12">
        <f>IF('Données projet'!$A$114&gt;35,BY60+BX61-CG60,IF(A61&lt;'Données projet'!$A$114,$BV$205^A61,IF(A61='Données projet'!$A$114,'Données projet'!$B$114,BY60+BX61-CG60)))</f>
        <v>192.96714285714285</v>
      </c>
      <c r="BZ61" s="13">
        <f>BY61*VLOOKUP('Données projet'!$B$12,Paramètres!$A$1:$I$89,3,0)*VLOOKUP('Données projet'!$B$12,Paramètres!$A$1:$I$89,5,0)</f>
        <v>183.62753314285715</v>
      </c>
      <c r="CA61" s="13">
        <f t="shared" si="39"/>
        <v>46.128305880116194</v>
      </c>
      <c r="CB61" s="20">
        <f t="shared" si="10"/>
        <v>400.15808629834527</v>
      </c>
      <c r="CC61" s="59">
        <f t="shared" si="11"/>
        <v>660.27119689703363</v>
      </c>
      <c r="CD61" s="59">
        <f ca="1">AVERAGE(OFFSET($CC$3,0,0,'Données projet'!$E$12+1,1))-AVERAGE(OFFSET($H$3,0,0,'Données projet'!$E$12+1,1))</f>
        <v>486.36097333679697</v>
      </c>
      <c r="CE61" s="59">
        <f t="shared" si="40"/>
        <v>308.47736602748159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4.4584904015385289</v>
      </c>
      <c r="CL61" s="21">
        <f>EXP(-LN(2)/25)*CL60+(1-EXP(-LN(2)/25))/(LN(2)/25)*Calculateur!CG61*Calculateur!CI61*VLOOKUP('Données projet'!$B$12,Paramètres!$A$1:$I$89,3,0)*0.475*44/12</f>
        <v>12.139898651311341</v>
      </c>
      <c r="CM61" s="21">
        <f>EXP(-LN(2)/2)*CM60+(1-EXP(-LN(2)/2))/(LN(2)/2)*CG61*CJ61*VLOOKUP('Données projet'!$B$12,Paramètres!$A$1:$I$89,3,0)*0.475*44/12</f>
        <v>1.3648611811051514</v>
      </c>
      <c r="CN61" s="22">
        <f t="shared" si="12"/>
        <v>17.963250233955023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858.28728838389293</v>
      </c>
      <c r="S62" s="59">
        <f ca="1">AVERAGE(OFFSET($R$3,0,0,'Données projet'!$E$9+1,1))-AVERAGE(OFFSET($H$3,0,0,'Données projet'!$E$9+1,1))</f>
        <v>407.05634973057056</v>
      </c>
      <c r="T62" s="59">
        <f t="shared" si="34"/>
        <v>375.32891954889965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13.520000000000003</v>
      </c>
      <c r="AI62" s="13">
        <f>IF('Données projet'!$A$62&gt;35,AI61+AH62-AQ61,IF(A62&lt;'Données projet'!$A$62,$AF$205^A62,IF(A62='Données projet'!$A$62,'Données projet'!$B$62,AI61+AH62-AQ61)))</f>
        <v>294.28000000000014</v>
      </c>
      <c r="AJ62" s="13">
        <f>AI62*VLOOKUP('Données projet'!$B$10,Paramètres!$A$1:$I$89,3,0)*VLOOKUP('Données projet'!$B$10,Paramètres!$A$1:$I$89,5,0)</f>
        <v>266.26454400000011</v>
      </c>
      <c r="AK62" s="13">
        <f t="shared" si="35"/>
        <v>64.055869609957142</v>
      </c>
      <c r="AL62" s="20">
        <f t="shared" si="4"/>
        <v>575.30805370400878</v>
      </c>
      <c r="AM62" s="59">
        <f t="shared" si="5"/>
        <v>835.99746089785162</v>
      </c>
      <c r="AN62" s="59">
        <f ca="1">AVERAGE(OFFSET($AM$3,0,0,'Données projet'!$E$10+1,1))-AVERAGE(OFFSET($H$3,0,0,'Données projet'!$E$10+1,1))</f>
        <v>737.40414421611001</v>
      </c>
      <c r="AO62" s="59">
        <f t="shared" si="36"/>
        <v>245.32893490531674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9.7138909384945578</v>
      </c>
      <c r="AV62" s="21">
        <f>EXP(-LN(2)/25)*AV61+(1-EXP(-LN(2)/25))/(LN(2)/25)*Calculateur!AQ62*Calculateur!AS62*VLOOKUP('Données projet'!$B$10,Paramètres!$A$1:$I$89,3,0)*0.475*44/12</f>
        <v>43.087065290367583</v>
      </c>
      <c r="AW62" s="21">
        <f>EXP(-LN(2)/2)*AW61+(1-EXP(-LN(2)/2))/(LN(2)/2)*AQ62*AT62*VLOOKUP('Données projet'!$B$10,Paramètres!$A$1:$I$89,3,0)*0.475*44/12</f>
        <v>4.5354773382300175</v>
      </c>
      <c r="AX62" s="21">
        <f t="shared" si="6"/>
        <v>57.336433567092158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13.839999999999995</v>
      </c>
      <c r="BD62" s="12">
        <f>IF('Données projet'!$A$88&gt;35,BD61+BC62-BL61,IF(A62&lt;'Données projet'!$A$88,$BA$205^A62,IF(A62='Données projet'!$A$88,'Données projet'!$B$88,BD61+BC62-BL61)))</f>
        <v>264.99</v>
      </c>
      <c r="BE62" s="13">
        <f>BD62*VLOOKUP('Données projet'!$B$11,Paramètres!$A$1:$I$89,3,0)*VLOOKUP('Données projet'!$B$11,Paramètres!$A$1:$I$89,5,0)</f>
        <v>223.22757600000003</v>
      </c>
      <c r="BF62" s="13">
        <f t="shared" si="37"/>
        <v>54.815787695087607</v>
      </c>
      <c r="BG62" s="20">
        <f t="shared" si="7"/>
        <v>484.25885843561099</v>
      </c>
      <c r="BH62" s="59">
        <f t="shared" si="8"/>
        <v>744.94826562945377</v>
      </c>
      <c r="BI62" s="59">
        <f ca="1">AVERAGE(OFFSET($BH$3,0,0,'Données projet'!$E$11+1,1))-AVERAGE(OFFSET($H$3,0,0,'Données projet'!$E$11+1,1))</f>
        <v>456.35333554128226</v>
      </c>
      <c r="BJ62" s="59">
        <f t="shared" si="38"/>
        <v>296.4517290984877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19.921898084804059</v>
      </c>
      <c r="BQ62" s="21">
        <f>EXP(-LN(2)/25)*BQ61+(1-EXP(-LN(2)/25))/(LN(2)/25)*Calculateur!BL62*Calculateur!BN62*VLOOKUP('Données projet'!$B$11,Paramètres!$A$1:$I$89,3,0)*0.475*44/12</f>
        <v>27.964736890955901</v>
      </c>
      <c r="BR62" s="21">
        <f>EXP(-LN(2)/2)*BR61+(1-EXP(-LN(2)/2))/(LN(2)/2)*BL62*BO62*VLOOKUP('Données projet'!$B$11,Paramètres!$A$1:$I$89,3,0)*0.475*44/12</f>
        <v>3.3373074550210609</v>
      </c>
      <c r="BS62" s="22">
        <f t="shared" si="9"/>
        <v>51.223942430781022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202.85</v>
      </c>
      <c r="BW62" s="12">
        <f>VLOOKUP(A62,'Données projet'!$A$113:$I$133,9,0)</f>
        <v>9.8828571428571443</v>
      </c>
      <c r="BX62" s="12">
        <f t="array" ref="BX62">INDEX(BW:BW,MIN(IF(ISNUMBER(BW62:BW258),ROW(BW62:BW258),"")))</f>
        <v>9.8828571428571443</v>
      </c>
      <c r="BY62" s="12">
        <f>IF('Données projet'!$A$114&gt;35,BY61+BX62-CG61,IF(A62&lt;'Données projet'!$A$114,$BV$205^A62,IF(A62='Données projet'!$A$114,'Données projet'!$B$114,BY61+BX62-CG61)))</f>
        <v>202.85</v>
      </c>
      <c r="BZ62" s="13">
        <f>BY62*VLOOKUP('Données projet'!$B$12,Paramètres!$A$1:$I$89,3,0)*VLOOKUP('Données projet'!$B$12,Paramètres!$A$1:$I$89,5,0)</f>
        <v>193.03206</v>
      </c>
      <c r="CA62" s="13">
        <f t="shared" si="39"/>
        <v>48.20967933854056</v>
      </c>
      <c r="CB62" s="20">
        <f t="shared" si="10"/>
        <v>420.16269601462477</v>
      </c>
      <c r="CC62" s="59">
        <f t="shared" si="11"/>
        <v>680.8521032084675</v>
      </c>
      <c r="CD62" s="59">
        <f ca="1">AVERAGE(OFFSET($CC$3,0,0,'Données projet'!$E$12+1,1))-AVERAGE(OFFSET($H$3,0,0,'Données projet'!$E$12+1,1))</f>
        <v>486.36097333679697</v>
      </c>
      <c r="CE62" s="59">
        <f t="shared" si="40"/>
        <v>308.47736602748159</v>
      </c>
      <c r="CF62" s="15">
        <f>IF(ISNA(VLOOKUP(A62,'Données projet'!$A$113:$I$133,3,0)),0,VLOOKUP(A62,'Données projet'!$A$113:$I$133,3,0))</f>
        <v>4</v>
      </c>
      <c r="CG62" s="15">
        <f>IF(ISNA(VLOOKUP(A62,'Données projet'!$A$113:$I$133,4,0)),0,VLOOKUP(A62,'Données projet'!$A$113:$I$133,4,0))</f>
        <v>41.81</v>
      </c>
      <c r="CH62" s="16">
        <f>IF(ISNA(VLOOKUP(A62,'Données projet'!$A$113:$I$133,5,0)),0%,VLOOKUP(A62,'Données projet'!$A$113:$I$133,5,0)*VLOOKUP('Données projet'!$B$12,Paramètres!$A$1:$I$89,7,0))</f>
        <v>0.1075</v>
      </c>
      <c r="CI62" s="16">
        <f>IF(ISNA(VLOOKUP(A62,'Données projet'!$A$113:$I$133,6,0)),0%,VLOOKUP(A62,'Données projet'!$A$113:$I$133,6,0)*VLOOKUP('Données projet'!$B$12,Paramètres!$A$1:$I$89,7,0))</f>
        <v>0.1075</v>
      </c>
      <c r="CJ62" s="16">
        <f>IF(ISNA(VLOOKUP(A62,'Données projet'!$A$113:$I$133,7,0)),0%,VLOOKUP(A62,'Données projet'!$A$113:$I$133,7,0))</f>
        <v>0.25</v>
      </c>
      <c r="CK62" s="21">
        <f>EXP(-LN(2)/35)*CK61+(1-EXP(-LN(2)/35))/(LN(2)/35)*CG62*CH62*VLOOKUP('Données projet'!$B$12,Paramètres!$A$1:$I$89,3,0)*0.475*44/12</f>
        <v>9.0992004699595697</v>
      </c>
      <c r="CL62" s="21">
        <f>EXP(-LN(2)/25)*CL61+(1-EXP(-LN(2)/25))/(LN(2)/25)*Calculateur!CG62*Calculateur!CI62*VLOOKUP('Données projet'!$B$12,Paramètres!$A$1:$I$89,3,0)*0.475*44/12</f>
        <v>16.517454347836992</v>
      </c>
      <c r="CM62" s="21">
        <f>EXP(-LN(2)/2)*CM61+(1-EXP(-LN(2)/2))/(LN(2)/2)*CG62*CJ62*VLOOKUP('Données projet'!$B$12,Paramètres!$A$1:$I$89,3,0)*0.475*44/12</f>
        <v>10.349986461824772</v>
      </c>
      <c r="CN62" s="22">
        <f t="shared" si="12"/>
        <v>35.966641279621335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880.8063348075284</v>
      </c>
      <c r="S63" s="59">
        <f ca="1">AVERAGE(OFFSET($R$3,0,0,'Données projet'!$E$9+1,1))-AVERAGE(OFFSET($H$3,0,0,'Données projet'!$E$9+1,1))</f>
        <v>407.05634973057056</v>
      </c>
      <c r="T63" s="59">
        <f t="shared" si="34"/>
        <v>375.32891954889965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13.520000000000003</v>
      </c>
      <c r="AI63" s="13">
        <f>IF('Données projet'!$A$62&gt;35,AI62+AH63-AQ62,IF(A63&lt;'Données projet'!$A$62,$AF$205^A63,IF(A63='Données projet'!$A$62,'Données projet'!$B$62,AI62+AH63-AQ62)))</f>
        <v>307.80000000000013</v>
      </c>
      <c r="AJ63" s="13">
        <f>AI63*VLOOKUP('Données projet'!$B$10,Paramètres!$A$1:$I$89,3,0)*VLOOKUP('Données projet'!$B$10,Paramètres!$A$1:$I$89,5,0)</f>
        <v>278.4974400000001</v>
      </c>
      <c r="AK63" s="13">
        <f t="shared" si="35"/>
        <v>66.649375389445709</v>
      </c>
      <c r="AL63" s="20">
        <f t="shared" si="4"/>
        <v>601.13070346995141</v>
      </c>
      <c r="AM63" s="59">
        <f t="shared" si="5"/>
        <v>862.38640980142895</v>
      </c>
      <c r="AN63" s="59">
        <f ca="1">AVERAGE(OFFSET($AM$3,0,0,'Données projet'!$E$10+1,1))-AVERAGE(OFFSET($H$3,0,0,'Données projet'!$E$10+1,1))</f>
        <v>737.40414421611001</v>
      </c>
      <c r="AO63" s="59">
        <f t="shared" si="36"/>
        <v>245.32893490531674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9.5234074620791187</v>
      </c>
      <c r="AV63" s="21">
        <f>EXP(-LN(2)/25)*AV62+(1-EXP(-LN(2)/25))/(LN(2)/25)*Calculateur!AQ63*Calculateur!AS63*VLOOKUP('Données projet'!$B$10,Paramètres!$A$1:$I$89,3,0)*0.475*44/12</f>
        <v>41.908847224152197</v>
      </c>
      <c r="AW63" s="21">
        <f>EXP(-LN(2)/2)*AW62+(1-EXP(-LN(2)/2))/(LN(2)/2)*AQ63*AT63*VLOOKUP('Données projet'!$B$10,Paramètres!$A$1:$I$89,3,0)*0.475*44/12</f>
        <v>3.2070667817803584</v>
      </c>
      <c r="AX63" s="21">
        <f t="shared" si="6"/>
        <v>54.639321468011673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13.839999999999995</v>
      </c>
      <c r="BD63" s="12">
        <f>IF('Données projet'!$A$88&gt;35,BD62+BC63-BL62,IF(A63&lt;'Données projet'!$A$88,$BA$205^A63,IF(A63='Données projet'!$A$88,'Données projet'!$B$88,BD62+BC63-BL62)))</f>
        <v>278.83</v>
      </c>
      <c r="BE63" s="13">
        <f>BD63*VLOOKUP('Données projet'!$B$11,Paramètres!$A$1:$I$89,3,0)*VLOOKUP('Données projet'!$B$11,Paramètres!$A$1:$I$89,5,0)</f>
        <v>234.886392</v>
      </c>
      <c r="BF63" s="13">
        <f t="shared" si="37"/>
        <v>57.337937544532004</v>
      </c>
      <c r="BG63" s="20">
        <f t="shared" si="7"/>
        <v>508.95737395672654</v>
      </c>
      <c r="BH63" s="59">
        <f t="shared" si="8"/>
        <v>770.21308028820408</v>
      </c>
      <c r="BI63" s="59">
        <f ca="1">AVERAGE(OFFSET($BH$3,0,0,'Données projet'!$E$11+1,1))-AVERAGE(OFFSET($H$3,0,0,'Données projet'!$E$11+1,1))</f>
        <v>456.35333554128226</v>
      </c>
      <c r="BJ63" s="59">
        <f t="shared" si="38"/>
        <v>296.4517290984877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19.531241814519056</v>
      </c>
      <c r="BQ63" s="21">
        <f>EXP(-LN(2)/25)*BQ62+(1-EXP(-LN(2)/25))/(LN(2)/25)*Calculateur!BL63*Calculateur!BN63*VLOOKUP('Données projet'!$B$11,Paramètres!$A$1:$I$89,3,0)*0.475*44/12</f>
        <v>27.200039690071112</v>
      </c>
      <c r="BR63" s="21">
        <f>EXP(-LN(2)/2)*BR62+(1-EXP(-LN(2)/2))/(LN(2)/2)*BL63*BO63*VLOOKUP('Données projet'!$B$11,Paramètres!$A$1:$I$89,3,0)*0.475*44/12</f>
        <v>2.3598327323498114</v>
      </c>
      <c r="BS63" s="22">
        <f t="shared" si="9"/>
        <v>49.09111423693998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9.7525000000000013</v>
      </c>
      <c r="BY63" s="12">
        <f>IF('Données projet'!$A$114&gt;35,BY62+BX63-CG62,IF(A63&lt;'Données projet'!$A$114,$BV$205^A63,IF(A63='Données projet'!$A$114,'Données projet'!$B$114,BY62+BX63-CG62)))</f>
        <v>170.79249999999999</v>
      </c>
      <c r="BZ63" s="13">
        <f>BY63*VLOOKUP('Données projet'!$B$12,Paramètres!$A$1:$I$89,3,0)*VLOOKUP('Données projet'!$B$12,Paramètres!$A$1:$I$89,5,0)</f>
        <v>162.52614299999999</v>
      </c>
      <c r="CA63" s="13">
        <f t="shared" si="39"/>
        <v>41.411773501591178</v>
      </c>
      <c r="CB63" s="20">
        <f t="shared" si="10"/>
        <v>355.19187124027127</v>
      </c>
      <c r="CC63" s="59">
        <f t="shared" si="11"/>
        <v>616.44757757174875</v>
      </c>
      <c r="CD63" s="59">
        <f ca="1">AVERAGE(OFFSET($CC$3,0,0,'Données projet'!$E$12+1,1))-AVERAGE(OFFSET($H$3,0,0,'Données projet'!$E$12+1,1))</f>
        <v>486.36097333679697</v>
      </c>
      <c r="CE63" s="59">
        <f t="shared" si="40"/>
        <v>308.47736602748159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8.9207706987079352</v>
      </c>
      <c r="CL63" s="21">
        <f>EXP(-LN(2)/25)*CL62+(1-EXP(-LN(2)/25))/(LN(2)/25)*Calculateur!CG63*Calculateur!CI63*VLOOKUP('Données projet'!$B$12,Paramètres!$A$1:$I$89,3,0)*0.475*44/12</f>
        <v>16.065783690080217</v>
      </c>
      <c r="CM63" s="21">
        <f>EXP(-LN(2)/2)*CM62+(1-EXP(-LN(2)/2))/(LN(2)/2)*CG63*CJ63*VLOOKUP('Données projet'!$B$12,Paramètres!$A$1:$I$89,3,0)*0.475*44/12</f>
        <v>7.3185456123452584</v>
      </c>
      <c r="CN63" s="22">
        <f t="shared" si="12"/>
        <v>32.305100001133411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903.29944630950365</v>
      </c>
      <c r="S64" s="59">
        <f ca="1">AVERAGE(OFFSET($R$3,0,0,'Données projet'!$E$9+1,1))-AVERAGE(OFFSET($H$3,0,0,'Données projet'!$E$9+1,1))</f>
        <v>407.05634973057056</v>
      </c>
      <c r="T64" s="59">
        <f t="shared" si="34"/>
        <v>375.32891954889965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13.520000000000003</v>
      </c>
      <c r="AI64" s="13">
        <f>IF('Données projet'!$A$62&gt;35,AI63+AH64-AQ63,IF(A64&lt;'Données projet'!$A$62,$AF$205^A64,IF(A64='Données projet'!$A$62,'Données projet'!$B$62,AI63+AH64-AQ63)))</f>
        <v>321.32000000000011</v>
      </c>
      <c r="AJ64" s="13">
        <f>AI64*VLOOKUP('Données projet'!$B$10,Paramètres!$A$1:$I$89,3,0)*VLOOKUP('Données projet'!$B$10,Paramètres!$A$1:$I$89,5,0)</f>
        <v>290.73033600000008</v>
      </c>
      <c r="AK64" s="13">
        <f t="shared" si="35"/>
        <v>69.229650371802393</v>
      </c>
      <c r="AL64" s="20">
        <f t="shared" si="4"/>
        <v>626.93030959755595</v>
      </c>
      <c r="AM64" s="59">
        <f t="shared" si="5"/>
        <v>888.74249104268529</v>
      </c>
      <c r="AN64" s="59">
        <f ca="1">AVERAGE(OFFSET($AM$3,0,0,'Données projet'!$E$10+1,1))-AVERAGE(OFFSET($H$3,0,0,'Données projet'!$E$10+1,1))</f>
        <v>737.40414421611001</v>
      </c>
      <c r="AO64" s="59">
        <f t="shared" si="36"/>
        <v>245.32893490531674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9.3366592504527368</v>
      </c>
      <c r="AV64" s="21">
        <f>EXP(-LN(2)/25)*AV63+(1-EXP(-LN(2)/25))/(LN(2)/25)*Calculateur!AQ64*Calculateur!AS64*VLOOKUP('Données projet'!$B$10,Paramètres!$A$1:$I$89,3,0)*0.475*44/12</f>
        <v>40.762847592917261</v>
      </c>
      <c r="AW64" s="21">
        <f>EXP(-LN(2)/2)*AW63+(1-EXP(-LN(2)/2))/(LN(2)/2)*AQ64*AT64*VLOOKUP('Données projet'!$B$10,Paramètres!$A$1:$I$89,3,0)*0.475*44/12</f>
        <v>2.2677386691150092</v>
      </c>
      <c r="AX64" s="21">
        <f t="shared" si="6"/>
        <v>52.367245512485006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13.839999999999995</v>
      </c>
      <c r="BD64" s="12">
        <f>IF('Données projet'!$A$88&gt;35,BD63+BC64-BL63,IF(A64&lt;'Données projet'!$A$88,$BA$205^A64,IF(A64='Données projet'!$A$88,'Données projet'!$B$88,BD63+BC64-BL63)))</f>
        <v>292.66999999999996</v>
      </c>
      <c r="BE64" s="13">
        <f>BD64*VLOOKUP('Données projet'!$B$11,Paramètres!$A$1:$I$89,3,0)*VLOOKUP('Données projet'!$B$11,Paramètres!$A$1:$I$89,5,0)</f>
        <v>246.545208</v>
      </c>
      <c r="BF64" s="13">
        <f t="shared" si="37"/>
        <v>59.845551063630701</v>
      </c>
      <c r="BG64" s="20">
        <f t="shared" si="7"/>
        <v>533.63057203582343</v>
      </c>
      <c r="BH64" s="59">
        <f t="shared" si="8"/>
        <v>795.44275348095277</v>
      </c>
      <c r="BI64" s="59">
        <f ca="1">AVERAGE(OFFSET($BH$3,0,0,'Données projet'!$E$11+1,1))-AVERAGE(OFFSET($H$3,0,0,'Données projet'!$E$11+1,1))</f>
        <v>456.35333554128226</v>
      </c>
      <c r="BJ64" s="59">
        <f t="shared" si="38"/>
        <v>296.4517290984877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19.148246075417546</v>
      </c>
      <c r="BQ64" s="21">
        <f>EXP(-LN(2)/25)*BQ63+(1-EXP(-LN(2)/25))/(LN(2)/25)*Calculateur!BL64*Calculateur!BN64*VLOOKUP('Données projet'!$B$11,Paramètres!$A$1:$I$89,3,0)*0.475*44/12</f>
        <v>26.456253174358196</v>
      </c>
      <c r="BR64" s="21">
        <f>EXP(-LN(2)/2)*BR63+(1-EXP(-LN(2)/2))/(LN(2)/2)*BL64*BO64*VLOOKUP('Données projet'!$B$11,Paramètres!$A$1:$I$89,3,0)*0.475*44/12</f>
        <v>1.6686537275105309</v>
      </c>
      <c r="BS64" s="22">
        <f t="shared" si="9"/>
        <v>47.273152977286273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9.7525000000000013</v>
      </c>
      <c r="BY64" s="12">
        <f>IF('Données projet'!$A$114&gt;35,BY63+BX64-CG63,IF(A64&lt;'Données projet'!$A$114,$BV$205^A64,IF(A64='Données projet'!$A$114,'Données projet'!$B$114,BY63+BX64-CG63)))</f>
        <v>180.54499999999999</v>
      </c>
      <c r="BZ64" s="13">
        <f>BY64*VLOOKUP('Données projet'!$B$12,Paramètres!$A$1:$I$89,3,0)*VLOOKUP('Données projet'!$B$12,Paramètres!$A$1:$I$89,5,0)</f>
        <v>171.806622</v>
      </c>
      <c r="CA64" s="13">
        <f t="shared" si="39"/>
        <v>43.494397538625861</v>
      </c>
      <c r="CB64" s="20">
        <f t="shared" si="10"/>
        <v>374.98260902977336</v>
      </c>
      <c r="CC64" s="59">
        <f t="shared" si="11"/>
        <v>636.7947904749027</v>
      </c>
      <c r="CD64" s="59">
        <f ca="1">AVERAGE(OFFSET($CC$3,0,0,'Données projet'!$E$12+1,1))-AVERAGE(OFFSET($H$3,0,0,'Données projet'!$E$12+1,1))</f>
        <v>486.36097333679697</v>
      </c>
      <c r="CE64" s="59">
        <f t="shared" si="40"/>
        <v>308.47736602748159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8.7458398264391324</v>
      </c>
      <c r="CL64" s="21">
        <f>EXP(-LN(2)/25)*CL63+(1-EXP(-LN(2)/25))/(LN(2)/25)*Calculateur!CG64*Calculateur!CI64*VLOOKUP('Données projet'!$B$12,Paramètres!$A$1:$I$89,3,0)*0.475*44/12</f>
        <v>15.626463990212129</v>
      </c>
      <c r="CM64" s="21">
        <f>EXP(-LN(2)/2)*CM63+(1-EXP(-LN(2)/2))/(LN(2)/2)*CG64*CJ64*VLOOKUP('Données projet'!$B$12,Paramètres!$A$1:$I$89,3,0)*0.475*44/12</f>
        <v>5.1749932309123867</v>
      </c>
      <c r="CN64" s="22">
        <f t="shared" si="12"/>
        <v>29.547297047563646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925.76742119041478</v>
      </c>
      <c r="S65" s="59">
        <f ca="1">AVERAGE(OFFSET($R$3,0,0,'Données projet'!$E$9+1,1))-AVERAGE(OFFSET($H$3,0,0,'Données projet'!$E$9+1,1))</f>
        <v>407.05634973057056</v>
      </c>
      <c r="T65" s="59">
        <f t="shared" si="34"/>
        <v>375.32891954889965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13.520000000000003</v>
      </c>
      <c r="AI65" s="13">
        <f>IF('Données projet'!$A$62&gt;35,AI64+AH65-AQ64,IF(A65&lt;'Données projet'!$A$62,$AF$205^A65,IF(A65='Données projet'!$A$62,'Données projet'!$B$62,AI64+AH65-AQ64)))</f>
        <v>334.84000000000009</v>
      </c>
      <c r="AJ65" s="13">
        <f>AI65*VLOOKUP('Données projet'!$B$10,Paramètres!$A$1:$I$89,3,0)*VLOOKUP('Données projet'!$B$10,Paramètres!$A$1:$I$89,5,0)</f>
        <v>302.96323200000006</v>
      </c>
      <c r="AK65" s="13">
        <f t="shared" si="35"/>
        <v>71.797314916159678</v>
      </c>
      <c r="AL65" s="20">
        <f t="shared" si="4"/>
        <v>652.70795254564484</v>
      </c>
      <c r="AM65" s="59">
        <f t="shared" si="5"/>
        <v>915.06695550529616</v>
      </c>
      <c r="AN65" s="59">
        <f ca="1">AVERAGE(OFFSET($AM$3,0,0,'Données projet'!$E$10+1,1))-AVERAGE(OFFSET($H$3,0,0,'Données projet'!$E$10+1,1))</f>
        <v>737.40414421611001</v>
      </c>
      <c r="AO65" s="59">
        <f t="shared" si="36"/>
        <v>245.32893490531674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9.1535730573511866</v>
      </c>
      <c r="AV65" s="21">
        <f>EXP(-LN(2)/25)*AV64+(1-EXP(-LN(2)/25))/(LN(2)/25)*Calculateur!AQ65*Calculateur!AS65*VLOOKUP('Données projet'!$B$10,Paramètres!$A$1:$I$89,3,0)*0.475*44/12</f>
        <v>39.648185381863946</v>
      </c>
      <c r="AW65" s="21">
        <f>EXP(-LN(2)/2)*AW64+(1-EXP(-LN(2)/2))/(LN(2)/2)*AQ65*AT65*VLOOKUP('Données projet'!$B$10,Paramètres!$A$1:$I$89,3,0)*0.475*44/12</f>
        <v>1.6035333908901794</v>
      </c>
      <c r="AX65" s="21">
        <f t="shared" si="6"/>
        <v>50.405291830105313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13.839999999999995</v>
      </c>
      <c r="BD65" s="12">
        <f>IF('Données projet'!$A$88&gt;35,BD64+BC65-BL64,IF(A65&lt;'Données projet'!$A$88,$BA$205^A65,IF(A65='Données projet'!$A$88,'Données projet'!$B$88,BD64+BC65-BL64)))</f>
        <v>306.50999999999993</v>
      </c>
      <c r="BE65" s="13">
        <f>BD65*VLOOKUP('Données projet'!$B$11,Paramètres!$A$1:$I$89,3,0)*VLOOKUP('Données projet'!$B$11,Paramètres!$A$1:$I$89,5,0)</f>
        <v>258.20402399999995</v>
      </c>
      <c r="BF65" s="13">
        <f t="shared" si="37"/>
        <v>62.339394146915183</v>
      </c>
      <c r="BG65" s="20">
        <f t="shared" si="7"/>
        <v>558.27978660587723</v>
      </c>
      <c r="BH65" s="59">
        <f t="shared" si="8"/>
        <v>820.63878956552855</v>
      </c>
      <c r="BI65" s="59">
        <f ca="1">AVERAGE(OFFSET($BH$3,0,0,'Données projet'!$E$11+1,1))-AVERAGE(OFFSET($H$3,0,0,'Données projet'!$E$11+1,1))</f>
        <v>456.35333554128226</v>
      </c>
      <c r="BJ65" s="59">
        <f t="shared" si="38"/>
        <v>296.4517290984877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18.772760649155483</v>
      </c>
      <c r="BQ65" s="21">
        <f>EXP(-LN(2)/25)*BQ64+(1-EXP(-LN(2)/25))/(LN(2)/25)*Calculateur!BL65*Calculateur!BN65*VLOOKUP('Données projet'!$B$11,Paramètres!$A$1:$I$89,3,0)*0.475*44/12</f>
        <v>25.732805540031482</v>
      </c>
      <c r="BR65" s="21">
        <f>EXP(-LN(2)/2)*BR64+(1-EXP(-LN(2)/2))/(LN(2)/2)*BL65*BO65*VLOOKUP('Données projet'!$B$11,Paramètres!$A$1:$I$89,3,0)*0.475*44/12</f>
        <v>1.1799163661749059</v>
      </c>
      <c r="BS65" s="22">
        <f t="shared" si="9"/>
        <v>45.685482555361872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9.7525000000000013</v>
      </c>
      <c r="BY65" s="12">
        <f>IF('Données projet'!$A$114&gt;35,BY64+BX65-CG64,IF(A65&lt;'Données projet'!$A$114,$BV$205^A65,IF(A65='Données projet'!$A$114,'Données projet'!$B$114,BY64+BX65-CG64)))</f>
        <v>190.29749999999999</v>
      </c>
      <c r="BZ65" s="13">
        <f>BY65*VLOOKUP('Données projet'!$B$12,Paramètres!$A$1:$I$89,3,0)*VLOOKUP('Données projet'!$B$12,Paramètres!$A$1:$I$89,5,0)</f>
        <v>181.08710099999999</v>
      </c>
      <c r="CA65" s="13">
        <f t="shared" si="39"/>
        <v>45.563961288072498</v>
      </c>
      <c r="CB65" s="20">
        <f t="shared" si="10"/>
        <v>394.7506001517263</v>
      </c>
      <c r="CC65" s="59">
        <f t="shared" si="11"/>
        <v>657.10960311137762</v>
      </c>
      <c r="CD65" s="59">
        <f ca="1">AVERAGE(OFFSET($CC$3,0,0,'Données projet'!$E$12+1,1))-AVERAGE(OFFSET($H$3,0,0,'Données projet'!$E$12+1,1))</f>
        <v>486.36097333679697</v>
      </c>
      <c r="CE65" s="59">
        <f t="shared" si="40"/>
        <v>308.47736602748159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8.5743392418782225</v>
      </c>
      <c r="CL65" s="21">
        <f>EXP(-LN(2)/25)*CL64+(1-EXP(-LN(2)/25))/(LN(2)/25)*Calculateur!CG65*Calculateur!CI65*VLOOKUP('Données projet'!$B$12,Paramètres!$A$1:$I$89,3,0)*0.475*44/12</f>
        <v>15.199157510639751</v>
      </c>
      <c r="CM65" s="21">
        <f>EXP(-LN(2)/2)*CM64+(1-EXP(-LN(2)/2))/(LN(2)/2)*CG65*CJ65*VLOOKUP('Données projet'!$B$12,Paramètres!$A$1:$I$89,3,0)*0.475*44/12</f>
        <v>3.6592728061726301</v>
      </c>
      <c r="CN65" s="22">
        <f t="shared" si="12"/>
        <v>27.432769558690602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948.21100996308985</v>
      </c>
      <c r="S66" s="59">
        <f ca="1">AVERAGE(OFFSET($R$3,0,0,'Données projet'!$E$9+1,1))-AVERAGE(OFFSET($H$3,0,0,'Données projet'!$E$9+1,1))</f>
        <v>407.05634973057056</v>
      </c>
      <c r="T66" s="59">
        <f t="shared" si="34"/>
        <v>375.32891954889965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13.520000000000003</v>
      </c>
      <c r="AI66" s="13">
        <f>IF('Données projet'!$A$62&gt;35,AI65+AH66-AQ65,IF(A66&lt;'Données projet'!$A$62,$AF$205^A66,IF(A66='Données projet'!$A$62,'Données projet'!$B$62,AI65+AH66-AQ65)))</f>
        <v>348.36000000000007</v>
      </c>
      <c r="AJ66" s="13">
        <f>AI66*VLOOKUP('Données projet'!$B$10,Paramètres!$A$1:$I$89,3,0)*VLOOKUP('Données projet'!$B$10,Paramètres!$A$1:$I$89,5,0)</f>
        <v>315.19612800000004</v>
      </c>
      <c r="AK66" s="13">
        <f t="shared" si="35"/>
        <v>74.352936449224345</v>
      </c>
      <c r="AL66" s="20">
        <f t="shared" si="4"/>
        <v>678.46462058239911</v>
      </c>
      <c r="AM66" s="59">
        <f t="shared" si="5"/>
        <v>941.36095892580522</v>
      </c>
      <c r="AN66" s="59">
        <f ca="1">AVERAGE(OFFSET($AM$3,0,0,'Données projet'!$E$10+1,1))-AVERAGE(OFFSET($H$3,0,0,'Données projet'!$E$10+1,1))</f>
        <v>737.40414421611001</v>
      </c>
      <c r="AO66" s="59">
        <f t="shared" si="36"/>
        <v>245.32893490531674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8.9740770728248069</v>
      </c>
      <c r="AV66" s="21">
        <f>EXP(-LN(2)/25)*AV65+(1-EXP(-LN(2)/25))/(LN(2)/25)*Calculateur!AQ66*Calculateur!AS66*VLOOKUP('Données projet'!$B$10,Paramètres!$A$1:$I$89,3,0)*0.475*44/12</f>
        <v>38.564003667589425</v>
      </c>
      <c r="AW66" s="21">
        <f>EXP(-LN(2)/2)*AW65+(1-EXP(-LN(2)/2))/(LN(2)/2)*AQ66*AT66*VLOOKUP('Données projet'!$B$10,Paramètres!$A$1:$I$89,3,0)*0.475*44/12</f>
        <v>1.1338693345575048</v>
      </c>
      <c r="AX66" s="21">
        <f t="shared" si="6"/>
        <v>48.671950074971733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13.839999999999995</v>
      </c>
      <c r="BD66" s="12">
        <f>IF('Données projet'!$A$88&gt;35,BD65+BC66-BL65,IF(A66&lt;'Données projet'!$A$88,$BA$205^A66,IF(A66='Données projet'!$A$88,'Données projet'!$B$88,BD65+BC66-BL65)))</f>
        <v>320.34999999999991</v>
      </c>
      <c r="BE66" s="13">
        <f>BD66*VLOOKUP('Données projet'!$B$11,Paramètres!$A$1:$I$89,3,0)*VLOOKUP('Données projet'!$B$11,Paramètres!$A$1:$I$89,5,0)</f>
        <v>269.86283999999995</v>
      </c>
      <c r="BF66" s="13">
        <f t="shared" si="37"/>
        <v>64.820159613370294</v>
      </c>
      <c r="BG66" s="20">
        <f t="shared" si="7"/>
        <v>582.90622432661985</v>
      </c>
      <c r="BH66" s="59">
        <f t="shared" si="8"/>
        <v>845.80256267002596</v>
      </c>
      <c r="BI66" s="59">
        <f ca="1">AVERAGE(OFFSET($BH$3,0,0,'Données projet'!$E$11+1,1))-AVERAGE(OFFSET($H$3,0,0,'Données projet'!$E$11+1,1))</f>
        <v>456.35333554128226</v>
      </c>
      <c r="BJ66" s="59">
        <f t="shared" si="38"/>
        <v>296.4517290984877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18.404638263078922</v>
      </c>
      <c r="BQ66" s="21">
        <f>EXP(-LN(2)/25)*BQ65+(1-EXP(-LN(2)/25))/(LN(2)/25)*Calculateur!BL66*Calculateur!BN66*VLOOKUP('Données projet'!$B$11,Paramètres!$A$1:$I$89,3,0)*0.475*44/12</f>
        <v>25.029140619309892</v>
      </c>
      <c r="BR66" s="21">
        <f>EXP(-LN(2)/2)*BR65+(1-EXP(-LN(2)/2))/(LN(2)/2)*BL66*BO66*VLOOKUP('Données projet'!$B$11,Paramètres!$A$1:$I$89,3,0)*0.475*44/12</f>
        <v>0.83432686375526555</v>
      </c>
      <c r="BS66" s="22">
        <f t="shared" si="9"/>
        <v>44.26810574614408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9.7525000000000013</v>
      </c>
      <c r="BY66" s="12">
        <f>IF('Données projet'!$A$114&gt;35,BY65+BX66-CG65,IF(A66&lt;'Données projet'!$A$114,$BV$205^A66,IF(A66='Données projet'!$A$114,'Données projet'!$B$114,BY65+BX66-CG65)))</f>
        <v>200.04999999999998</v>
      </c>
      <c r="BZ66" s="13">
        <f>BY66*VLOOKUP('Données projet'!$B$12,Paramètres!$A$1:$I$89,3,0)*VLOOKUP('Données projet'!$B$12,Paramètres!$A$1:$I$89,5,0)</f>
        <v>190.36758</v>
      </c>
      <c r="CA66" s="13">
        <f t="shared" si="39"/>
        <v>47.621210426557901</v>
      </c>
      <c r="CB66" s="20">
        <f t="shared" si="10"/>
        <v>414.49714332625496</v>
      </c>
      <c r="CC66" s="59">
        <f t="shared" si="11"/>
        <v>677.39348166966101</v>
      </c>
      <c r="CD66" s="59">
        <f ca="1">AVERAGE(OFFSET($CC$3,0,0,'Données projet'!$E$12+1,1))-AVERAGE(OFFSET($H$3,0,0,'Données projet'!$E$12+1,1))</f>
        <v>486.36097333679697</v>
      </c>
      <c r="CE66" s="59">
        <f t="shared" si="40"/>
        <v>308.47736602748159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8.4062016791755259</v>
      </c>
      <c r="CL66" s="21">
        <f>EXP(-LN(2)/25)*CL65+(1-EXP(-LN(2)/25))/(LN(2)/25)*Calculateur!CG66*Calculateur!CI66*VLOOKUP('Données projet'!$B$12,Paramètres!$A$1:$I$89,3,0)*0.475*44/12</f>
        <v>14.78353574922235</v>
      </c>
      <c r="CM66" s="21">
        <f>EXP(-LN(2)/2)*CM65+(1-EXP(-LN(2)/2))/(LN(2)/2)*CG66*CJ66*VLOOKUP('Données projet'!$B$12,Paramètres!$A$1:$I$89,3,0)*0.475*44/12</f>
        <v>2.5874966154561938</v>
      </c>
      <c r="CN66" s="22">
        <f t="shared" si="12"/>
        <v>25.777234043854069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851.05444908235859</v>
      </c>
      <c r="S67" s="59">
        <f ca="1">AVERAGE(OFFSET($R$3,0,0,'Données projet'!$E$9+1,1))-AVERAGE(OFFSET($H$3,0,0,'Données projet'!$E$9+1,1))</f>
        <v>407.05634973057056</v>
      </c>
      <c r="T67" s="59">
        <f t="shared" si="34"/>
        <v>375.32891954889965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13.520000000000003</v>
      </c>
      <c r="AI67" s="13">
        <f>IF('Données projet'!$A$62&gt;35,AI66+AH67-AQ66,IF(A67&lt;'Données projet'!$A$62,$AF$205^A67,IF(A67='Données projet'!$A$62,'Données projet'!$B$62,AI66+AH67-AQ66)))</f>
        <v>361.88000000000005</v>
      </c>
      <c r="AJ67" s="13">
        <f>AI67*VLOOKUP('Données projet'!$B$10,Paramètres!$A$1:$I$89,3,0)*VLOOKUP('Données projet'!$B$10,Paramètres!$A$1:$I$89,5,0)</f>
        <v>327.42902400000003</v>
      </c>
      <c r="AK67" s="13">
        <f t="shared" si="35"/>
        <v>76.897035859574302</v>
      </c>
      <c r="AL67" s="20">
        <f t="shared" si="4"/>
        <v>704.20122092209192</v>
      </c>
      <c r="AM67" s="59">
        <f t="shared" si="5"/>
        <v>967.62557308164673</v>
      </c>
      <c r="AN67" s="59">
        <f ca="1">AVERAGE(OFFSET($AM$3,0,0,'Données projet'!$E$10+1,1))-AVERAGE(OFFSET($H$3,0,0,'Données projet'!$E$10+1,1))</f>
        <v>737.40414421611001</v>
      </c>
      <c r="AO67" s="59">
        <f t="shared" si="36"/>
        <v>245.32893490531674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8.7981008950732491</v>
      </c>
      <c r="AV67" s="21">
        <f>EXP(-LN(2)/25)*AV66+(1-EXP(-LN(2)/25))/(LN(2)/25)*Calculateur!AQ67*Calculateur!AS67*VLOOKUP('Données projet'!$B$10,Paramètres!$A$1:$I$89,3,0)*0.475*44/12</f>
        <v>37.509468959306382</v>
      </c>
      <c r="AW67" s="21">
        <f>EXP(-LN(2)/2)*AW66+(1-EXP(-LN(2)/2))/(LN(2)/2)*AQ67*AT67*VLOOKUP('Données projet'!$B$10,Paramètres!$A$1:$I$89,3,0)*0.475*44/12</f>
        <v>0.80176669544508983</v>
      </c>
      <c r="AX67" s="21">
        <f t="shared" si="6"/>
        <v>47.109336549824718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13.839999999999995</v>
      </c>
      <c r="BD67" s="12">
        <f>IF('Données projet'!$A$88&gt;35,BD66+BC67-BL66,IF(A67&lt;'Données projet'!$A$88,$BA$205^A67,IF(A67='Données projet'!$A$88,'Données projet'!$B$88,BD66+BC67-BL66)))</f>
        <v>334.18999999999988</v>
      </c>
      <c r="BE67" s="13">
        <f>BD67*VLOOKUP('Données projet'!$B$11,Paramètres!$A$1:$I$89,3,0)*VLOOKUP('Données projet'!$B$11,Paramètres!$A$1:$I$89,5,0)</f>
        <v>281.52165599999995</v>
      </c>
      <c r="BF67" s="13">
        <f t="shared" si="37"/>
        <v>67.288477033117942</v>
      </c>
      <c r="BG67" s="20">
        <f t="shared" si="7"/>
        <v>607.51098169934687</v>
      </c>
      <c r="BH67" s="59">
        <f t="shared" si="8"/>
        <v>870.93533385890169</v>
      </c>
      <c r="BI67" s="59">
        <f ca="1">AVERAGE(OFFSET($BH$3,0,0,'Données projet'!$E$11+1,1))-AVERAGE(OFFSET($H$3,0,0,'Données projet'!$E$11+1,1))</f>
        <v>456.35333554128226</v>
      </c>
      <c r="BJ67" s="59">
        <f t="shared" si="38"/>
        <v>296.4517290984877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18.043734532460839</v>
      </c>
      <c r="BQ67" s="21">
        <f>EXP(-LN(2)/25)*BQ66+(1-EXP(-LN(2)/25))/(LN(2)/25)*Calculateur!BL67*Calculateur!BN67*VLOOKUP('Données projet'!$B$11,Paramètres!$A$1:$I$89,3,0)*0.475*44/12</f>
        <v>24.344717452849562</v>
      </c>
      <c r="BR67" s="21">
        <f>EXP(-LN(2)/2)*BR66+(1-EXP(-LN(2)/2))/(LN(2)/2)*BL67*BO67*VLOOKUP('Données projet'!$B$11,Paramètres!$A$1:$I$89,3,0)*0.475*44/12</f>
        <v>0.58995818308745307</v>
      </c>
      <c r="BS67" s="22">
        <f t="shared" si="9"/>
        <v>42.978410168397851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9.7525000000000013</v>
      </c>
      <c r="BY67" s="12">
        <f>IF('Données projet'!$A$114&gt;35,BY66+BX67-CG66,IF(A67&lt;'Données projet'!$A$114,$BV$205^A67,IF(A67='Données projet'!$A$114,'Données projet'!$B$114,BY66+BX67-CG66)))</f>
        <v>209.80249999999998</v>
      </c>
      <c r="BZ67" s="13">
        <f>BY67*VLOOKUP('Données projet'!$B$12,Paramètres!$A$1:$I$89,3,0)*VLOOKUP('Données projet'!$B$12,Paramètres!$A$1:$I$89,5,0)</f>
        <v>199.64805899999999</v>
      </c>
      <c r="CA67" s="13">
        <f t="shared" si="39"/>
        <v>49.666813819210098</v>
      </c>
      <c r="CB67" s="20">
        <f t="shared" si="10"/>
        <v>434.22340349345751</v>
      </c>
      <c r="CC67" s="59">
        <f t="shared" si="11"/>
        <v>697.64775565301227</v>
      </c>
      <c r="CD67" s="59">
        <f ca="1">AVERAGE(OFFSET($CC$3,0,0,'Données projet'!$E$12+1,1))-AVERAGE(OFFSET($H$3,0,0,'Données projet'!$E$12+1,1))</f>
        <v>486.36097333679697</v>
      </c>
      <c r="CE67" s="59">
        <f t="shared" si="40"/>
        <v>308.47736602748159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8.2413611915236409</v>
      </c>
      <c r="CL67" s="21">
        <f>EXP(-LN(2)/25)*CL66+(1-EXP(-LN(2)/25))/(LN(2)/25)*Calculateur!CG67*Calculateur!CI67*VLOOKUP('Données projet'!$B$12,Paramètres!$A$1:$I$89,3,0)*0.475*44/12</f>
        <v>14.379279186727508</v>
      </c>
      <c r="CM67" s="21">
        <f>EXP(-LN(2)/2)*CM66+(1-EXP(-LN(2)/2))/(LN(2)/2)*CG67*CJ67*VLOOKUP('Données projet'!$B$12,Paramètres!$A$1:$I$89,3,0)*0.475*44/12</f>
        <v>1.8296364030863153</v>
      </c>
      <c r="CN67" s="22">
        <f t="shared" si="12"/>
        <v>24.450276781337465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871.25272637276453</v>
      </c>
      <c r="S68" s="59">
        <f ca="1">AVERAGE(OFFSET($R$3,0,0,'Données projet'!$E$9+1,1))-AVERAGE(OFFSET($H$3,0,0,'Données projet'!$E$9+1,1))</f>
        <v>407.05634973057056</v>
      </c>
      <c r="T68" s="59">
        <f t="shared" si="34"/>
        <v>375.32891954889965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13.520000000000003</v>
      </c>
      <c r="AI68" s="13">
        <f>IF('Données projet'!$A$62&gt;35,AI67+AH68-AQ67,IF(A68&lt;'Données projet'!$A$62,$AF$205^A68,IF(A68='Données projet'!$A$62,'Données projet'!$B$62,AI67+AH68-AQ67)))</f>
        <v>375.40000000000003</v>
      </c>
      <c r="AJ68" s="13">
        <f>AI68*VLOOKUP('Données projet'!$B$10,Paramètres!$A$1:$I$89,3,0)*VLOOKUP('Données projet'!$B$10,Paramètres!$A$1:$I$89,5,0)</f>
        <v>339.66192000000001</v>
      </c>
      <c r="AK68" s="13">
        <f t="shared" si="35"/>
        <v>79.430092909514357</v>
      </c>
      <c r="AL68" s="20">
        <f t="shared" ref="AL68:AL131" si="58">(AJ68+AK68)*0.475*44/12</f>
        <v>729.91858915073738</v>
      </c>
      <c r="AM68" s="59">
        <f t="shared" ref="AM68:AM131" si="59">AL68+(AD68+AE68)*44/12</f>
        <v>993.86179526719252</v>
      </c>
      <c r="AN68" s="59">
        <f ca="1">AVERAGE(OFFSET($AM$3,0,0,'Données projet'!$E$10+1,1))-AVERAGE(OFFSET($H$3,0,0,'Données projet'!$E$10+1,1))</f>
        <v>737.40414421611001</v>
      </c>
      <c r="AO68" s="59">
        <f t="shared" si="36"/>
        <v>245.32893490531674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8.6255755028325289</v>
      </c>
      <c r="AV68" s="21">
        <f>EXP(-LN(2)/25)*AV67+(1-EXP(-LN(2)/25))/(LN(2)/25)*Calculateur!AQ68*Calculateur!AS68*VLOOKUP('Données projet'!$B$10,Paramètres!$A$1:$I$89,3,0)*0.475*44/12</f>
        <v>36.483770558076905</v>
      </c>
      <c r="AW68" s="21">
        <f>EXP(-LN(2)/2)*AW67+(1-EXP(-LN(2)/2))/(LN(2)/2)*AQ68*AT68*VLOOKUP('Données projet'!$B$10,Paramètres!$A$1:$I$89,3,0)*0.475*44/12</f>
        <v>0.56693466727875241</v>
      </c>
      <c r="AX68" s="21">
        <f t="shared" ref="AX68:AX131" si="60">SUM(AU68:AW68)</f>
        <v>45.676280728188182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348.03</v>
      </c>
      <c r="BB68" s="12">
        <f>VLOOKUP(A68,'Données projet'!$A$87:$I$107,9,0)</f>
        <v>13.839999999999995</v>
      </c>
      <c r="BC68" s="12">
        <f t="array" ref="BC68">INDEX(BB:BB,MIN(IF(ISNUMBER(BB68:BB264),ROW(BB68:BB264),"")))</f>
        <v>13.839999999999995</v>
      </c>
      <c r="BD68" s="12">
        <f>IF('Données projet'!$A$88&gt;35,BD67+BC68-BL67,IF(A68&lt;'Données projet'!$A$88,$BA$205^A68,IF(A68='Données projet'!$A$88,'Données projet'!$B$88,BD67+BC68-BL67)))</f>
        <v>348.02999999999986</v>
      </c>
      <c r="BE68" s="13">
        <f>BD68*VLOOKUP('Données projet'!$B$11,Paramètres!$A$1:$I$89,3,0)*VLOOKUP('Données projet'!$B$11,Paramètres!$A$1:$I$89,5,0)</f>
        <v>293.1804719999999</v>
      </c>
      <c r="BF68" s="13">
        <f t="shared" si="37"/>
        <v>69.744920880406227</v>
      </c>
      <c r="BG68" s="20">
        <f t="shared" ref="BG68:BG131" si="61">(BE68+BF68)*0.475*44/12</f>
        <v>632.09505926670727</v>
      </c>
      <c r="BH68" s="59">
        <f t="shared" ref="BH68:BH131" si="62">BG68+(AY68+AZ68)*44/12</f>
        <v>896.03826538316252</v>
      </c>
      <c r="BI68" s="59">
        <f ca="1">AVERAGE(OFFSET($BH$3,0,0,'Données projet'!$E$11+1,1))-AVERAGE(OFFSET($H$3,0,0,'Données projet'!$E$11+1,1))</f>
        <v>456.35333554128226</v>
      </c>
      <c r="BJ68" s="59">
        <f t="shared" si="38"/>
        <v>296.4517290984877</v>
      </c>
      <c r="BK68" s="15">
        <f>IF(ISNA(VLOOKUP(A68,'Données projet'!$A$87:$I$107,3,0)),0,VLOOKUP(A68,'Données projet'!$A$87:$I$107,3,0))</f>
        <v>6</v>
      </c>
      <c r="BL68" s="15">
        <f>IF(ISNA(VLOOKUP(A68,'Données projet'!$A$87:$I$107,4,0)),0,VLOOKUP(A68,'Données projet'!$A$87:$I$107,4,0))</f>
        <v>56.629999999999995</v>
      </c>
      <c r="BM68" s="16">
        <f>IF(ISNA(VLOOKUP(A68,'Données projet'!$A$87:$I$107,5,0)),0%,VLOOKUP(A68,'Données projet'!$A$87:$I$107,5,0)*VLOOKUP('Données projet'!$B$11,Paramètres!$A$1:$I$89,7,0))</f>
        <v>0.15049999999999999</v>
      </c>
      <c r="BN68" s="16">
        <f>IF(ISNA(VLOOKUP(A68,'Données projet'!$A$87:$I$107,6,0)),0%,VLOOKUP(A68,'Données projet'!$A$87:$I$107,6,0)*VLOOKUP('Données projet'!$B$11,Paramètres!$A$1:$I$89,7,0))</f>
        <v>8.6000000000000007E-2</v>
      </c>
      <c r="BO68" s="16">
        <f>IF(ISNA(VLOOKUP(A68,'Données projet'!$A$87:$I$107,7,0)),0%,VLOOKUP(A68,'Données projet'!$A$87:$I$107,7,0))</f>
        <v>0.1</v>
      </c>
      <c r="BP68" s="21">
        <f>EXP(-LN(2)/35)*BP67+(1-EXP(-LN(2)/35))/(LN(2)/35)*BL68*BM68*VLOOKUP('Données projet'!$B$11,Paramètres!$A$1:$I$89,3,0)*0.475*44/12</f>
        <v>25.626764438250071</v>
      </c>
      <c r="BQ68" s="21">
        <f>EXP(-LN(2)/25)*BQ67+(1-EXP(-LN(2)/25))/(LN(2)/25)*Calculateur!BL68*Calculateur!BN68*VLOOKUP('Données projet'!$B$11,Paramètres!$A$1:$I$89,3,0)*0.475*44/12</f>
        <v>28.196499077310712</v>
      </c>
      <c r="BR68" s="21">
        <f>EXP(-LN(2)/2)*BR67+(1-EXP(-LN(2)/2))/(LN(2)/2)*BL68*BO68*VLOOKUP('Données projet'!$B$11,Paramètres!$A$1:$I$89,3,0)*0.475*44/12</f>
        <v>4.9182691455040812</v>
      </c>
      <c r="BS68" s="22">
        <f t="shared" ref="BS68:BS131" si="63">SUM(BP68:BR68)</f>
        <v>58.741532661064866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9.7525000000000013</v>
      </c>
      <c r="BY68" s="12">
        <f>IF('Données projet'!$A$114&gt;35,BY67+BX68-CG67,IF(A68&lt;'Données projet'!$A$114,$BV$205^A68,IF(A68='Données projet'!$A$114,'Données projet'!$B$114,BY67+BX68-CG67)))</f>
        <v>219.55499999999998</v>
      </c>
      <c r="BZ68" s="13">
        <f>BY68*VLOOKUP('Données projet'!$B$12,Paramètres!$A$1:$I$89,3,0)*VLOOKUP('Données projet'!$B$12,Paramètres!$A$1:$I$89,5,0)</f>
        <v>208.92853799999997</v>
      </c>
      <c r="CA68" s="13">
        <f t="shared" si="39"/>
        <v>51.701374633508699</v>
      </c>
      <c r="CB68" s="20">
        <f t="shared" ref="CB68:CB131" si="64">(BZ68+CA68)*0.475*44/12</f>
        <v>453.93043117002759</v>
      </c>
      <c r="CC68" s="59">
        <f t="shared" ref="CC68:CC131" si="65">CB68+(BT68+BU68)*44/12</f>
        <v>717.87363728648279</v>
      </c>
      <c r="CD68" s="59">
        <f ca="1">AVERAGE(OFFSET($CC$3,0,0,'Données projet'!$E$12+1,1))-AVERAGE(OFFSET($H$3,0,0,'Données projet'!$E$12+1,1))</f>
        <v>486.36097333679697</v>
      </c>
      <c r="CE68" s="59">
        <f t="shared" si="40"/>
        <v>308.47736602748159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8.0797531252918411</v>
      </c>
      <c r="CL68" s="21">
        <f>EXP(-LN(2)/25)*CL67+(1-EXP(-LN(2)/25))/(LN(2)/25)*Calculateur!CG68*Calculateur!CI68*VLOOKUP('Données projet'!$B$12,Paramètres!$A$1:$I$89,3,0)*0.475*44/12</f>
        <v>13.986077041193017</v>
      </c>
      <c r="CM68" s="21">
        <f>EXP(-LN(2)/2)*CM67+(1-EXP(-LN(2)/2))/(LN(2)/2)*CG68*CJ68*VLOOKUP('Données projet'!$B$12,Paramètres!$A$1:$I$89,3,0)*0.475*44/12</f>
        <v>1.2937483077280971</v>
      </c>
      <c r="CN68" s="22">
        <f t="shared" ref="CN68:CN131" si="66">SUM(CK68:CM68)</f>
        <v>23.359578474212956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891.4287680185239</v>
      </c>
      <c r="S69" s="59">
        <f ca="1">AVERAGE(OFFSET($R$3,0,0,'Données projet'!$E$9+1,1))-AVERAGE(OFFSET($H$3,0,0,'Données projet'!$E$9+1,1))</f>
        <v>407.05634973057056</v>
      </c>
      <c r="T69" s="59">
        <f t="shared" ref="T69:T132" si="88">$T$3</f>
        <v>375.32891954889965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13.520000000000003</v>
      </c>
      <c r="AH69" s="12">
        <f t="array" ref="AH69">INDEX(AG:AG,MIN(IF(ISNUMBER(AG69:AG265),ROW(AG69:AG265),"")))</f>
        <v>13.520000000000003</v>
      </c>
      <c r="AI69" s="13">
        <f>IF('Données projet'!$A$62&gt;35,AI68+AH69-AQ68,IF(A69&lt;'Données projet'!$A$62,$AF$205^A69,IF(A69='Données projet'!$A$62,'Données projet'!$B$62,AI68+AH69-AQ68)))</f>
        <v>388.92</v>
      </c>
      <c r="AJ69" s="13">
        <f>AI69*VLOOKUP('Données projet'!$B$10,Paramètres!$A$1:$I$89,3,0)*VLOOKUP('Données projet'!$B$10,Paramètres!$A$1:$I$89,5,0)</f>
        <v>351.89481599999999</v>
      </c>
      <c r="AK69" s="13">
        <f t="shared" ref="AK69:AK132" si="89">EXP(-1.0587+0.8836*LN(AJ69)+0.284)</f>
        <v>81.952550845391471</v>
      </c>
      <c r="AL69" s="20">
        <f t="shared" si="58"/>
        <v>755.61749725572326</v>
      </c>
      <c r="AM69" s="59">
        <f t="shared" si="59"/>
        <v>1020.0705563729103</v>
      </c>
      <c r="AN69" s="59">
        <f ca="1">AVERAGE(OFFSET($AM$3,0,0,'Données projet'!$E$10+1,1))-AVERAGE(OFFSET($H$3,0,0,'Données projet'!$E$10+1,1))</f>
        <v>737.40414421611001</v>
      </c>
      <c r="AO69" s="59">
        <f t="shared" ref="AO69:AO132" si="90">$AO$3</f>
        <v>245.32893490531674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76.480000000000018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19.969315972517677</v>
      </c>
      <c r="AV69" s="21">
        <f>EXP(-LN(2)/25)*AV68+(1-EXP(-LN(2)/25))/(LN(2)/25)*Calculateur!AQ69*Calculateur!AS69*VLOOKUP('Données projet'!$B$10,Paramètres!$A$1:$I$89,3,0)*0.475*44/12</f>
        <v>42.039006869624131</v>
      </c>
      <c r="AW69" s="21">
        <f>EXP(-LN(2)/2)*AW68+(1-EXP(-LN(2)/2))/(LN(2)/2)*AQ69*AT69*VLOOKUP('Données projet'!$B$10,Paramètres!$A$1:$I$89,3,0)*0.475*44/12</f>
        <v>6.9300050567802831</v>
      </c>
      <c r="AX69" s="21">
        <f t="shared" si="60"/>
        <v>68.938327898922097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13.374285714285715</v>
      </c>
      <c r="BD69" s="12">
        <f>IF('Données projet'!$A$88&gt;35,BD68+BC69-BL68,IF(A69&lt;'Données projet'!$A$88,$BA$205^A69,IF(A69='Données projet'!$A$88,'Données projet'!$B$88,BD68+BC69-BL68)))</f>
        <v>304.77428571428555</v>
      </c>
      <c r="BE69" s="13">
        <f>BD69*VLOOKUP('Données projet'!$B$11,Paramètres!$A$1:$I$89,3,0)*VLOOKUP('Données projet'!$B$11,Paramètres!$A$1:$I$89,5,0)</f>
        <v>256.74185828571416</v>
      </c>
      <c r="BF69" s="13">
        <f t="shared" ref="BF69:BF132" si="91">EXP(-1.0587+0.8836*LN(BE69)+0.284)</f>
        <v>62.027364911831434</v>
      </c>
      <c r="BG69" s="20">
        <f t="shared" si="61"/>
        <v>555.18973040239189</v>
      </c>
      <c r="BH69" s="59">
        <f t="shared" si="62"/>
        <v>819.64278951957897</v>
      </c>
      <c r="BI69" s="59">
        <f ca="1">AVERAGE(OFFSET($BH$3,0,0,'Données projet'!$E$11+1,1))-AVERAGE(OFFSET($H$3,0,0,'Données projet'!$E$11+1,1))</f>
        <v>456.35333554128226</v>
      </c>
      <c r="BJ69" s="59">
        <f t="shared" ref="BJ69:BJ132" si="92">$BJ$3</f>
        <v>296.4517290984877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25.124239218398884</v>
      </c>
      <c r="BQ69" s="21">
        <f>EXP(-LN(2)/25)*BQ68+(1-EXP(-LN(2)/25))/(LN(2)/25)*Calculateur!BL69*Calculateur!BN69*VLOOKUP('Données projet'!$B$11,Paramètres!$A$1:$I$89,3,0)*0.475*44/12</f>
        <v>27.425464327252207</v>
      </c>
      <c r="BR69" s="21">
        <f>EXP(-LN(2)/2)*BR68+(1-EXP(-LN(2)/2))/(LN(2)/2)*BL69*BO69*VLOOKUP('Données projet'!$B$11,Paramètres!$A$1:$I$89,3,0)*0.475*44/12</f>
        <v>3.4777414644865026</v>
      </c>
      <c r="BS69" s="22">
        <f t="shared" si="63"/>
        <v>56.027445010137598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9.7525000000000013</v>
      </c>
      <c r="BY69" s="12">
        <f>IF('Données projet'!$A$114&gt;35,BY68+BX69-CG68,IF(A69&lt;'Données projet'!$A$114,$BV$205^A69,IF(A69='Données projet'!$A$114,'Données projet'!$B$114,BY68+BX69-CG68)))</f>
        <v>229.30749999999998</v>
      </c>
      <c r="BZ69" s="13">
        <f>BY69*VLOOKUP('Données projet'!$B$12,Paramètres!$A$1:$I$89,3,0)*VLOOKUP('Données projet'!$B$12,Paramètres!$A$1:$I$89,5,0)</f>
        <v>218.20901699999999</v>
      </c>
      <c r="CA69" s="13">
        <f t="shared" ref="CA69:CA132" si="93">EXP(-1.0587+0.8836*LN(BZ69)+0.284)</f>
        <v>53.725439422688339</v>
      </c>
      <c r="CB69" s="20">
        <f t="shared" si="64"/>
        <v>473.61917826951543</v>
      </c>
      <c r="CC69" s="59">
        <f t="shared" si="65"/>
        <v>738.07223738670245</v>
      </c>
      <c r="CD69" s="59">
        <f ca="1">AVERAGE(OFFSET($CC$3,0,0,'Données projet'!$E$12+1,1))-AVERAGE(OFFSET($H$3,0,0,'Données projet'!$E$12+1,1))</f>
        <v>486.36097333679697</v>
      </c>
      <c r="CE69" s="59">
        <f t="shared" ref="CE69:CE132" si="94">$CE$3</f>
        <v>308.47736602748159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7.9213140946676592</v>
      </c>
      <c r="CL69" s="21">
        <f>EXP(-LN(2)/25)*CL68+(1-EXP(-LN(2)/25))/(LN(2)/25)*Calculateur!CG69*Calculateur!CI69*VLOOKUP('Données projet'!$B$12,Paramètres!$A$1:$I$89,3,0)*0.475*44/12</f>
        <v>13.603627029005768</v>
      </c>
      <c r="CM69" s="21">
        <f>EXP(-LN(2)/2)*CM68+(1-EXP(-LN(2)/2))/(LN(2)/2)*CG69*CJ69*VLOOKUP('Données projet'!$B$12,Paramètres!$A$1:$I$89,3,0)*0.475*44/12</f>
        <v>0.91481820154315774</v>
      </c>
      <c r="CN69" s="22">
        <f t="shared" si="66"/>
        <v>22.439759325216588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911.58320335439885</v>
      </c>
      <c r="S70" s="59">
        <f ca="1">AVERAGE(OFFSET($R$3,0,0,'Données projet'!$E$9+1,1))-AVERAGE(OFFSET($H$3,0,0,'Données projet'!$E$9+1,1))</f>
        <v>407.05634973057056</v>
      </c>
      <c r="T70" s="59">
        <f t="shared" si="88"/>
        <v>375.32891954889965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12.795000000000002</v>
      </c>
      <c r="AI70" s="13">
        <f>IF('Données projet'!$A$62&gt;35,AI69+AH70-AQ69,IF(A70&lt;'Données projet'!$A$62,$AF$205^A70,IF(A70='Données projet'!$A$62,'Données projet'!$B$62,AI69+AH70-AQ69)))</f>
        <v>325.23500000000001</v>
      </c>
      <c r="AJ70" s="13">
        <f>AI70*VLOOKUP('Données projet'!$B$10,Paramètres!$A$1:$I$89,3,0)*VLOOKUP('Données projet'!$B$10,Paramètres!$A$1:$I$89,5,0)</f>
        <v>294.272628</v>
      </c>
      <c r="AK70" s="13">
        <f t="shared" si="89"/>
        <v>69.974442654220198</v>
      </c>
      <c r="AL70" s="20">
        <f t="shared" si="58"/>
        <v>634.39698138943356</v>
      </c>
      <c r="AM70" s="59">
        <f t="shared" si="59"/>
        <v>899.35104869765041</v>
      </c>
      <c r="AN70" s="59">
        <f ca="1">AVERAGE(OFFSET($AM$3,0,0,'Données projet'!$E$10+1,1))-AVERAGE(OFFSET($H$3,0,0,'Données projet'!$E$10+1,1))</f>
        <v>737.40414421611001</v>
      </c>
      <c r="AO70" s="59">
        <f t="shared" si="90"/>
        <v>245.32893490531674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19.577729866376664</v>
      </c>
      <c r="AV70" s="21">
        <f>EXP(-LN(2)/25)*AV69+(1-EXP(-LN(2)/25))/(LN(2)/25)*Calculateur!AQ70*Calculateur!AS70*VLOOKUP('Données projet'!$B$10,Paramètres!$A$1:$I$89,3,0)*0.475*44/12</f>
        <v>40.889448016038969</v>
      </c>
      <c r="AW70" s="21">
        <f>EXP(-LN(2)/2)*AW69+(1-EXP(-LN(2)/2))/(LN(2)/2)*AQ70*AT70*VLOOKUP('Données projet'!$B$10,Paramètres!$A$1:$I$89,3,0)*0.475*44/12</f>
        <v>4.900253569306404</v>
      </c>
      <c r="AX70" s="21">
        <f t="shared" si="60"/>
        <v>65.367431451722041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13.374285714285715</v>
      </c>
      <c r="BD70" s="12">
        <f>IF('Données projet'!$A$88&gt;35,BD69+BC70-BL69,IF(A70&lt;'Données projet'!$A$88,$BA$205^A70,IF(A70='Données projet'!$A$88,'Données projet'!$B$88,BD69+BC70-BL69)))</f>
        <v>318.14857142857124</v>
      </c>
      <c r="BE70" s="13">
        <f>BD70*VLOOKUP('Données projet'!$B$11,Paramètres!$A$1:$I$89,3,0)*VLOOKUP('Données projet'!$B$11,Paramètres!$A$1:$I$89,5,0)</f>
        <v>268.00835657142841</v>
      </c>
      <c r="BF70" s="13">
        <f t="shared" si="91"/>
        <v>64.426410327143714</v>
      </c>
      <c r="BG70" s="20">
        <f t="shared" si="61"/>
        <v>578.99055234834634</v>
      </c>
      <c r="BH70" s="59">
        <f t="shared" si="62"/>
        <v>843.94461965656319</v>
      </c>
      <c r="BI70" s="59">
        <f ca="1">AVERAGE(OFFSET($BH$3,0,0,'Données projet'!$E$11+1,1))-AVERAGE(OFFSET($H$3,0,0,'Données projet'!$E$11+1,1))</f>
        <v>456.35333554128226</v>
      </c>
      <c r="BJ70" s="59">
        <f t="shared" si="92"/>
        <v>296.4517290984877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24.631568211598857</v>
      </c>
      <c r="BQ70" s="21">
        <f>EXP(-LN(2)/25)*BQ69+(1-EXP(-LN(2)/25))/(LN(2)/25)*Calculateur!BL70*Calculateur!BN70*VLOOKUP('Données projet'!$B$11,Paramètres!$A$1:$I$89,3,0)*0.475*44/12</f>
        <v>26.67551356298101</v>
      </c>
      <c r="BR70" s="21">
        <f>EXP(-LN(2)/2)*BR69+(1-EXP(-LN(2)/2))/(LN(2)/2)*BL70*BO70*VLOOKUP('Données projet'!$B$11,Paramètres!$A$1:$I$89,3,0)*0.475*44/12</f>
        <v>2.4591345727520411</v>
      </c>
      <c r="BS70" s="22">
        <f t="shared" si="63"/>
        <v>53.766216347331913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239.06</v>
      </c>
      <c r="BW70" s="12">
        <f>VLOOKUP(A70,'Données projet'!$A$113:$I$133,9,0)</f>
        <v>9.7525000000000013</v>
      </c>
      <c r="BX70" s="12">
        <f t="array" ref="BX70">INDEX(BW:BW,MIN(IF(ISNUMBER(BW70:BW266),ROW(BW70:BW266),"")))</f>
        <v>9.7525000000000013</v>
      </c>
      <c r="BY70" s="12">
        <f>IF('Données projet'!$A$114&gt;35,BY69+BX70-CG69,IF(A70&lt;'Données projet'!$A$114,$BV$205^A70,IF(A70='Données projet'!$A$114,'Données projet'!$B$114,BY69+BX70-CG69)))</f>
        <v>239.05999999999997</v>
      </c>
      <c r="BZ70" s="13">
        <f>BY70*VLOOKUP('Données projet'!$B$12,Paramètres!$A$1:$I$89,3,0)*VLOOKUP('Données projet'!$B$12,Paramètres!$A$1:$I$89,5,0)</f>
        <v>227.48949599999997</v>
      </c>
      <c r="CA70" s="13">
        <f t="shared" si="93"/>
        <v>55.739505620294999</v>
      </c>
      <c r="CB70" s="20">
        <f t="shared" si="64"/>
        <v>493.29051115534702</v>
      </c>
      <c r="CC70" s="59">
        <f t="shared" si="65"/>
        <v>758.24457846356393</v>
      </c>
      <c r="CD70" s="59">
        <f ca="1">AVERAGE(OFFSET($CC$3,0,0,'Données projet'!$E$12+1,1))-AVERAGE(OFFSET($H$3,0,0,'Données projet'!$E$12+1,1))</f>
        <v>486.36097333679697</v>
      </c>
      <c r="CE70" s="59">
        <f t="shared" si="94"/>
        <v>308.47736602748159</v>
      </c>
      <c r="CF70" s="15">
        <f>IF(ISNA(VLOOKUP(A70,'Données projet'!$A$113:$I$133,3,0)),0,VLOOKUP(A70,'Données projet'!$A$113:$I$133,3,0))</f>
        <v>5</v>
      </c>
      <c r="CG70" s="15">
        <f>IF(ISNA(VLOOKUP(A70,'Données projet'!$A$113:$I$133,4,0)),0,VLOOKUP(A70,'Données projet'!$A$113:$I$133,4,0))</f>
        <v>42.550000000000011</v>
      </c>
      <c r="CH70" s="16">
        <f>IF(ISNA(VLOOKUP(A70,'Données projet'!$A$113:$I$133,5,0)),0%,VLOOKUP(A70,'Données projet'!$A$113:$I$133,5,0)*VLOOKUP('Données projet'!$B$12,Paramètres!$A$1:$I$89,7,0))</f>
        <v>0.1075</v>
      </c>
      <c r="CI70" s="16">
        <f>IF(ISNA(VLOOKUP(A70,'Données projet'!$A$113:$I$133,6,0)),0%,VLOOKUP(A70,'Données projet'!$A$113:$I$133,6,0)*VLOOKUP('Données projet'!$B$12,Paramètres!$A$1:$I$89,7,0))</f>
        <v>0.1075</v>
      </c>
      <c r="CJ70" s="16">
        <f>IF(ISNA(VLOOKUP(A70,'Données projet'!$A$113:$I$133,7,0)),0%,VLOOKUP(A70,'Données projet'!$A$113:$I$133,7,0))</f>
        <v>0.25</v>
      </c>
      <c r="CK70" s="21">
        <f>EXP(-LN(2)/35)*CK69+(1-EXP(-LN(2)/35))/(LN(2)/35)*CG70*CH70*VLOOKUP('Données projet'!$B$12,Paramètres!$A$1:$I$89,3,0)*0.475*44/12</f>
        <v>12.5778041671075</v>
      </c>
      <c r="CL70" s="21">
        <f>EXP(-LN(2)/25)*CL69+(1-EXP(-LN(2)/25))/(LN(2)/25)*Calculateur!CG70*Calculateur!CI70*VLOOKUP('Données projet'!$B$12,Paramètres!$A$1:$I$89,3,0)*0.475*44/12</f>
        <v>18.024511365335702</v>
      </c>
      <c r="CM70" s="21">
        <f>EXP(-LN(2)/2)*CM69+(1-EXP(-LN(2)/2))/(LN(2)/2)*CG70*CJ70*VLOOKUP('Données projet'!$B$12,Paramètres!$A$1:$I$89,3,0)*0.475*44/12</f>
        <v>10.197862158359712</v>
      </c>
      <c r="CN70" s="22">
        <f t="shared" si="66"/>
        <v>40.800177690802911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931.7166279244808</v>
      </c>
      <c r="S71" s="59">
        <f ca="1">AVERAGE(OFFSET($R$3,0,0,'Données projet'!$E$9+1,1))-AVERAGE(OFFSET($H$3,0,0,'Données projet'!$E$9+1,1))</f>
        <v>407.05634973057056</v>
      </c>
      <c r="T71" s="59">
        <f t="shared" si="88"/>
        <v>375.32891954889965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12.795000000000002</v>
      </c>
      <c r="AI71" s="13">
        <f>IF('Données projet'!$A$62&gt;35,AI70+AH71-AQ70,IF(A71&lt;'Données projet'!$A$62,$AF$205^A71,IF(A71='Données projet'!$A$62,'Données projet'!$B$62,AI70+AH71-AQ70)))</f>
        <v>338.03000000000003</v>
      </c>
      <c r="AJ71" s="13">
        <f>AI71*VLOOKUP('Données projet'!$B$10,Paramètres!$A$1:$I$89,3,0)*VLOOKUP('Données projet'!$B$10,Paramètres!$A$1:$I$89,5,0)</f>
        <v>305.84954400000004</v>
      </c>
      <c r="AK71" s="13">
        <f t="shared" si="89"/>
        <v>72.401370969152978</v>
      </c>
      <c r="AL71" s="20">
        <f t="shared" si="58"/>
        <v>658.78701023794144</v>
      </c>
      <c r="AM71" s="59">
        <f t="shared" si="59"/>
        <v>924.23339436516028</v>
      </c>
      <c r="AN71" s="59">
        <f ca="1">AVERAGE(OFFSET($AM$3,0,0,'Données projet'!$E$10+1,1))-AVERAGE(OFFSET($H$3,0,0,'Données projet'!$E$10+1,1))</f>
        <v>737.40414421611001</v>
      </c>
      <c r="AO71" s="59">
        <f t="shared" si="90"/>
        <v>245.32893490531674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19.193822524933136</v>
      </c>
      <c r="AV71" s="21">
        <f>EXP(-LN(2)/25)*AV70+(1-EXP(-LN(2)/25))/(LN(2)/25)*Calculateur!AQ71*Calculateur!AS71*VLOOKUP('Données projet'!$B$10,Paramètres!$A$1:$I$89,3,0)*0.475*44/12</f>
        <v>39.771323909757768</v>
      </c>
      <c r="AW71" s="21">
        <f>EXP(-LN(2)/2)*AW70+(1-EXP(-LN(2)/2))/(LN(2)/2)*AQ71*AT71*VLOOKUP('Données projet'!$B$10,Paramètres!$A$1:$I$89,3,0)*0.475*44/12</f>
        <v>3.465002528390142</v>
      </c>
      <c r="AX71" s="21">
        <f t="shared" si="60"/>
        <v>62.430148963081052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13.374285714285715</v>
      </c>
      <c r="BD71" s="12">
        <f>IF('Données projet'!$A$88&gt;35,BD70+BC71-BL70,IF(A71&lt;'Données projet'!$A$88,$BA$205^A71,IF(A71='Données projet'!$A$88,'Données projet'!$B$88,BD70+BC71-BL70)))</f>
        <v>331.52285714285694</v>
      </c>
      <c r="BE71" s="13">
        <f>BD71*VLOOKUP('Données projet'!$B$11,Paramètres!$A$1:$I$89,3,0)*VLOOKUP('Données projet'!$B$11,Paramètres!$A$1:$I$89,5,0)</f>
        <v>279.27485485714271</v>
      </c>
      <c r="BF71" s="13">
        <f t="shared" si="91"/>
        <v>66.813741746726478</v>
      </c>
      <c r="BG71" s="20">
        <f t="shared" si="61"/>
        <v>602.77097241840545</v>
      </c>
      <c r="BH71" s="59">
        <f t="shared" si="62"/>
        <v>868.21735654562428</v>
      </c>
      <c r="BI71" s="59">
        <f ca="1">AVERAGE(OFFSET($BH$3,0,0,'Données projet'!$E$11+1,1))-AVERAGE(OFFSET($H$3,0,0,'Données projet'!$E$11+1,1))</f>
        <v>456.35333554128226</v>
      </c>
      <c r="BJ71" s="59">
        <f t="shared" si="92"/>
        <v>296.4517290984877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24.148558182742537</v>
      </c>
      <c r="BQ71" s="21">
        <f>EXP(-LN(2)/25)*BQ70+(1-EXP(-LN(2)/25))/(LN(2)/25)*Calculateur!BL71*Calculateur!BN71*VLOOKUP('Données projet'!$B$11,Paramètres!$A$1:$I$89,3,0)*0.475*44/12</f>
        <v>25.946070241797003</v>
      </c>
      <c r="BR71" s="21">
        <f>EXP(-LN(2)/2)*BR70+(1-EXP(-LN(2)/2))/(LN(2)/2)*BL71*BO71*VLOOKUP('Données projet'!$B$11,Paramètres!$A$1:$I$89,3,0)*0.475*44/12</f>
        <v>1.7388707322432517</v>
      </c>
      <c r="BS71" s="22">
        <f t="shared" si="63"/>
        <v>51.833499156782786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9.65625</v>
      </c>
      <c r="BY71" s="12">
        <f>IF('Données projet'!$A$114&gt;35,BY70+BX71-CG70,IF(A71&lt;'Données projet'!$A$114,$BV$205^A71,IF(A71='Données projet'!$A$114,'Données projet'!$B$114,BY70+BX71-CG70)))</f>
        <v>206.16624999999996</v>
      </c>
      <c r="BZ71" s="13">
        <f>BY71*VLOOKUP('Données projet'!$B$12,Paramètres!$A$1:$I$89,3,0)*VLOOKUP('Données projet'!$B$12,Paramètres!$A$1:$I$89,5,0)</f>
        <v>196.18780349999997</v>
      </c>
      <c r="CA71" s="13">
        <f t="shared" si="93"/>
        <v>48.905426239785484</v>
      </c>
      <c r="CB71" s="20">
        <f t="shared" si="64"/>
        <v>426.87070846345961</v>
      </c>
      <c r="CC71" s="59">
        <f t="shared" si="65"/>
        <v>692.31709259067839</v>
      </c>
      <c r="CD71" s="59">
        <f ca="1">AVERAGE(OFFSET($CC$3,0,0,'Données projet'!$E$12+1,1))-AVERAGE(OFFSET($H$3,0,0,'Données projet'!$E$12+1,1))</f>
        <v>486.36097333679697</v>
      </c>
      <c r="CE71" s="59">
        <f t="shared" si="94"/>
        <v>308.47736602748159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12.331161099093546</v>
      </c>
      <c r="CL71" s="21">
        <f>EXP(-LN(2)/25)*CL70+(1-EXP(-LN(2)/25))/(LN(2)/25)*Calculateur!CG71*Calculateur!CI71*VLOOKUP('Données projet'!$B$12,Paramètres!$A$1:$I$89,3,0)*0.475*44/12</f>
        <v>17.531630154182739</v>
      </c>
      <c r="CM71" s="21">
        <f>EXP(-LN(2)/2)*CM70+(1-EXP(-LN(2)/2))/(LN(2)/2)*CG71*CJ71*VLOOKUP('Données projet'!$B$12,Paramètres!$A$1:$I$89,3,0)*0.475*44/12</f>
        <v>7.2109774857818341</v>
      </c>
      <c r="CN71" s="22">
        <f t="shared" si="66"/>
        <v>37.073768739058117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951.82960644542322</v>
      </c>
      <c r="S72" s="59">
        <f ca="1">AVERAGE(OFFSET($R$3,0,0,'Données projet'!$E$9+1,1))-AVERAGE(OFFSET($H$3,0,0,'Données projet'!$E$9+1,1))</f>
        <v>407.05634973057056</v>
      </c>
      <c r="T72" s="59">
        <f t="shared" si="88"/>
        <v>375.32891954889965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12.795000000000002</v>
      </c>
      <c r="AI72" s="13">
        <f>IF('Données projet'!$A$62&gt;35,AI71+AH72-AQ71,IF(A72&lt;'Données projet'!$A$62,$AF$205^A72,IF(A72='Données projet'!$A$62,'Données projet'!$B$62,AI71+AH72-AQ71)))</f>
        <v>350.82500000000005</v>
      </c>
      <c r="AJ72" s="13">
        <f>AI72*VLOOKUP('Données projet'!$B$10,Paramètres!$A$1:$I$89,3,0)*VLOOKUP('Données projet'!$B$10,Paramètres!$A$1:$I$89,5,0)</f>
        <v>317.42646000000008</v>
      </c>
      <c r="AK72" s="13">
        <f t="shared" si="89"/>
        <v>74.817627226984229</v>
      </c>
      <c r="AL72" s="20">
        <f t="shared" si="58"/>
        <v>683.158451920331</v>
      </c>
      <c r="AM72" s="59">
        <f t="shared" si="59"/>
        <v>949.08861227039756</v>
      </c>
      <c r="AN72" s="59">
        <f ca="1">AVERAGE(OFFSET($AM$3,0,0,'Données projet'!$E$10+1,1))-AVERAGE(OFFSET($H$3,0,0,'Données projet'!$E$10+1,1))</f>
        <v>737.40414421611001</v>
      </c>
      <c r="AO72" s="59">
        <f t="shared" si="90"/>
        <v>245.32893490531674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18.81744337229496</v>
      </c>
      <c r="AV72" s="21">
        <f>EXP(-LN(2)/25)*AV71+(1-EXP(-LN(2)/25))/(LN(2)/25)*Calculateur!AQ72*Calculateur!AS72*VLOOKUP('Données projet'!$B$10,Paramètres!$A$1:$I$89,3,0)*0.475*44/12</f>
        <v>38.683774965962414</v>
      </c>
      <c r="AW72" s="21">
        <f>EXP(-LN(2)/2)*AW71+(1-EXP(-LN(2)/2))/(LN(2)/2)*AQ72*AT72*VLOOKUP('Données projet'!$B$10,Paramètres!$A$1:$I$89,3,0)*0.475*44/12</f>
        <v>2.4501267846532024</v>
      </c>
      <c r="AX72" s="21">
        <f t="shared" si="60"/>
        <v>59.951345122910574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13.374285714285715</v>
      </c>
      <c r="BD72" s="12">
        <f>IF('Données projet'!$A$88&gt;35,BD71+BC72-BL71,IF(A72&lt;'Données projet'!$A$88,$BA$205^A72,IF(A72='Données projet'!$A$88,'Données projet'!$B$88,BD71+BC72-BL71)))</f>
        <v>344.89714285714263</v>
      </c>
      <c r="BE72" s="13">
        <f>BD72*VLOOKUP('Données projet'!$B$11,Paramètres!$A$1:$I$89,3,0)*VLOOKUP('Données projet'!$B$11,Paramètres!$A$1:$I$89,5,0)</f>
        <v>290.54135314285702</v>
      </c>
      <c r="BF72" s="13">
        <f t="shared" si="91"/>
        <v>69.1898857973042</v>
      </c>
      <c r="BG72" s="20">
        <f t="shared" si="61"/>
        <v>626.53190782078082</v>
      </c>
      <c r="BH72" s="59">
        <f t="shared" si="62"/>
        <v>892.46206817084737</v>
      </c>
      <c r="BI72" s="59">
        <f ca="1">AVERAGE(OFFSET($BH$3,0,0,'Données projet'!$E$11+1,1))-AVERAGE(OFFSET($H$3,0,0,'Données projet'!$E$11+1,1))</f>
        <v>456.35333554128226</v>
      </c>
      <c r="BJ72" s="59">
        <f t="shared" si="92"/>
        <v>296.4517290984877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23.675019685945063</v>
      </c>
      <c r="BQ72" s="21">
        <f>EXP(-LN(2)/25)*BQ71+(1-EXP(-LN(2)/25))/(LN(2)/25)*Calculateur!BL72*Calculateur!BN72*VLOOKUP('Données projet'!$B$11,Paramètres!$A$1:$I$89,3,0)*0.475*44/12</f>
        <v>25.236573586590531</v>
      </c>
      <c r="BR72" s="21">
        <f>EXP(-LN(2)/2)*BR71+(1-EXP(-LN(2)/2))/(LN(2)/2)*BL72*BO72*VLOOKUP('Données projet'!$B$11,Paramètres!$A$1:$I$89,3,0)*0.475*44/12</f>
        <v>1.2295672863760208</v>
      </c>
      <c r="BS72" s="22">
        <f t="shared" si="63"/>
        <v>50.141160558911615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9.65625</v>
      </c>
      <c r="BY72" s="12">
        <f>IF('Données projet'!$A$114&gt;35,BY71+BX72-CG71,IF(A72&lt;'Données projet'!$A$114,$BV$205^A72,IF(A72='Données projet'!$A$114,'Données projet'!$B$114,BY71+BX72-CG71)))</f>
        <v>215.82249999999996</v>
      </c>
      <c r="BZ72" s="13">
        <f>BY72*VLOOKUP('Données projet'!$B$12,Paramètres!$A$1:$I$89,3,0)*VLOOKUP('Données projet'!$B$12,Paramètres!$A$1:$I$89,5,0)</f>
        <v>205.37669099999997</v>
      </c>
      <c r="CA72" s="13">
        <f t="shared" si="93"/>
        <v>50.923971103388858</v>
      </c>
      <c r="CB72" s="20">
        <f t="shared" si="64"/>
        <v>446.3903198300689</v>
      </c>
      <c r="CC72" s="59">
        <f t="shared" si="65"/>
        <v>712.32048018013552</v>
      </c>
      <c r="CD72" s="59">
        <f ca="1">AVERAGE(OFFSET($CC$3,0,0,'Données projet'!$E$12+1,1))-AVERAGE(OFFSET($H$3,0,0,'Données projet'!$E$12+1,1))</f>
        <v>486.36097333679697</v>
      </c>
      <c r="CE72" s="59">
        <f t="shared" si="94"/>
        <v>308.47736602748159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12.089354551205929</v>
      </c>
      <c r="CL72" s="21">
        <f>EXP(-LN(2)/25)*CL71+(1-EXP(-LN(2)/25))/(LN(2)/25)*Calculateur!CG72*Calculateur!CI72*VLOOKUP('Données projet'!$B$12,Paramètres!$A$1:$I$89,3,0)*0.475*44/12</f>
        <v>17.052226805668251</v>
      </c>
      <c r="CM72" s="21">
        <f>EXP(-LN(2)/2)*CM71+(1-EXP(-LN(2)/2))/(LN(2)/2)*CG72*CJ72*VLOOKUP('Données projet'!$B$12,Paramètres!$A$1:$I$89,3,0)*0.475*44/12</f>
        <v>5.0989310791798559</v>
      </c>
      <c r="CN72" s="22">
        <f t="shared" si="66"/>
        <v>34.240512436054033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971.92267541796309</v>
      </c>
      <c r="S73" s="59">
        <f ca="1">AVERAGE(OFFSET($R$3,0,0,'Données projet'!$E$9+1,1))-AVERAGE(OFFSET($H$3,0,0,'Données projet'!$E$9+1,1))</f>
        <v>407.05634973057056</v>
      </c>
      <c r="T73" s="59">
        <f t="shared" si="88"/>
        <v>375.32891954889965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12.795000000000002</v>
      </c>
      <c r="AI73" s="13">
        <f>IF('Données projet'!$A$62&gt;35,AI72+AH73-AQ72,IF(A73&lt;'Données projet'!$A$62,$AF$205^A73,IF(A73='Données projet'!$A$62,'Données projet'!$B$62,AI72+AH73-AQ72)))</f>
        <v>363.62000000000006</v>
      </c>
      <c r="AJ73" s="13">
        <f>AI73*VLOOKUP('Données projet'!$B$10,Paramètres!$A$1:$I$89,3,0)*VLOOKUP('Données projet'!$B$10,Paramètres!$A$1:$I$89,5,0)</f>
        <v>329.00337600000006</v>
      </c>
      <c r="AK73" s="13">
        <f t="shared" si="89"/>
        <v>77.2236452302744</v>
      </c>
      <c r="AL73" s="20">
        <f t="shared" si="58"/>
        <v>707.51206197606132</v>
      </c>
      <c r="AM73" s="59">
        <f t="shared" si="59"/>
        <v>973.91760611307086</v>
      </c>
      <c r="AN73" s="59">
        <f ca="1">AVERAGE(OFFSET($AM$3,0,0,'Données projet'!$E$10+1,1))-AVERAGE(OFFSET($H$3,0,0,'Données projet'!$E$10+1,1))</f>
        <v>737.40414421611001</v>
      </c>
      <c r="AO73" s="59">
        <f t="shared" si="90"/>
        <v>245.32893490531674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18.448444785271402</v>
      </c>
      <c r="AV73" s="21">
        <f>EXP(-LN(2)/25)*AV72+(1-EXP(-LN(2)/25))/(LN(2)/25)*Calculateur!AQ73*Calculateur!AS73*VLOOKUP('Données projet'!$B$10,Paramètres!$A$1:$I$89,3,0)*0.475*44/12</f>
        <v>37.625965105226861</v>
      </c>
      <c r="AW73" s="21">
        <f>EXP(-LN(2)/2)*AW72+(1-EXP(-LN(2)/2))/(LN(2)/2)*AQ73*AT73*VLOOKUP('Données projet'!$B$10,Paramètres!$A$1:$I$89,3,0)*0.475*44/12</f>
        <v>1.7325012641950714</v>
      </c>
      <c r="AX73" s="21">
        <f t="shared" si="60"/>
        <v>57.806911154693331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13.374285714285715</v>
      </c>
      <c r="BD73" s="12">
        <f>IF('Données projet'!$A$88&gt;35,BD72+BC73-BL72,IF(A73&lt;'Données projet'!$A$88,$BA$205^A73,IF(A73='Données projet'!$A$88,'Données projet'!$B$88,BD72+BC73-BL72)))</f>
        <v>358.27142857142832</v>
      </c>
      <c r="BE73" s="13">
        <f>BD73*VLOOKUP('Données projet'!$B$11,Paramètres!$A$1:$I$89,3,0)*VLOOKUP('Données projet'!$B$11,Paramètres!$A$1:$I$89,5,0)</f>
        <v>301.80785142857127</v>
      </c>
      <c r="BF73" s="13">
        <f t="shared" si="91"/>
        <v>71.555325950227484</v>
      </c>
      <c r="BG73" s="20">
        <f t="shared" si="61"/>
        <v>650.27420060140787</v>
      </c>
      <c r="BH73" s="59">
        <f t="shared" si="62"/>
        <v>916.67974473841741</v>
      </c>
      <c r="BI73" s="59">
        <f ca="1">AVERAGE(OFFSET($BH$3,0,0,'Données projet'!$E$11+1,1))-AVERAGE(OFFSET($H$3,0,0,'Données projet'!$E$11+1,1))</f>
        <v>456.35333554128226</v>
      </c>
      <c r="BJ73" s="59">
        <f t="shared" si="92"/>
        <v>296.4517290984877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23.210766990239826</v>
      </c>
      <c r="BQ73" s="21">
        <f>EXP(-LN(2)/25)*BQ72+(1-EXP(-LN(2)/25))/(LN(2)/25)*Calculateur!BL73*Calculateur!BN73*VLOOKUP('Données projet'!$B$11,Paramètres!$A$1:$I$89,3,0)*0.475*44/12</f>
        <v>24.546478154731485</v>
      </c>
      <c r="BR73" s="21">
        <f>EXP(-LN(2)/2)*BR72+(1-EXP(-LN(2)/2))/(LN(2)/2)*BL73*BO73*VLOOKUP('Données projet'!$B$11,Paramètres!$A$1:$I$89,3,0)*0.475*44/12</f>
        <v>0.86943536612162597</v>
      </c>
      <c r="BS73" s="22">
        <f t="shared" si="63"/>
        <v>48.626680511092935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9.65625</v>
      </c>
      <c r="BY73" s="12">
        <f>IF('Données projet'!$A$114&gt;35,BY72+BX73-CG72,IF(A73&lt;'Données projet'!$A$114,$BV$205^A73,IF(A73='Données projet'!$A$114,'Données projet'!$B$114,BY72+BX73-CG72)))</f>
        <v>225.47874999999996</v>
      </c>
      <c r="BZ73" s="13">
        <f>BY73*VLOOKUP('Données projet'!$B$12,Paramètres!$A$1:$I$89,3,0)*VLOOKUP('Données projet'!$B$12,Paramètres!$A$1:$I$89,5,0)</f>
        <v>214.56557849999996</v>
      </c>
      <c r="CA73" s="13">
        <f t="shared" si="93"/>
        <v>52.932027166993123</v>
      </c>
      <c r="CB73" s="20">
        <f t="shared" si="64"/>
        <v>465.8916632033463</v>
      </c>
      <c r="CC73" s="59">
        <f t="shared" si="65"/>
        <v>732.29720734035573</v>
      </c>
      <c r="CD73" s="59">
        <f ca="1">AVERAGE(OFFSET($CC$3,0,0,'Données projet'!$E$12+1,1))-AVERAGE(OFFSET($H$3,0,0,'Données projet'!$E$12+1,1))</f>
        <v>486.36097333679697</v>
      </c>
      <c r="CE73" s="59">
        <f t="shared" si="94"/>
        <v>308.47736602748159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11.852289682234957</v>
      </c>
      <c r="CL73" s="21">
        <f>EXP(-LN(2)/25)*CL72+(1-EXP(-LN(2)/25))/(LN(2)/25)*Calculateur!CG73*Calculateur!CI73*VLOOKUP('Données projet'!$B$12,Paramètres!$A$1:$I$89,3,0)*0.475*44/12</f>
        <v>16.58593276692962</v>
      </c>
      <c r="CM73" s="21">
        <f>EXP(-LN(2)/2)*CM72+(1-EXP(-LN(2)/2))/(LN(2)/2)*CG73*CJ73*VLOOKUP('Données projet'!$B$12,Paramètres!$A$1:$I$89,3,0)*0.475*44/12</f>
        <v>3.605488742890917</v>
      </c>
      <c r="CN73" s="22">
        <f t="shared" si="66"/>
        <v>32.043711192055497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266.87268107805579</v>
      </c>
      <c r="S74" s="59">
        <f ca="1">AVERAGE(OFFSET($R$3,0,0,'Données projet'!$E$9+1,1))-AVERAGE(OFFSET($H$3,0,0,'Données projet'!$E$9+1,1))</f>
        <v>407.05634973057056</v>
      </c>
      <c r="T74" s="59">
        <f t="shared" si="88"/>
        <v>375.32891954889965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12.795000000000002</v>
      </c>
      <c r="AI74" s="13">
        <f>IF('Données projet'!$A$62&gt;35,AI73+AH74-AQ73,IF(A74&lt;'Données projet'!$A$62,$AF$205^A74,IF(A74='Données projet'!$A$62,'Données projet'!$B$62,AI73+AH74-AQ73)))</f>
        <v>376.41500000000008</v>
      </c>
      <c r="AJ74" s="13">
        <f>AI74*VLOOKUP('Données projet'!$B$10,Paramètres!$A$1:$I$89,3,0)*VLOOKUP('Données projet'!$B$10,Paramètres!$A$1:$I$89,5,0)</f>
        <v>340.58029200000004</v>
      </c>
      <c r="AK74" s="13">
        <f t="shared" si="89"/>
        <v>79.619826521430525</v>
      </c>
      <c r="AL74" s="20">
        <f t="shared" si="58"/>
        <v>731.84853975815815</v>
      </c>
      <c r="AM74" s="59">
        <f t="shared" si="59"/>
        <v>998.72122083620616</v>
      </c>
      <c r="AN74" s="59">
        <f ca="1">AVERAGE(OFFSET($AM$3,0,0,'Données projet'!$E$10+1,1))-AVERAGE(OFFSET($H$3,0,0,'Données projet'!$E$10+1,1))</f>
        <v>737.40414421611001</v>
      </c>
      <c r="AO74" s="59">
        <f t="shared" si="90"/>
        <v>245.32893490531674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18.086682035472464</v>
      </c>
      <c r="AV74" s="21">
        <f>EXP(-LN(2)/25)*AV73+(1-EXP(-LN(2)/25))/(LN(2)/25)*Calculateur!AQ74*Calculateur!AS74*VLOOKUP('Données projet'!$B$10,Paramètres!$A$1:$I$89,3,0)*0.475*44/12</f>
        <v>36.597081110760925</v>
      </c>
      <c r="AW74" s="21">
        <f>EXP(-LN(2)/2)*AW73+(1-EXP(-LN(2)/2))/(LN(2)/2)*AQ74*AT74*VLOOKUP('Données projet'!$B$10,Paramètres!$A$1:$I$89,3,0)*0.475*44/12</f>
        <v>1.2250633923266014</v>
      </c>
      <c r="AX74" s="21">
        <f t="shared" si="60"/>
        <v>55.908826538559993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13.374285714285715</v>
      </c>
      <c r="BD74" s="12">
        <f>IF('Données projet'!$A$88&gt;35,BD73+BC74-BL73,IF(A74&lt;'Données projet'!$A$88,$BA$205^A74,IF(A74='Données projet'!$A$88,'Données projet'!$B$88,BD73+BC74-BL73)))</f>
        <v>371.64571428571401</v>
      </c>
      <c r="BE74" s="13">
        <f>BD74*VLOOKUP('Données projet'!$B$11,Paramètres!$A$1:$I$89,3,0)*VLOOKUP('Données projet'!$B$11,Paramètres!$A$1:$I$89,5,0)</f>
        <v>313.07434971428552</v>
      </c>
      <c r="BF74" s="13">
        <f t="shared" si="91"/>
        <v>73.910507535868305</v>
      </c>
      <c r="BG74" s="20">
        <f t="shared" si="61"/>
        <v>673.99862637735123</v>
      </c>
      <c r="BH74" s="59">
        <f t="shared" si="62"/>
        <v>940.87130745539912</v>
      </c>
      <c r="BI74" s="59">
        <f ca="1">AVERAGE(OFFSET($BH$3,0,0,'Données projet'!$E$11+1,1))-AVERAGE(OFFSET($H$3,0,0,'Données projet'!$E$11+1,1))</f>
        <v>456.35333554128226</v>
      </c>
      <c r="BJ74" s="59">
        <f t="shared" si="92"/>
        <v>296.4517290984877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22.755618006731183</v>
      </c>
      <c r="BQ74" s="21">
        <f>EXP(-LN(2)/25)*BQ73+(1-EXP(-LN(2)/25))/(LN(2)/25)*Calculateur!BL74*Calculateur!BN74*VLOOKUP('Données projet'!$B$11,Paramètres!$A$1:$I$89,3,0)*0.475*44/12</f>
        <v>23.875253418747167</v>
      </c>
      <c r="BR74" s="21">
        <f>EXP(-LN(2)/2)*BR73+(1-EXP(-LN(2)/2))/(LN(2)/2)*BL74*BO74*VLOOKUP('Données projet'!$B$11,Paramètres!$A$1:$I$89,3,0)*0.475*44/12</f>
        <v>0.61478364318801049</v>
      </c>
      <c r="BS74" s="22">
        <f t="shared" si="63"/>
        <v>47.245655068666359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9.65625</v>
      </c>
      <c r="BY74" s="12">
        <f>IF('Données projet'!$A$114&gt;35,BY73+BX74-CG73,IF(A74&lt;'Données projet'!$A$114,$BV$205^A74,IF(A74='Données projet'!$A$114,'Données projet'!$B$114,BY73+BX74-CG73)))</f>
        <v>235.13499999999996</v>
      </c>
      <c r="BZ74" s="13">
        <f>BY74*VLOOKUP('Données projet'!$B$12,Paramètres!$A$1:$I$89,3,0)*VLOOKUP('Données projet'!$B$12,Paramètres!$A$1:$I$89,5,0)</f>
        <v>223.75446599999998</v>
      </c>
      <c r="CA74" s="13">
        <f t="shared" si="93"/>
        <v>54.930094969115991</v>
      </c>
      <c r="CB74" s="20">
        <f t="shared" si="64"/>
        <v>485.37561035454365</v>
      </c>
      <c r="CC74" s="59">
        <f t="shared" si="65"/>
        <v>752.2482914325916</v>
      </c>
      <c r="CD74" s="59">
        <f ca="1">AVERAGE(OFFSET($CC$3,0,0,'Données projet'!$E$12+1,1))-AVERAGE(OFFSET($H$3,0,0,'Données projet'!$E$12+1,1))</f>
        <v>486.36097333679697</v>
      </c>
      <c r="CE74" s="59">
        <f t="shared" si="94"/>
        <v>308.47736602748159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11.619873510749214</v>
      </c>
      <c r="CL74" s="21">
        <f>EXP(-LN(2)/25)*CL73+(1-EXP(-LN(2)/25))/(LN(2)/25)*Calculateur!CG74*Calculateur!CI74*VLOOKUP('Données projet'!$B$12,Paramètres!$A$1:$I$89,3,0)*0.475*44/12</f>
        <v>16.132389563201635</v>
      </c>
      <c r="CM74" s="21">
        <f>EXP(-LN(2)/2)*CM73+(1-EXP(-LN(2)/2))/(LN(2)/2)*CG74*CJ74*VLOOKUP('Données projet'!$B$12,Paramètres!$A$1:$I$89,3,0)*0.475*44/12</f>
        <v>2.5494655395899279</v>
      </c>
      <c r="CN74" s="22">
        <f t="shared" si="66"/>
        <v>30.301728613540778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267.33171423752896</v>
      </c>
      <c r="S75" s="59">
        <f ca="1">AVERAGE(OFFSET($R$3,0,0,'Données projet'!$E$9+1,1))-AVERAGE(OFFSET($H$3,0,0,'Données projet'!$E$9+1,1))</f>
        <v>407.05634973057056</v>
      </c>
      <c r="T75" s="59">
        <f t="shared" si="88"/>
        <v>375.32891954889965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12.795000000000002</v>
      </c>
      <c r="AI75" s="13">
        <f>IF('Données projet'!$A$62&gt;35,AI74+AH75-AQ74,IF(A75&lt;'Données projet'!$A$62,$AF$205^A75,IF(A75='Données projet'!$A$62,'Données projet'!$B$62,AI74+AH75-AQ74)))</f>
        <v>389.21000000000009</v>
      </c>
      <c r="AJ75" s="13">
        <f>AI75*VLOOKUP('Données projet'!$B$10,Paramètres!$A$1:$I$89,3,0)*VLOOKUP('Données projet'!$B$10,Paramètres!$A$1:$I$89,5,0)</f>
        <v>352.15720800000008</v>
      </c>
      <c r="AK75" s="13">
        <f t="shared" si="89"/>
        <v>82.006543796021603</v>
      </c>
      <c r="AL75" s="20">
        <f t="shared" si="58"/>
        <v>756.16853437807106</v>
      </c>
      <c r="AM75" s="59">
        <f t="shared" si="59"/>
        <v>1023.5002486155922</v>
      </c>
      <c r="AN75" s="59">
        <f ca="1">AVERAGE(OFFSET($AM$3,0,0,'Données projet'!$E$10+1,1))-AVERAGE(OFFSET($H$3,0,0,'Données projet'!$E$10+1,1))</f>
        <v>737.40414421611001</v>
      </c>
      <c r="AO75" s="59">
        <f t="shared" si="90"/>
        <v>245.32893490531674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17.732013232543594</v>
      </c>
      <c r="AV75" s="21">
        <f>EXP(-LN(2)/25)*AV74+(1-EXP(-LN(2)/25))/(LN(2)/25)*Calculateur!AQ75*Calculateur!AS75*VLOOKUP('Données projet'!$B$10,Paramètres!$A$1:$I$89,3,0)*0.475*44/12</f>
        <v>35.596332003230316</v>
      </c>
      <c r="AW75" s="21">
        <f>EXP(-LN(2)/2)*AW74+(1-EXP(-LN(2)/2))/(LN(2)/2)*AQ75*AT75*VLOOKUP('Données projet'!$B$10,Paramètres!$A$1:$I$89,3,0)*0.475*44/12</f>
        <v>0.86625063209753583</v>
      </c>
      <c r="AX75" s="21">
        <f t="shared" si="60"/>
        <v>54.194595867871442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385.02</v>
      </c>
      <c r="BB75" s="12">
        <f>VLOOKUP(A75,'Données projet'!$A$87:$I$107,9,0)</f>
        <v>13.374285714285715</v>
      </c>
      <c r="BC75" s="12">
        <f t="array" ref="BC75">INDEX(BB:BB,MIN(IF(ISNUMBER(BB75:BB271),ROW(BB75:BB271),"")))</f>
        <v>13.374285714285715</v>
      </c>
      <c r="BD75" s="12">
        <f>IF('Données projet'!$A$88&gt;35,BD74+BC75-BL74,IF(A75&lt;'Données projet'!$A$88,$BA$205^A75,IF(A75='Données projet'!$A$88,'Données projet'!$B$88,BD74+BC75-BL74)))</f>
        <v>385.0199999999997</v>
      </c>
      <c r="BE75" s="13">
        <f>BD75*VLOOKUP('Données projet'!$B$11,Paramètres!$A$1:$I$89,3,0)*VLOOKUP('Données projet'!$B$11,Paramètres!$A$1:$I$89,5,0)</f>
        <v>324.34084799999977</v>
      </c>
      <c r="BF75" s="13">
        <f t="shared" si="91"/>
        <v>76.255842015925083</v>
      </c>
      <c r="BG75" s="20">
        <f t="shared" si="61"/>
        <v>697.7059017777359</v>
      </c>
      <c r="BH75" s="59">
        <f t="shared" si="62"/>
        <v>965.03761601525707</v>
      </c>
      <c r="BI75" s="59">
        <f ca="1">AVERAGE(OFFSET($BH$3,0,0,'Données projet'!$E$11+1,1))-AVERAGE(OFFSET($H$3,0,0,'Données projet'!$E$11+1,1))</f>
        <v>456.35333554128226</v>
      </c>
      <c r="BJ75" s="59">
        <f t="shared" si="92"/>
        <v>296.4517290984877</v>
      </c>
      <c r="BK75" s="15">
        <f>IF(ISNA(VLOOKUP(A75,'Données projet'!$A$87:$I$107,3,0)),0,VLOOKUP(A75,'Données projet'!$A$87:$I$107,3,0))</f>
        <v>7</v>
      </c>
      <c r="BL75" s="15">
        <f>IF(ISNA(VLOOKUP(A75,'Données projet'!$A$87:$I$107,4,0)),0,VLOOKUP(A75,'Données projet'!$A$87:$I$107,4,0))</f>
        <v>66.109999999999957</v>
      </c>
      <c r="BM75" s="16">
        <f>IF(ISNA(VLOOKUP(A75,'Données projet'!$A$87:$I$107,5,0)),0%,VLOOKUP(A75,'Données projet'!$A$87:$I$107,5,0)*VLOOKUP('Données projet'!$B$11,Paramètres!$A$1:$I$89,7,0))</f>
        <v>0.15049999999999999</v>
      </c>
      <c r="BN75" s="16">
        <f>IF(ISNA(VLOOKUP(A75,'Données projet'!$A$87:$I$107,6,0)),0%,VLOOKUP(A75,'Données projet'!$A$87:$I$107,6,0)*VLOOKUP('Données projet'!$B$11,Paramètres!$A$1:$I$89,7,0))</f>
        <v>8.6000000000000007E-2</v>
      </c>
      <c r="BO75" s="16">
        <f>IF(ISNA(VLOOKUP(A75,'Données projet'!$A$87:$I$107,7,0)),0%,VLOOKUP(A75,'Données projet'!$A$87:$I$107,7,0))</f>
        <v>0.1</v>
      </c>
      <c r="BP75" s="21">
        <f>EXP(-LN(2)/35)*BP74+(1-EXP(-LN(2)/35))/(LN(2)/35)*BL75*BM75*VLOOKUP('Données projet'!$B$11,Paramètres!$A$1:$I$89,3,0)*0.475*44/12</f>
        <v>31.574899876505079</v>
      </c>
      <c r="BQ75" s="21">
        <f>EXP(-LN(2)/25)*BQ74+(1-EXP(-LN(2)/25))/(LN(2)/25)*Calculateur!BL75*Calculateur!BN75*VLOOKUP('Données projet'!$B$11,Paramètres!$A$1:$I$89,3,0)*0.475*44/12</f>
        <v>28.496111263103195</v>
      </c>
      <c r="BR75" s="21">
        <f>EXP(-LN(2)/2)*BR74+(1-EXP(-LN(2)/2))/(LN(2)/2)*BL75*BO75*VLOOKUP('Données projet'!$B$11,Paramètres!$A$1:$I$89,3,0)*0.475*44/12</f>
        <v>5.689319461761932</v>
      </c>
      <c r="BS75" s="22">
        <f t="shared" si="63"/>
        <v>65.7603306013702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9.65625</v>
      </c>
      <c r="BY75" s="12">
        <f>IF('Données projet'!$A$114&gt;35,BY74+BX75-CG74,IF(A75&lt;'Données projet'!$A$114,$BV$205^A75,IF(A75='Données projet'!$A$114,'Données projet'!$B$114,BY74+BX75-CG74)))</f>
        <v>244.79124999999996</v>
      </c>
      <c r="BZ75" s="13">
        <f>BY75*VLOOKUP('Données projet'!$B$12,Paramètres!$A$1:$I$89,3,0)*VLOOKUP('Données projet'!$B$12,Paramètres!$A$1:$I$89,5,0)</f>
        <v>232.94335349999997</v>
      </c>
      <c r="CA75" s="13">
        <f t="shared" si="93"/>
        <v>56.918631610926248</v>
      </c>
      <c r="CB75" s="20">
        <f t="shared" si="64"/>
        <v>504.84295740152987</v>
      </c>
      <c r="CC75" s="59">
        <f t="shared" si="65"/>
        <v>772.17467163905098</v>
      </c>
      <c r="CD75" s="59">
        <f ca="1">AVERAGE(OFFSET($CC$3,0,0,'Données projet'!$E$12+1,1))-AVERAGE(OFFSET($H$3,0,0,'Données projet'!$E$12+1,1))</f>
        <v>486.36097333679697</v>
      </c>
      <c r="CE75" s="59">
        <f t="shared" si="94"/>
        <v>308.47736602748159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11.392014878626439</v>
      </c>
      <c r="CL75" s="21">
        <f>EXP(-LN(2)/25)*CL74+(1-EXP(-LN(2)/25))/(LN(2)/25)*Calculateur!CG75*Calculateur!CI75*VLOOKUP('Données projet'!$B$12,Paramètres!$A$1:$I$89,3,0)*0.475*44/12</f>
        <v>15.69124852223039</v>
      </c>
      <c r="CM75" s="21">
        <f>EXP(-LN(2)/2)*CM74+(1-EXP(-LN(2)/2))/(LN(2)/2)*CG75*CJ75*VLOOKUP('Données projet'!$B$12,Paramètres!$A$1:$I$89,3,0)*0.475*44/12</f>
        <v>1.8027443714454585</v>
      </c>
      <c r="CN75" s="22">
        <f t="shared" si="66"/>
        <v>28.886007772302289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267.78278419792963</v>
      </c>
      <c r="S76" s="59">
        <f ca="1">AVERAGE(OFFSET($R$3,0,0,'Données projet'!$E$9+1,1))-AVERAGE(OFFSET($H$3,0,0,'Données projet'!$E$9+1,1))</f>
        <v>407.05634973057056</v>
      </c>
      <c r="T76" s="59">
        <f t="shared" si="88"/>
        <v>375.32891954889965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12.795000000000002</v>
      </c>
      <c r="AI76" s="13">
        <f>IF('Données projet'!$A$62&gt;35,AI75+AH76-AQ75,IF(A76&lt;'Données projet'!$A$62,$AF$205^A76,IF(A76='Données projet'!$A$62,'Données projet'!$B$62,AI75+AH76-AQ75)))</f>
        <v>402.00500000000011</v>
      </c>
      <c r="AJ76" s="13">
        <f>AI76*VLOOKUP('Données projet'!$B$10,Paramètres!$A$1:$I$89,3,0)*VLOOKUP('Données projet'!$B$10,Paramètres!$A$1:$I$89,5,0)</f>
        <v>363.73412400000007</v>
      </c>
      <c r="AK76" s="13">
        <f t="shared" si="89"/>
        <v>84.384143854645217</v>
      </c>
      <c r="AL76" s="20">
        <f t="shared" si="58"/>
        <v>780.47264984684045</v>
      </c>
      <c r="AM76" s="59">
        <f t="shared" si="59"/>
        <v>1048.2554340447623</v>
      </c>
      <c r="AN76" s="59">
        <f ca="1">AVERAGE(OFFSET($AM$3,0,0,'Données projet'!$E$10+1,1))-AVERAGE(OFFSET($H$3,0,0,'Données projet'!$E$10+1,1))</f>
        <v>737.40414421611001</v>
      </c>
      <c r="AO76" s="59">
        <f t="shared" si="90"/>
        <v>245.32893490531674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17.384299268513548</v>
      </c>
      <c r="AV76" s="21">
        <f>EXP(-LN(2)/25)*AV75+(1-EXP(-LN(2)/25))/(LN(2)/25)*Calculateur!AQ76*Calculateur!AS76*VLOOKUP('Données projet'!$B$10,Paramètres!$A$1:$I$89,3,0)*0.475*44/12</f>
        <v>34.622948432672239</v>
      </c>
      <c r="AW76" s="21">
        <f>EXP(-LN(2)/2)*AW75+(1-EXP(-LN(2)/2))/(LN(2)/2)*AQ76*AT76*VLOOKUP('Données projet'!$B$10,Paramètres!$A$1:$I$89,3,0)*0.475*44/12</f>
        <v>0.61253169616330083</v>
      </c>
      <c r="AX76" s="21">
        <f t="shared" si="60"/>
        <v>52.619779397349092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12.707777777777771</v>
      </c>
      <c r="BD76" s="12">
        <f>IF('Données projet'!$A$88&gt;35,BD75+BC76-BL75,IF(A76&lt;'Données projet'!$A$88,$BA$205^A76,IF(A76='Données projet'!$A$88,'Données projet'!$B$88,BD75+BC76-BL75)))</f>
        <v>331.61777777777752</v>
      </c>
      <c r="BE76" s="13">
        <f>BD76*VLOOKUP('Données projet'!$B$11,Paramètres!$A$1:$I$89,3,0)*VLOOKUP('Données projet'!$B$11,Paramètres!$A$1:$I$89,5,0)</f>
        <v>279.35481599999986</v>
      </c>
      <c r="BF76" s="13">
        <f t="shared" si="91"/>
        <v>66.830644654544344</v>
      </c>
      <c r="BG76" s="20">
        <f t="shared" si="61"/>
        <v>602.93967730666452</v>
      </c>
      <c r="BH76" s="59">
        <f t="shared" si="62"/>
        <v>870.72246150458636</v>
      </c>
      <c r="BI76" s="59">
        <f ca="1">AVERAGE(OFFSET($BH$3,0,0,'Données projet'!$E$11+1,1))-AVERAGE(OFFSET($H$3,0,0,'Données projet'!$E$11+1,1))</f>
        <v>456.35333554128226</v>
      </c>
      <c r="BJ76" s="59">
        <f t="shared" si="92"/>
        <v>296.4517290984877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30.955735348714093</v>
      </c>
      <c r="BQ76" s="21">
        <f>EXP(-LN(2)/25)*BQ75+(1-EXP(-LN(2)/25))/(LN(2)/25)*Calculateur!BL76*Calculateur!BN76*VLOOKUP('Données projet'!$B$11,Paramètres!$A$1:$I$89,3,0)*0.475*44/12</f>
        <v>27.716883602068275</v>
      </c>
      <c r="BR76" s="21">
        <f>EXP(-LN(2)/2)*BR75+(1-EXP(-LN(2)/2))/(LN(2)/2)*BL76*BO76*VLOOKUP('Données projet'!$B$11,Paramètres!$A$1:$I$89,3,0)*0.475*44/12</f>
        <v>4.0229563717484611</v>
      </c>
      <c r="BS76" s="22">
        <f t="shared" si="63"/>
        <v>62.695575322530829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9.65625</v>
      </c>
      <c r="BY76" s="12">
        <f>IF('Données projet'!$A$114&gt;35,BY75+BX76-CG75,IF(A76&lt;'Données projet'!$A$114,$BV$205^A76,IF(A76='Données projet'!$A$114,'Données projet'!$B$114,BY75+BX76-CG75)))</f>
        <v>254.44749999999996</v>
      </c>
      <c r="BZ76" s="13">
        <f>BY76*VLOOKUP('Données projet'!$B$12,Paramètres!$A$1:$I$89,3,0)*VLOOKUP('Données projet'!$B$12,Paramètres!$A$1:$I$89,5,0)</f>
        <v>242.13224099999996</v>
      </c>
      <c r="CA76" s="13">
        <f t="shared" si="93"/>
        <v>58.898056089565813</v>
      </c>
      <c r="CB76" s="20">
        <f t="shared" si="64"/>
        <v>524.29443409766043</v>
      </c>
      <c r="CC76" s="59">
        <f t="shared" si="65"/>
        <v>792.07721829558227</v>
      </c>
      <c r="CD76" s="59">
        <f ca="1">AVERAGE(OFFSET($CC$3,0,0,'Données projet'!$E$12+1,1))-AVERAGE(OFFSET($H$3,0,0,'Données projet'!$E$12+1,1))</f>
        <v>486.36097333679697</v>
      </c>
      <c r="CE76" s="59">
        <f t="shared" si="94"/>
        <v>308.47736602748159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11.168624415299549</v>
      </c>
      <c r="CL76" s="21">
        <f>EXP(-LN(2)/25)*CL75+(1-EXP(-LN(2)/25))/(LN(2)/25)*Calculateur!CG76*Calculateur!CI76*VLOOKUP('Données projet'!$B$12,Paramètres!$A$1:$I$89,3,0)*0.475*44/12</f>
        <v>15.262170506223104</v>
      </c>
      <c r="CM76" s="21">
        <f>EXP(-LN(2)/2)*CM75+(1-EXP(-LN(2)/2))/(LN(2)/2)*CG76*CJ76*VLOOKUP('Données projet'!$B$12,Paramètres!$A$1:$I$89,3,0)*0.475*44/12</f>
        <v>1.274732769794964</v>
      </c>
      <c r="CN76" s="22">
        <f t="shared" si="66"/>
        <v>27.70552769131762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268.22602910295871</v>
      </c>
      <c r="S77" s="59">
        <f ca="1">AVERAGE(OFFSET($R$3,0,0,'Données projet'!$E$9+1,1))-AVERAGE(OFFSET($H$3,0,0,'Données projet'!$E$9+1,1))</f>
        <v>407.05634973057056</v>
      </c>
      <c r="T77" s="59">
        <f t="shared" si="88"/>
        <v>375.32891954889965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12.795000000000002</v>
      </c>
      <c r="AH77" s="12">
        <f t="array" ref="AH77">INDEX(AG:AG,MIN(IF(ISNUMBER(AG77:AG273),ROW(AG77:AG273),"")))</f>
        <v>12.795000000000002</v>
      </c>
      <c r="AI77" s="13">
        <f>IF('Données projet'!$A$62&gt;35,AI76+AH77-AQ76,IF(A77&lt;'Données projet'!$A$62,$AF$205^A77,IF(A77='Données projet'!$A$62,'Données projet'!$B$62,AI76+AH77-AQ76)))</f>
        <v>414.80000000000013</v>
      </c>
      <c r="AJ77" s="13">
        <f>AI77*VLOOKUP('Données projet'!$B$10,Paramètres!$A$1:$I$89,3,0)*VLOOKUP('Données projet'!$B$10,Paramètres!$A$1:$I$89,5,0)</f>
        <v>375.31104000000011</v>
      </c>
      <c r="AK77" s="13">
        <f t="shared" si="89"/>
        <v>86.752950168429535</v>
      </c>
      <c r="AL77" s="20">
        <f t="shared" si="58"/>
        <v>804.76144954334825</v>
      </c>
      <c r="AM77" s="59">
        <f t="shared" si="59"/>
        <v>1072.9874786462992</v>
      </c>
      <c r="AN77" s="59">
        <f ca="1">AVERAGE(OFFSET($AM$3,0,0,'Données projet'!$E$10+1,1))-AVERAGE(OFFSET($H$3,0,0,'Données projet'!$E$10+1,1))</f>
        <v>737.40414421611001</v>
      </c>
      <c r="AO77" s="59">
        <f t="shared" si="90"/>
        <v>245.32893490531674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75.29000000000002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28.377150387342887</v>
      </c>
      <c r="AV77" s="21">
        <f>EXP(-LN(2)/25)*AV76+(1-EXP(-LN(2)/25))/(LN(2)/25)*Calculateur!AQ77*Calculateur!AS77*VLOOKUP('Données projet'!$B$10,Paramètres!$A$1:$I$89,3,0)*0.475*44/12</f>
        <v>40.127108569984337</v>
      </c>
      <c r="AW77" s="21">
        <f>EXP(-LN(2)/2)*AW76+(1-EXP(-LN(2)/2))/(LN(2)/2)*AQ77*AT77*VLOOKUP('Données projet'!$B$10,Paramètres!$A$1:$I$89,3,0)*0.475*44/12</f>
        <v>6.8606563499786484</v>
      </c>
      <c r="AX77" s="21">
        <f t="shared" si="60"/>
        <v>75.364915307305878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12.707777777777771</v>
      </c>
      <c r="BD77" s="12">
        <f>IF('Données projet'!$A$88&gt;35,BD76+BC77-BL76,IF(A77&lt;'Données projet'!$A$88,$BA$205^A77,IF(A77='Données projet'!$A$88,'Données projet'!$B$88,BD76+BC77-BL76)))</f>
        <v>344.3255555555553</v>
      </c>
      <c r="BE77" s="13">
        <f>BD77*VLOOKUP('Données projet'!$B$11,Paramètres!$A$1:$I$89,3,0)*VLOOKUP('Données projet'!$B$11,Paramètres!$A$1:$I$89,5,0)</f>
        <v>290.05984799999982</v>
      </c>
      <c r="BF77" s="13">
        <f t="shared" si="91"/>
        <v>69.088556925071103</v>
      </c>
      <c r="BG77" s="20">
        <f t="shared" si="61"/>
        <v>625.51680524449841</v>
      </c>
      <c r="BH77" s="59">
        <f t="shared" si="62"/>
        <v>893.74283434744927</v>
      </c>
      <c r="BI77" s="59">
        <f ca="1">AVERAGE(OFFSET($BH$3,0,0,'Données projet'!$E$11+1,1))-AVERAGE(OFFSET($H$3,0,0,'Données projet'!$E$11+1,1))</f>
        <v>456.35333554128226</v>
      </c>
      <c r="BJ77" s="59">
        <f t="shared" si="92"/>
        <v>296.4517290984877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30.348712259660015</v>
      </c>
      <c r="BQ77" s="21">
        <f>EXP(-LN(2)/25)*BQ76+(1-EXP(-LN(2)/25))/(LN(2)/25)*Calculateur!BL77*Calculateur!BN77*VLOOKUP('Données projet'!$B$11,Paramètres!$A$1:$I$89,3,0)*0.475*44/12</f>
        <v>26.958963962402159</v>
      </c>
      <c r="BR77" s="21">
        <f>EXP(-LN(2)/2)*BR76+(1-EXP(-LN(2)/2))/(LN(2)/2)*BL77*BO77*VLOOKUP('Données projet'!$B$11,Paramètres!$A$1:$I$89,3,0)*0.475*44/12</f>
        <v>2.8446597308809665</v>
      </c>
      <c r="BS77" s="22">
        <f t="shared" si="63"/>
        <v>60.152335952943133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9.65625</v>
      </c>
      <c r="BY77" s="12">
        <f>IF('Données projet'!$A$114&gt;35,BY76+BX77-CG76,IF(A77&lt;'Données projet'!$A$114,$BV$205^A77,IF(A77='Données projet'!$A$114,'Données projet'!$B$114,BY76+BX77-CG76)))</f>
        <v>264.10374999999999</v>
      </c>
      <c r="BZ77" s="13">
        <f>BY77*VLOOKUP('Données projet'!$B$12,Paramètres!$A$1:$I$89,3,0)*VLOOKUP('Données projet'!$B$12,Paramètres!$A$1:$I$89,5,0)</f>
        <v>251.32112849999999</v>
      </c>
      <c r="CA77" s="13">
        <f t="shared" si="93"/>
        <v>60.868753799109797</v>
      </c>
      <c r="CB77" s="20">
        <f t="shared" si="64"/>
        <v>543.73071167094952</v>
      </c>
      <c r="CC77" s="59">
        <f t="shared" si="65"/>
        <v>811.95674077390038</v>
      </c>
      <c r="CD77" s="59">
        <f ca="1">AVERAGE(OFFSET($CC$3,0,0,'Données projet'!$E$12+1,1))-AVERAGE(OFFSET($H$3,0,0,'Données projet'!$E$12+1,1))</f>
        <v>486.36097333679697</v>
      </c>
      <c r="CE77" s="59">
        <f t="shared" si="94"/>
        <v>308.47736602748159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10.949614502703771</v>
      </c>
      <c r="CL77" s="21">
        <f>EXP(-LN(2)/25)*CL76+(1-EXP(-LN(2)/25))/(LN(2)/25)*Calculateur!CG77*Calculateur!CI77*VLOOKUP('Données projet'!$B$12,Paramètres!$A$1:$I$89,3,0)*0.475*44/12</f>
        <v>14.844825651127769</v>
      </c>
      <c r="CM77" s="21">
        <f>EXP(-LN(2)/2)*CM76+(1-EXP(-LN(2)/2))/(LN(2)/2)*CG77*CJ77*VLOOKUP('Données projet'!$B$12,Paramètres!$A$1:$I$89,3,0)*0.475*44/12</f>
        <v>0.90137218572272926</v>
      </c>
      <c r="CN77" s="22">
        <f t="shared" si="66"/>
        <v>26.695812339554266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268.66158469983264</v>
      </c>
      <c r="S78" s="59">
        <f ca="1">AVERAGE(OFFSET($R$3,0,0,'Données projet'!$E$9+1,1))-AVERAGE(OFFSET($H$3,0,0,'Données projet'!$E$9+1,1))</f>
        <v>407.05634973057056</v>
      </c>
      <c r="T78" s="59">
        <f t="shared" si="88"/>
        <v>375.32891954889965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12.082500000000003</v>
      </c>
      <c r="AI78" s="13">
        <f>IF('Données projet'!$A$62&gt;35,AI77+AH78-AQ77,IF(A78&lt;'Données projet'!$A$62,$AF$205^A78,IF(A78='Données projet'!$A$62,'Données projet'!$B$62,AI77+AH78-AQ77)))</f>
        <v>351.59250000000009</v>
      </c>
      <c r="AJ78" s="13">
        <f>AI78*VLOOKUP('Données projet'!$B$10,Paramètres!$A$1:$I$89,3,0)*VLOOKUP('Données projet'!$B$10,Paramètres!$A$1:$I$89,5,0)</f>
        <v>318.12089400000008</v>
      </c>
      <c r="AK78" s="13">
        <f t="shared" si="89"/>
        <v>74.962235198318652</v>
      </c>
      <c r="AL78" s="20">
        <f t="shared" si="58"/>
        <v>684.6197833537384</v>
      </c>
      <c r="AM78" s="59">
        <f t="shared" si="59"/>
        <v>953.28136805356326</v>
      </c>
      <c r="AN78" s="59">
        <f ca="1">AVERAGE(OFFSET($AM$3,0,0,'Données projet'!$E$10+1,1))-AVERAGE(OFFSET($H$3,0,0,'Données projet'!$E$10+1,1))</f>
        <v>737.40414421611001</v>
      </c>
      <c r="AO78" s="59">
        <f t="shared" si="90"/>
        <v>245.32893490531674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27.820691776599773</v>
      </c>
      <c r="AV78" s="21">
        <f>EXP(-LN(2)/25)*AV77+(1-EXP(-LN(2)/25))/(LN(2)/25)*Calculateur!AQ78*Calculateur!AS78*VLOOKUP('Données projet'!$B$10,Paramètres!$A$1:$I$89,3,0)*0.475*44/12</f>
        <v>39.029830675945185</v>
      </c>
      <c r="AW78" s="21">
        <f>EXP(-LN(2)/2)*AW77+(1-EXP(-LN(2)/2))/(LN(2)/2)*AQ78*AT78*VLOOKUP('Données projet'!$B$10,Paramètres!$A$1:$I$89,3,0)*0.475*44/12</f>
        <v>4.8512166284604499</v>
      </c>
      <c r="AX78" s="21">
        <f t="shared" si="60"/>
        <v>71.701739081005414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12.707777777777771</v>
      </c>
      <c r="BD78" s="12">
        <f>IF('Données projet'!$A$88&gt;35,BD77+BC78-BL77,IF(A78&lt;'Données projet'!$A$88,$BA$205^A78,IF(A78='Données projet'!$A$88,'Données projet'!$B$88,BD77+BC78-BL77)))</f>
        <v>357.03333333333308</v>
      </c>
      <c r="BE78" s="13">
        <f>BD78*VLOOKUP('Données projet'!$B$11,Paramètres!$A$1:$I$89,3,0)*VLOOKUP('Données projet'!$B$11,Paramètres!$A$1:$I$89,5,0)</f>
        <v>300.76487999999978</v>
      </c>
      <c r="BF78" s="13">
        <f t="shared" si="91"/>
        <v>71.336787932050342</v>
      </c>
      <c r="BG78" s="20">
        <f t="shared" si="61"/>
        <v>648.07707164832061</v>
      </c>
      <c r="BH78" s="59">
        <f t="shared" si="62"/>
        <v>916.73865634814547</v>
      </c>
      <c r="BI78" s="59">
        <f ca="1">AVERAGE(OFFSET($BH$3,0,0,'Données projet'!$E$11+1,1))-AVERAGE(OFFSET($H$3,0,0,'Données projet'!$E$11+1,1))</f>
        <v>456.35333554128226</v>
      </c>
      <c r="BJ78" s="59">
        <f t="shared" si="92"/>
        <v>296.4517290984877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29.753592523134763</v>
      </c>
      <c r="BQ78" s="21">
        <f>EXP(-LN(2)/25)*BQ77+(1-EXP(-LN(2)/25))/(LN(2)/25)*Calculateur!BL78*Calculateur!BN78*VLOOKUP('Données projet'!$B$11,Paramètres!$A$1:$I$89,3,0)*0.475*44/12</f>
        <v>26.221769675139971</v>
      </c>
      <c r="BR78" s="21">
        <f>EXP(-LN(2)/2)*BR77+(1-EXP(-LN(2)/2))/(LN(2)/2)*BL78*BO78*VLOOKUP('Données projet'!$B$11,Paramètres!$A$1:$I$89,3,0)*0.475*44/12</f>
        <v>2.011478185874231</v>
      </c>
      <c r="BS78" s="22">
        <f t="shared" si="63"/>
        <v>57.986840384148969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273.76</v>
      </c>
      <c r="BW78" s="12">
        <f>VLOOKUP(A78,'Données projet'!$A$113:$I$133,9,0)</f>
        <v>9.65625</v>
      </c>
      <c r="BX78" s="12">
        <f t="array" ref="BX78">INDEX(BW:BW,MIN(IF(ISNUMBER(BW78:BW274),ROW(BW78:BW274),"")))</f>
        <v>9.65625</v>
      </c>
      <c r="BY78" s="12">
        <f>IF('Données projet'!$A$114&gt;35,BY77+BX78-CG77,IF(A78&lt;'Données projet'!$A$114,$BV$205^A78,IF(A78='Données projet'!$A$114,'Données projet'!$B$114,BY77+BX78-CG77)))</f>
        <v>273.76</v>
      </c>
      <c r="BZ78" s="13">
        <f>BY78*VLOOKUP('Données projet'!$B$12,Paramètres!$A$1:$I$89,3,0)*VLOOKUP('Données projet'!$B$12,Paramètres!$A$1:$I$89,5,0)</f>
        <v>260.51001600000001</v>
      </c>
      <c r="CA78" s="13">
        <f t="shared" si="93"/>
        <v>62.831080354761788</v>
      </c>
      <c r="CB78" s="20">
        <f t="shared" si="64"/>
        <v>563.15240948454345</v>
      </c>
      <c r="CC78" s="59">
        <f t="shared" si="65"/>
        <v>831.81399418436831</v>
      </c>
      <c r="CD78" s="59">
        <f ca="1">AVERAGE(OFFSET($CC$3,0,0,'Données projet'!$E$12+1,1))-AVERAGE(OFFSET($H$3,0,0,'Données projet'!$E$12+1,1))</f>
        <v>486.36097333679697</v>
      </c>
      <c r="CE78" s="59">
        <f t="shared" si="94"/>
        <v>308.47736602748159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43.519999999999982</v>
      </c>
      <c r="CH78" s="16">
        <f>IF(ISNA(VLOOKUP(A78,'Données projet'!$A$113:$I$133,5,0)),0%,VLOOKUP(A78,'Données projet'!$A$113:$I$133,5,0)*VLOOKUP('Données projet'!$B$12,Paramètres!$A$1:$I$89,7,0))</f>
        <v>0.1075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15.656415165535513</v>
      </c>
      <c r="CL78" s="21">
        <f>EXP(-LN(2)/25)*CL77+(1-EXP(-LN(2)/25))/(LN(2)/25)*Calculateur!CG78*Calculateur!CI78*VLOOKUP('Données projet'!$B$12,Paramètres!$A$1:$I$89,3,0)*0.475*44/12</f>
        <v>19.341031154226773</v>
      </c>
      <c r="CM78" s="21">
        <f>EXP(-LN(2)/2)*CM77+(1-EXP(-LN(2)/2))/(LN(2)/2)*CG78*CJ78*VLOOKUP('Données projet'!$B$12,Paramètres!$A$1:$I$89,3,0)*0.475*44/12</f>
        <v>10.406085490788222</v>
      </c>
      <c r="CN78" s="22">
        <f t="shared" si="66"/>
        <v>45.403531810550511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269.08958438085727</v>
      </c>
      <c r="S79" s="59">
        <f ca="1">AVERAGE(OFFSET($R$3,0,0,'Données projet'!$E$9+1,1))-AVERAGE(OFFSET($H$3,0,0,'Données projet'!$E$9+1,1))</f>
        <v>407.05634973057056</v>
      </c>
      <c r="T79" s="59">
        <f t="shared" si="88"/>
        <v>375.32891954889965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12.082500000000003</v>
      </c>
      <c r="AI79" s="13">
        <f>IF('Données projet'!$A$62&gt;35,AI78+AH79-AQ78,IF(A79&lt;'Données projet'!$A$62,$AF$205^A79,IF(A79='Données projet'!$A$62,'Données projet'!$B$62,AI78+AH79-AQ78)))</f>
        <v>363.67500000000007</v>
      </c>
      <c r="AJ79" s="13">
        <f>AI79*VLOOKUP('Données projet'!$B$10,Paramètres!$A$1:$I$89,3,0)*VLOOKUP('Données projet'!$B$10,Paramètres!$A$1:$I$89,5,0)</f>
        <v>329.05314000000004</v>
      </c>
      <c r="AK79" s="13">
        <f t="shared" si="89"/>
        <v>77.233966119321479</v>
      </c>
      <c r="AL79" s="20">
        <f t="shared" si="58"/>
        <v>707.61670982448493</v>
      </c>
      <c r="AM79" s="59">
        <f t="shared" si="59"/>
        <v>976.70629420533442</v>
      </c>
      <c r="AN79" s="59">
        <f ca="1">AVERAGE(OFFSET($AM$3,0,0,'Données projet'!$E$10+1,1))-AVERAGE(OFFSET($H$3,0,0,'Données projet'!$E$10+1,1))</f>
        <v>737.40414421611001</v>
      </c>
      <c r="AO79" s="59">
        <f t="shared" si="90"/>
        <v>245.32893490531674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27.275144979807092</v>
      </c>
      <c r="AV79" s="21">
        <f>EXP(-LN(2)/25)*AV78+(1-EXP(-LN(2)/25))/(LN(2)/25)*Calculateur!AQ79*Calculateur!AS79*VLOOKUP('Données projet'!$B$10,Paramètres!$A$1:$I$89,3,0)*0.475*44/12</f>
        <v>37.962557903621871</v>
      </c>
      <c r="AW79" s="21">
        <f>EXP(-LN(2)/2)*AW78+(1-EXP(-LN(2)/2))/(LN(2)/2)*AQ79*AT79*VLOOKUP('Données projet'!$B$10,Paramètres!$A$1:$I$89,3,0)*0.475*44/12</f>
        <v>3.4303281749893242</v>
      </c>
      <c r="AX79" s="21">
        <f t="shared" si="60"/>
        <v>68.668031058418293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12.707777777777771</v>
      </c>
      <c r="BD79" s="12">
        <f>IF('Données projet'!$A$88&gt;35,BD78+BC79-BL78,IF(A79&lt;'Données projet'!$A$88,$BA$205^A79,IF(A79='Données projet'!$A$88,'Données projet'!$B$88,BD78+BC79-BL78)))</f>
        <v>369.74111111111085</v>
      </c>
      <c r="BE79" s="13">
        <f>BD79*VLOOKUP('Données projet'!$B$11,Paramètres!$A$1:$I$89,3,0)*VLOOKUP('Données projet'!$B$11,Paramètres!$A$1:$I$89,5,0)</f>
        <v>311.46991199999979</v>
      </c>
      <c r="BF79" s="13">
        <f t="shared" si="91"/>
        <v>73.575721736197707</v>
      </c>
      <c r="BG79" s="20">
        <f t="shared" si="61"/>
        <v>670.62114542387724</v>
      </c>
      <c r="BH79" s="59">
        <f t="shared" si="62"/>
        <v>939.71072980472672</v>
      </c>
      <c r="BI79" s="59">
        <f ca="1">AVERAGE(OFFSET($BH$3,0,0,'Données projet'!$E$11+1,1))-AVERAGE(OFFSET($H$3,0,0,'Données projet'!$E$11+1,1))</f>
        <v>456.35333554128226</v>
      </c>
      <c r="BJ79" s="59">
        <f t="shared" si="92"/>
        <v>296.4517290984877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29.170142721655573</v>
      </c>
      <c r="BQ79" s="21">
        <f>EXP(-LN(2)/25)*BQ78+(1-EXP(-LN(2)/25))/(LN(2)/25)*Calculateur!BL79*Calculateur!BN79*VLOOKUP('Données projet'!$B$11,Paramètres!$A$1:$I$89,3,0)*0.475*44/12</f>
        <v>25.504734004430333</v>
      </c>
      <c r="BR79" s="21">
        <f>EXP(-LN(2)/2)*BR78+(1-EXP(-LN(2)/2))/(LN(2)/2)*BL79*BO79*VLOOKUP('Données projet'!$B$11,Paramètres!$A$1:$I$89,3,0)*0.475*44/12</f>
        <v>1.4223298654404835</v>
      </c>
      <c r="BS79" s="22">
        <f t="shared" si="63"/>
        <v>56.097206591526387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9.4837500000000006</v>
      </c>
      <c r="BY79" s="12">
        <f>IF('Données projet'!$A$114&gt;35,BY78+BX79-CG78,IF(A79&lt;'Données projet'!$A$114,$BV$205^A79,IF(A79='Données projet'!$A$114,'Données projet'!$B$114,BY78+BX79-CG78)))</f>
        <v>239.72375</v>
      </c>
      <c r="BZ79" s="13">
        <f>BY79*VLOOKUP('Données projet'!$B$12,Paramètres!$A$1:$I$89,3,0)*VLOOKUP('Données projet'!$B$12,Paramètres!$A$1:$I$89,5,0)</f>
        <v>228.12112049999999</v>
      </c>
      <c r="CA79" s="13">
        <f t="shared" si="93"/>
        <v>55.876230114888095</v>
      </c>
      <c r="CB79" s="20">
        <f t="shared" si="64"/>
        <v>494.62871898759676</v>
      </c>
      <c r="CC79" s="59">
        <f t="shared" si="65"/>
        <v>763.71830336844619</v>
      </c>
      <c r="CD79" s="59">
        <f ca="1">AVERAGE(OFFSET($CC$3,0,0,'Données projet'!$E$12+1,1))-AVERAGE(OFFSET($H$3,0,0,'Données projet'!$E$12+1,1))</f>
        <v>486.36097333679697</v>
      </c>
      <c r="CE79" s="59">
        <f t="shared" si="94"/>
        <v>308.47736602748159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15.349402413609681</v>
      </c>
      <c r="CL79" s="21">
        <f>EXP(-LN(2)/25)*CL78+(1-EXP(-LN(2)/25))/(LN(2)/25)*Calculateur!CG79*Calculateur!CI79*VLOOKUP('Données projet'!$B$12,Paramètres!$A$1:$I$89,3,0)*0.475*44/12</f>
        <v>18.812149640213818</v>
      </c>
      <c r="CM79" s="21">
        <f>EXP(-LN(2)/2)*CM78+(1-EXP(-LN(2)/2))/(LN(2)/2)*CG79*CJ79*VLOOKUP('Données projet'!$B$12,Paramètres!$A$1:$I$89,3,0)*0.475*44/12</f>
        <v>7.3582136161432947</v>
      </c>
      <c r="CN79" s="22">
        <f t="shared" si="66"/>
        <v>41.519765669966795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269.51015922428013</v>
      </c>
      <c r="S80" s="59">
        <f ca="1">AVERAGE(OFFSET($R$3,0,0,'Données projet'!$E$9+1,1))-AVERAGE(OFFSET($H$3,0,0,'Données projet'!$E$9+1,1))</f>
        <v>407.05634973057056</v>
      </c>
      <c r="T80" s="59">
        <f t="shared" si="88"/>
        <v>375.32891954889965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12.082500000000003</v>
      </c>
      <c r="AI80" s="13">
        <f>IF('Données projet'!$A$62&gt;35,AI79+AH80-AQ79,IF(A80&lt;'Données projet'!$A$62,$AF$205^A80,IF(A80='Données projet'!$A$62,'Données projet'!$B$62,AI79+AH80-AQ79)))</f>
        <v>375.75750000000005</v>
      </c>
      <c r="AJ80" s="13">
        <f>AI80*VLOOKUP('Données projet'!$B$10,Paramètres!$A$1:$I$89,3,0)*VLOOKUP('Données projet'!$B$10,Paramètres!$A$1:$I$89,5,0)</f>
        <v>339.98538600000006</v>
      </c>
      <c r="AK80" s="13">
        <f t="shared" si="89"/>
        <v>79.496927069315888</v>
      </c>
      <c r="AL80" s="20">
        <f t="shared" si="58"/>
        <v>730.59836192905857</v>
      </c>
      <c r="AM80" s="59">
        <f t="shared" si="59"/>
        <v>1000.1085211533309</v>
      </c>
      <c r="AN80" s="59">
        <f ca="1">AVERAGE(OFFSET($AM$3,0,0,'Données projet'!$E$10+1,1))-AVERAGE(OFFSET($H$3,0,0,'Données projet'!$E$10+1,1))</f>
        <v>737.40414421611001</v>
      </c>
      <c r="AO80" s="59">
        <f t="shared" si="90"/>
        <v>245.32893490531674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26.740296022948826</v>
      </c>
      <c r="AV80" s="21">
        <f>EXP(-LN(2)/25)*AV79+(1-EXP(-LN(2)/25))/(LN(2)/25)*Calculateur!AQ80*Calculateur!AS80*VLOOKUP('Données projet'!$B$10,Paramètres!$A$1:$I$89,3,0)*0.475*44/12</f>
        <v>36.924469761383179</v>
      </c>
      <c r="AW80" s="21">
        <f>EXP(-LN(2)/2)*AW79+(1-EXP(-LN(2)/2))/(LN(2)/2)*AQ80*AT80*VLOOKUP('Données projet'!$B$10,Paramètres!$A$1:$I$89,3,0)*0.475*44/12</f>
        <v>2.4256083142302249</v>
      </c>
      <c r="AX80" s="21">
        <f t="shared" si="60"/>
        <v>66.090374098562236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12.707777777777771</v>
      </c>
      <c r="BD80" s="12">
        <f>IF('Données projet'!$A$88&gt;35,BD79+BC80-BL79,IF(A80&lt;'Données projet'!$A$88,$BA$205^A80,IF(A80='Données projet'!$A$88,'Données projet'!$B$88,BD79+BC80-BL79)))</f>
        <v>382.44888888888863</v>
      </c>
      <c r="BE80" s="13">
        <f>BD80*VLOOKUP('Données projet'!$B$11,Paramètres!$A$1:$I$89,3,0)*VLOOKUP('Données projet'!$B$11,Paramètres!$A$1:$I$89,5,0)</f>
        <v>322.17494399999981</v>
      </c>
      <c r="BF80" s="13">
        <f t="shared" si="91"/>
        <v>75.805714500976208</v>
      </c>
      <c r="BG80" s="20">
        <f t="shared" si="61"/>
        <v>693.14964688919997</v>
      </c>
      <c r="BH80" s="59">
        <f t="shared" si="62"/>
        <v>962.65980611347231</v>
      </c>
      <c r="BI80" s="59">
        <f ca="1">AVERAGE(OFFSET($BH$3,0,0,'Données projet'!$E$11+1,1))-AVERAGE(OFFSET($H$3,0,0,'Données projet'!$E$11+1,1))</f>
        <v>456.35333554128226</v>
      </c>
      <c r="BJ80" s="59">
        <f t="shared" si="92"/>
        <v>296.4517290984877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28.598134014914152</v>
      </c>
      <c r="BQ80" s="21">
        <f>EXP(-LN(2)/25)*BQ79+(1-EXP(-LN(2)/25))/(LN(2)/25)*Calculateur!BL80*Calculateur!BN80*VLOOKUP('Données projet'!$B$11,Paramètres!$A$1:$I$89,3,0)*0.475*44/12</f>
        <v>24.807305711843515</v>
      </c>
      <c r="BR80" s="21">
        <f>EXP(-LN(2)/2)*BR79+(1-EXP(-LN(2)/2))/(LN(2)/2)*BL80*BO80*VLOOKUP('Données projet'!$B$11,Paramètres!$A$1:$I$89,3,0)*0.475*44/12</f>
        <v>1.0057390929371155</v>
      </c>
      <c r="BS80" s="22">
        <f t="shared" si="63"/>
        <v>54.411178819694776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9.4837500000000006</v>
      </c>
      <c r="BY80" s="12">
        <f>IF('Données projet'!$A$114&gt;35,BY79+BX80-CG79,IF(A80&lt;'Données projet'!$A$114,$BV$205^A80,IF(A80='Données projet'!$A$114,'Données projet'!$B$114,BY79+BX80-CG79)))</f>
        <v>249.20749999999998</v>
      </c>
      <c r="BZ80" s="13">
        <f>BY80*VLOOKUP('Données projet'!$B$12,Paramètres!$A$1:$I$89,3,0)*VLOOKUP('Données projet'!$B$12,Paramètres!$A$1:$I$89,5,0)</f>
        <v>237.14585699999998</v>
      </c>
      <c r="CA80" s="13">
        <f t="shared" si="93"/>
        <v>57.825020794330889</v>
      </c>
      <c r="CB80" s="20">
        <f t="shared" si="64"/>
        <v>513.74094549179301</v>
      </c>
      <c r="CC80" s="59">
        <f t="shared" si="65"/>
        <v>783.25110471606536</v>
      </c>
      <c r="CD80" s="59">
        <f ca="1">AVERAGE(OFFSET($CC$3,0,0,'Données projet'!$E$12+1,1))-AVERAGE(OFFSET($H$3,0,0,'Données projet'!$E$12+1,1))</f>
        <v>486.36097333679697</v>
      </c>
      <c r="CE80" s="59">
        <f t="shared" si="94"/>
        <v>308.47736602748159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15.048409994489827</v>
      </c>
      <c r="CL80" s="21">
        <f>EXP(-LN(2)/25)*CL79+(1-EXP(-LN(2)/25))/(LN(2)/25)*Calculateur!CG80*Calculateur!CI80*VLOOKUP('Données projet'!$B$12,Paramètres!$A$1:$I$89,3,0)*0.475*44/12</f>
        <v>18.297730419014218</v>
      </c>
      <c r="CM80" s="21">
        <f>EXP(-LN(2)/2)*CM79+(1-EXP(-LN(2)/2))/(LN(2)/2)*CG80*CJ80*VLOOKUP('Données projet'!$B$12,Paramètres!$A$1:$I$89,3,0)*0.475*44/12</f>
        <v>5.2030427453941117</v>
      </c>
      <c r="CN80" s="22">
        <f t="shared" si="66"/>
        <v>38.54918315889816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269.92343803443407</v>
      </c>
      <c r="S81" s="59">
        <f ca="1">AVERAGE(OFFSET($R$3,0,0,'Données projet'!$E$9+1,1))-AVERAGE(OFFSET($H$3,0,0,'Données projet'!$E$9+1,1))</f>
        <v>407.05634973057056</v>
      </c>
      <c r="T81" s="59">
        <f t="shared" si="88"/>
        <v>375.32891954889965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12.082500000000003</v>
      </c>
      <c r="AI81" s="13">
        <f>IF('Données projet'!$A$62&gt;35,AI80+AH81-AQ80,IF(A81&lt;'Données projet'!$A$62,$AF$205^A81,IF(A81='Données projet'!$A$62,'Données projet'!$B$62,AI80+AH81-AQ80)))</f>
        <v>387.84000000000003</v>
      </c>
      <c r="AJ81" s="13">
        <f>AI81*VLOOKUP('Données projet'!$B$10,Paramètres!$A$1:$I$89,3,0)*VLOOKUP('Données projet'!$B$10,Paramètres!$A$1:$I$89,5,0)</f>
        <v>350.91763200000003</v>
      </c>
      <c r="AK81" s="13">
        <f t="shared" si="89"/>
        <v>81.751432393323299</v>
      </c>
      <c r="AL81" s="20">
        <f t="shared" si="58"/>
        <v>753.56528715170464</v>
      </c>
      <c r="AM81" s="59">
        <f t="shared" si="59"/>
        <v>1023.4887251861309</v>
      </c>
      <c r="AN81" s="59">
        <f ca="1">AVERAGE(OFFSET($AM$3,0,0,'Données projet'!$E$10+1,1))-AVERAGE(OFFSET($H$3,0,0,'Données projet'!$E$10+1,1))</f>
        <v>737.40414421611001</v>
      </c>
      <c r="AO81" s="59">
        <f t="shared" si="90"/>
        <v>245.32893490531674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26.215935127908896</v>
      </c>
      <c r="AV81" s="21">
        <f>EXP(-LN(2)/25)*AV80+(1-EXP(-LN(2)/25))/(LN(2)/25)*Calculateur!AQ81*Calculateur!AS81*VLOOKUP('Données projet'!$B$10,Paramètres!$A$1:$I$89,3,0)*0.475*44/12</f>
        <v>35.914768193984685</v>
      </c>
      <c r="AW81" s="21">
        <f>EXP(-LN(2)/2)*AW80+(1-EXP(-LN(2)/2))/(LN(2)/2)*AQ81*AT81*VLOOKUP('Données projet'!$B$10,Paramètres!$A$1:$I$89,3,0)*0.475*44/12</f>
        <v>1.7151640874946621</v>
      </c>
      <c r="AX81" s="21">
        <f t="shared" si="60"/>
        <v>63.845867409388241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12.707777777777771</v>
      </c>
      <c r="BD81" s="12">
        <f>IF('Données projet'!$A$88&gt;35,BD80+BC81-BL80,IF(A81&lt;'Données projet'!$A$88,$BA$205^A81,IF(A81='Données projet'!$A$88,'Données projet'!$B$88,BD80+BC81-BL80)))</f>
        <v>395.15666666666641</v>
      </c>
      <c r="BE81" s="13">
        <f>BD81*VLOOKUP('Données projet'!$B$11,Paramètres!$A$1:$I$89,3,0)*VLOOKUP('Données projet'!$B$11,Paramètres!$A$1:$I$89,5,0)</f>
        <v>332.87997599999977</v>
      </c>
      <c r="BF81" s="13">
        <f t="shared" si="91"/>
        <v>78.027097377942809</v>
      </c>
      <c r="BG81" s="20">
        <f t="shared" si="61"/>
        <v>715.6631527999167</v>
      </c>
      <c r="BH81" s="59">
        <f t="shared" si="62"/>
        <v>985.58659083434293</v>
      </c>
      <c r="BI81" s="59">
        <f ca="1">AVERAGE(OFFSET($BH$3,0,0,'Données projet'!$E$11+1,1))-AVERAGE(OFFSET($H$3,0,0,'Données projet'!$E$11+1,1))</f>
        <v>456.35333554128226</v>
      </c>
      <c r="BJ81" s="59">
        <f t="shared" si="92"/>
        <v>296.4517290984877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28.037342050021067</v>
      </c>
      <c r="BQ81" s="21">
        <f>EXP(-LN(2)/25)*BQ80+(1-EXP(-LN(2)/25))/(LN(2)/25)*Calculateur!BL81*Calculateur!BN81*VLOOKUP('Données projet'!$B$11,Paramètres!$A$1:$I$89,3,0)*0.475*44/12</f>
        <v>24.128948632593644</v>
      </c>
      <c r="BR81" s="21">
        <f>EXP(-LN(2)/2)*BR80+(1-EXP(-LN(2)/2))/(LN(2)/2)*BL81*BO81*VLOOKUP('Données projet'!$B$11,Paramètres!$A$1:$I$89,3,0)*0.475*44/12</f>
        <v>0.71116493272024173</v>
      </c>
      <c r="BS81" s="22">
        <f t="shared" si="63"/>
        <v>52.877455615334959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9.4837500000000006</v>
      </c>
      <c r="BY81" s="12">
        <f>IF('Données projet'!$A$114&gt;35,BY80+BX81-CG80,IF(A81&lt;'Données projet'!$A$114,$BV$205^A81,IF(A81='Données projet'!$A$114,'Données projet'!$B$114,BY80+BX81-CG80)))</f>
        <v>258.69124999999997</v>
      </c>
      <c r="BZ81" s="13">
        <f>BY81*VLOOKUP('Données projet'!$B$12,Paramètres!$A$1:$I$89,3,0)*VLOOKUP('Données projet'!$B$12,Paramètres!$A$1:$I$89,5,0)</f>
        <v>246.17059349999994</v>
      </c>
      <c r="CA81" s="13">
        <f t="shared" si="93"/>
        <v>59.765195857244478</v>
      </c>
      <c r="CB81" s="20">
        <f t="shared" si="64"/>
        <v>532.83816646386731</v>
      </c>
      <c r="CC81" s="59">
        <f t="shared" si="65"/>
        <v>802.76160449829354</v>
      </c>
      <c r="CD81" s="59">
        <f ca="1">AVERAGE(OFFSET($CC$3,0,0,'Données projet'!$E$12+1,1))-AVERAGE(OFFSET($H$3,0,0,'Données projet'!$E$12+1,1))</f>
        <v>486.36097333679697</v>
      </c>
      <c r="CE81" s="59">
        <f t="shared" si="94"/>
        <v>308.47736602748159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14.753319853121663</v>
      </c>
      <c r="CL81" s="21">
        <f>EXP(-LN(2)/25)*CL80+(1-EXP(-LN(2)/25))/(LN(2)/25)*Calculateur!CG81*Calculateur!CI81*VLOOKUP('Données projet'!$B$12,Paramètres!$A$1:$I$89,3,0)*0.475*44/12</f>
        <v>17.79737801847045</v>
      </c>
      <c r="CM81" s="21">
        <f>EXP(-LN(2)/2)*CM80+(1-EXP(-LN(2)/2))/(LN(2)/2)*CG81*CJ81*VLOOKUP('Données projet'!$B$12,Paramètres!$A$1:$I$89,3,0)*0.475*44/12</f>
        <v>3.6791068080716478</v>
      </c>
      <c r="CN81" s="22">
        <f t="shared" si="66"/>
        <v>36.229804679663758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270.3295473811848</v>
      </c>
      <c r="S82" s="59">
        <f ca="1">AVERAGE(OFFSET($R$3,0,0,'Données projet'!$E$9+1,1))-AVERAGE(OFFSET($H$3,0,0,'Données projet'!$E$9+1,1))</f>
        <v>407.05634973057056</v>
      </c>
      <c r="T82" s="59">
        <f t="shared" si="88"/>
        <v>375.32891954889965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12.082500000000003</v>
      </c>
      <c r="AI82" s="13">
        <f>IF('Données projet'!$A$62&gt;35,AI81+AH82-AQ81,IF(A82&lt;'Données projet'!$A$62,$AF$205^A82,IF(A82='Données projet'!$A$62,'Données projet'!$B$62,AI81+AH82-AQ81)))</f>
        <v>399.92250000000001</v>
      </c>
      <c r="AJ82" s="13">
        <f>AI82*VLOOKUP('Données projet'!$B$10,Paramètres!$A$1:$I$89,3,0)*VLOOKUP('Données projet'!$B$10,Paramètres!$A$1:$I$89,5,0)</f>
        <v>361.84987799999999</v>
      </c>
      <c r="AK82" s="13">
        <f t="shared" si="89"/>
        <v>83.997775738072022</v>
      </c>
      <c r="AL82" s="20">
        <f t="shared" si="58"/>
        <v>776.51799692714212</v>
      </c>
      <c r="AM82" s="59">
        <f t="shared" si="59"/>
        <v>1046.8475443083191</v>
      </c>
      <c r="AN82" s="59">
        <f ca="1">AVERAGE(OFFSET($AM$3,0,0,'Données projet'!$E$10+1,1))-AVERAGE(OFFSET($H$3,0,0,'Données projet'!$E$10+1,1))</f>
        <v>737.40414421611001</v>
      </c>
      <c r="AO82" s="59">
        <f t="shared" si="90"/>
        <v>245.32893490531674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25.701856630192136</v>
      </c>
      <c r="AV82" s="21">
        <f>EXP(-LN(2)/25)*AV81+(1-EXP(-LN(2)/25))/(LN(2)/25)*Calculateur!AQ82*Calculateur!AS82*VLOOKUP('Données projet'!$B$10,Paramètres!$A$1:$I$89,3,0)*0.475*44/12</f>
        <v>34.9326769690446</v>
      </c>
      <c r="AW82" s="21">
        <f>EXP(-LN(2)/2)*AW81+(1-EXP(-LN(2)/2))/(LN(2)/2)*AQ82*AT82*VLOOKUP('Données projet'!$B$10,Paramètres!$A$1:$I$89,3,0)*0.475*44/12</f>
        <v>1.2128041571151125</v>
      </c>
      <c r="AX82" s="21">
        <f t="shared" si="60"/>
        <v>61.847337756351848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12.707777777777771</v>
      </c>
      <c r="BD82" s="12">
        <f>IF('Données projet'!$A$88&gt;35,BD81+BC82-BL81,IF(A82&lt;'Données projet'!$A$88,$BA$205^A82,IF(A82='Données projet'!$A$88,'Données projet'!$B$88,BD81+BC82-BL81)))</f>
        <v>407.86444444444419</v>
      </c>
      <c r="BE82" s="13">
        <f>BD82*VLOOKUP('Données projet'!$B$11,Paramètres!$A$1:$I$89,3,0)*VLOOKUP('Données projet'!$B$11,Paramètres!$A$1:$I$89,5,0)</f>
        <v>343.58500799999979</v>
      </c>
      <c r="BF82" s="13">
        <f t="shared" si="91"/>
        <v>80.240179010511568</v>
      </c>
      <c r="BG82" s="20">
        <f t="shared" si="61"/>
        <v>738.16220070997394</v>
      </c>
      <c r="BH82" s="59">
        <f t="shared" si="62"/>
        <v>1008.4917480911508</v>
      </c>
      <c r="BI82" s="59">
        <f ca="1">AVERAGE(OFFSET($BH$3,0,0,'Données projet'!$E$11+1,1))-AVERAGE(OFFSET($H$3,0,0,'Données projet'!$E$11+1,1))</f>
        <v>456.35333554128226</v>
      </c>
      <c r="BJ82" s="59">
        <f t="shared" si="92"/>
        <v>296.4517290984877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27.487546873510212</v>
      </c>
      <c r="BQ82" s="21">
        <f>EXP(-LN(2)/25)*BQ81+(1-EXP(-LN(2)/25))/(LN(2)/25)*Calculateur!BL82*Calculateur!BN82*VLOOKUP('Données projet'!$B$11,Paramètres!$A$1:$I$89,3,0)*0.475*44/12</f>
        <v>23.469141263349108</v>
      </c>
      <c r="BR82" s="21">
        <f>EXP(-LN(2)/2)*BR81+(1-EXP(-LN(2)/2))/(LN(2)/2)*BL82*BO82*VLOOKUP('Données projet'!$B$11,Paramètres!$A$1:$I$89,3,0)*0.475*44/12</f>
        <v>0.50286954646855775</v>
      </c>
      <c r="BS82" s="22">
        <f t="shared" si="63"/>
        <v>51.45955768332788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9.4837500000000006</v>
      </c>
      <c r="BY82" s="12">
        <f>IF('Données projet'!$A$114&gt;35,BY81+BX82-CG81,IF(A82&lt;'Données projet'!$A$114,$BV$205^A82,IF(A82='Données projet'!$A$114,'Données projet'!$B$114,BY81+BX82-CG81)))</f>
        <v>268.17499999999995</v>
      </c>
      <c r="BZ82" s="13">
        <f>BY82*VLOOKUP('Données projet'!$B$12,Paramètres!$A$1:$I$89,3,0)*VLOOKUP('Données projet'!$B$12,Paramètres!$A$1:$I$89,5,0)</f>
        <v>255.19532999999996</v>
      </c>
      <c r="CA82" s="13">
        <f t="shared" si="93"/>
        <v>61.697107330819122</v>
      </c>
      <c r="CB82" s="20">
        <f t="shared" si="64"/>
        <v>551.92099501784321</v>
      </c>
      <c r="CC82" s="59">
        <f t="shared" si="65"/>
        <v>822.25054239902011</v>
      </c>
      <c r="CD82" s="59">
        <f ca="1">AVERAGE(OFFSET($CC$3,0,0,'Données projet'!$E$12+1,1))-AVERAGE(OFFSET($H$3,0,0,'Données projet'!$E$12+1,1))</f>
        <v>486.36097333679697</v>
      </c>
      <c r="CE82" s="59">
        <f t="shared" si="94"/>
        <v>308.47736602748159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14.464016249438517</v>
      </c>
      <c r="CL82" s="21">
        <f>EXP(-LN(2)/25)*CL81+(1-EXP(-LN(2)/25))/(LN(2)/25)*Calculateur!CG82*Calculateur!CI82*VLOOKUP('Données projet'!$B$12,Paramètres!$A$1:$I$89,3,0)*0.475*44/12</f>
        <v>17.310707780631944</v>
      </c>
      <c r="CM82" s="21">
        <f>EXP(-LN(2)/2)*CM81+(1-EXP(-LN(2)/2))/(LN(2)/2)*CG82*CJ82*VLOOKUP('Données projet'!$B$12,Paramètres!$A$1:$I$89,3,0)*0.475*44/12</f>
        <v>2.6015213726970563</v>
      </c>
      <c r="CN82" s="22">
        <f t="shared" si="66"/>
        <v>34.376245402767516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270.72861163869396</v>
      </c>
      <c r="S83" s="59">
        <f ca="1">AVERAGE(OFFSET($R$3,0,0,'Données projet'!$E$9+1,1))-AVERAGE(OFFSET($H$3,0,0,'Données projet'!$E$9+1,1))</f>
        <v>407.05634973057056</v>
      </c>
      <c r="T83" s="59">
        <f t="shared" si="88"/>
        <v>375.32891954889965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12.082500000000003</v>
      </c>
      <c r="AI83" s="13">
        <f>IF('Données projet'!$A$62&gt;35,AI82+AH83-AQ82,IF(A83&lt;'Données projet'!$A$62,$AF$205^A83,IF(A83='Données projet'!$A$62,'Données projet'!$B$62,AI82+AH83-AQ82)))</f>
        <v>412.005</v>
      </c>
      <c r="AJ83" s="13">
        <f>AI83*VLOOKUP('Données projet'!$B$10,Paramètres!$A$1:$I$89,3,0)*VLOOKUP('Données projet'!$B$10,Paramètres!$A$1:$I$89,5,0)</f>
        <v>372.78212400000001</v>
      </c>
      <c r="AK83" s="13">
        <f t="shared" si="89"/>
        <v>86.236231998585495</v>
      </c>
      <c r="AL83" s="20">
        <f t="shared" si="58"/>
        <v>799.45697003086968</v>
      </c>
      <c r="AM83" s="59">
        <f t="shared" si="59"/>
        <v>1070.1855816695559</v>
      </c>
      <c r="AN83" s="59">
        <f ca="1">AVERAGE(OFFSET($AM$3,0,0,'Données projet'!$E$10+1,1))-AVERAGE(OFFSET($H$3,0,0,'Données projet'!$E$10+1,1))</f>
        <v>737.40414421611001</v>
      </c>
      <c r="AO83" s="59">
        <f t="shared" si="90"/>
        <v>245.32893490531674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25.19785889825868</v>
      </c>
      <c r="AV83" s="21">
        <f>EXP(-LN(2)/25)*AV82+(1-EXP(-LN(2)/25))/(LN(2)/25)*Calculateur!AQ83*Calculateur!AS83*VLOOKUP('Données projet'!$B$10,Paramètres!$A$1:$I$89,3,0)*0.475*44/12</f>
        <v>33.97744108029643</v>
      </c>
      <c r="AW83" s="21">
        <f>EXP(-LN(2)/2)*AW82+(1-EXP(-LN(2)/2))/(LN(2)/2)*AQ83*AT83*VLOOKUP('Données projet'!$B$10,Paramètres!$A$1:$I$89,3,0)*0.475*44/12</f>
        <v>0.85758204374733105</v>
      </c>
      <c r="AX83" s="21">
        <f t="shared" si="60"/>
        <v>60.032882022302438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12.707777777777771</v>
      </c>
      <c r="BD83" s="12">
        <f>IF('Données projet'!$A$88&gt;35,BD82+BC83-BL82,IF(A83&lt;'Données projet'!$A$88,$BA$205^A83,IF(A83='Données projet'!$A$88,'Données projet'!$B$88,BD82+BC83-BL82)))</f>
        <v>420.57222222222197</v>
      </c>
      <c r="BE83" s="13">
        <f>BD83*VLOOKUP('Données projet'!$B$11,Paramètres!$A$1:$I$89,3,0)*VLOOKUP('Données projet'!$B$11,Paramètres!$A$1:$I$89,5,0)</f>
        <v>354.29003999999981</v>
      </c>
      <c r="BF83" s="13">
        <f t="shared" si="91"/>
        <v>82.445247716912462</v>
      </c>
      <c r="BG83" s="20">
        <f t="shared" si="61"/>
        <v>760.6472927736221</v>
      </c>
      <c r="BH83" s="59">
        <f t="shared" si="62"/>
        <v>1031.3759044123083</v>
      </c>
      <c r="BI83" s="59">
        <f ca="1">AVERAGE(OFFSET($BH$3,0,0,'Données projet'!$E$11+1,1))-AVERAGE(OFFSET($H$3,0,0,'Données projet'!$E$11+1,1))</f>
        <v>456.35333554128226</v>
      </c>
      <c r="BJ83" s="59">
        <f t="shared" si="92"/>
        <v>296.4517290984877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26.94853284506879</v>
      </c>
      <c r="BQ83" s="21">
        <f>EXP(-LN(2)/25)*BQ82+(1-EXP(-LN(2)/25))/(LN(2)/25)*Calculateur!BL83*Calculateur!BN83*VLOOKUP('Données projet'!$B$11,Paramètres!$A$1:$I$89,3,0)*0.475*44/12</f>
        <v>22.827376361314329</v>
      </c>
      <c r="BR83" s="21">
        <f>EXP(-LN(2)/2)*BR82+(1-EXP(-LN(2)/2))/(LN(2)/2)*BL83*BO83*VLOOKUP('Données projet'!$B$11,Paramètres!$A$1:$I$89,3,0)*0.475*44/12</f>
        <v>0.35558246636012086</v>
      </c>
      <c r="BS83" s="22">
        <f t="shared" si="63"/>
        <v>50.131491672743238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9.4837500000000006</v>
      </c>
      <c r="BY83" s="12">
        <f>IF('Données projet'!$A$114&gt;35,BY82+BX83-CG82,IF(A83&lt;'Données projet'!$A$114,$BV$205^A83,IF(A83='Données projet'!$A$114,'Données projet'!$B$114,BY82+BX83-CG82)))</f>
        <v>277.65874999999994</v>
      </c>
      <c r="BZ83" s="13">
        <f>BY83*VLOOKUP('Données projet'!$B$12,Paramètres!$A$1:$I$89,3,0)*VLOOKUP('Données projet'!$B$12,Paramètres!$A$1:$I$89,5,0)</f>
        <v>264.22006649999997</v>
      </c>
      <c r="CA83" s="13">
        <f t="shared" si="93"/>
        <v>63.621080932408354</v>
      </c>
      <c r="CB83" s="20">
        <f t="shared" si="64"/>
        <v>570.98999844477783</v>
      </c>
      <c r="CC83" s="59">
        <f t="shared" si="65"/>
        <v>841.718610083464</v>
      </c>
      <c r="CD83" s="59">
        <f ca="1">AVERAGE(OFFSET($CC$3,0,0,'Données projet'!$E$12+1,1))-AVERAGE(OFFSET($H$3,0,0,'Données projet'!$E$12+1,1))</f>
        <v>486.36097333679697</v>
      </c>
      <c r="CE83" s="59">
        <f t="shared" si="94"/>
        <v>308.47736602748159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14.180385712965823</v>
      </c>
      <c r="CL83" s="21">
        <f>EXP(-LN(2)/25)*CL82+(1-EXP(-LN(2)/25))/(LN(2)/25)*Calculateur!CG83*Calculateur!CI83*VLOOKUP('Données projet'!$B$12,Paramètres!$A$1:$I$89,3,0)*0.475*44/12</f>
        <v>16.837345566040007</v>
      </c>
      <c r="CM83" s="21">
        <f>EXP(-LN(2)/2)*CM82+(1-EXP(-LN(2)/2))/(LN(2)/2)*CG83*CJ83*VLOOKUP('Données projet'!$B$12,Paramètres!$A$1:$I$89,3,0)*0.475*44/12</f>
        <v>1.8395534040358243</v>
      </c>
      <c r="CN83" s="22">
        <f t="shared" si="66"/>
        <v>32.857284683041655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271.12075302350928</v>
      </c>
      <c r="S84" s="59">
        <f ca="1">AVERAGE(OFFSET($R$3,0,0,'Données projet'!$E$9+1,1))-AVERAGE(OFFSET($H$3,0,0,'Données projet'!$E$9+1,1))</f>
        <v>407.05634973057056</v>
      </c>
      <c r="T84" s="59">
        <f t="shared" si="88"/>
        <v>375.32891954889965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12.082500000000003</v>
      </c>
      <c r="AI84" s="13">
        <f>IF('Données projet'!$A$62&gt;35,AI83+AH84-AQ83,IF(A84&lt;'Données projet'!$A$62,$AF$205^A84,IF(A84='Données projet'!$A$62,'Données projet'!$B$62,AI83+AH84-AQ83)))</f>
        <v>424.08749999999998</v>
      </c>
      <c r="AJ84" s="13">
        <f>AI84*VLOOKUP('Données projet'!$B$10,Paramètres!$A$1:$I$89,3,0)*VLOOKUP('Données projet'!$B$10,Paramètres!$A$1:$I$89,5,0)</f>
        <v>383.71436999999997</v>
      </c>
      <c r="AK84" s="13">
        <f t="shared" si="89"/>
        <v>88.467059030009779</v>
      </c>
      <c r="AL84" s="20">
        <f t="shared" si="58"/>
        <v>822.38265556060048</v>
      </c>
      <c r="AM84" s="59">
        <f t="shared" si="59"/>
        <v>1093.5034085841019</v>
      </c>
      <c r="AN84" s="59">
        <f ca="1">AVERAGE(OFFSET($AM$3,0,0,'Données projet'!$E$10+1,1))-AVERAGE(OFFSET($H$3,0,0,'Données projet'!$E$10+1,1))</f>
        <v>737.40414421611001</v>
      </c>
      <c r="AO84" s="59">
        <f t="shared" si="90"/>
        <v>245.32893490531674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24.703744254440174</v>
      </c>
      <c r="AV84" s="21">
        <f>EXP(-LN(2)/25)*AV83+(1-EXP(-LN(2)/25))/(LN(2)/25)*Calculateur!AQ84*Calculateur!AS84*VLOOKUP('Données projet'!$B$10,Paramètres!$A$1:$I$89,3,0)*0.475*44/12</f>
        <v>33.048326167159757</v>
      </c>
      <c r="AW84" s="21">
        <f>EXP(-LN(2)/2)*AW83+(1-EXP(-LN(2)/2))/(LN(2)/2)*AQ84*AT84*VLOOKUP('Données projet'!$B$10,Paramètres!$A$1:$I$89,3,0)*0.475*44/12</f>
        <v>0.60640207855755623</v>
      </c>
      <c r="AX84" s="21">
        <f t="shared" si="60"/>
        <v>58.35847250015749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433.28</v>
      </c>
      <c r="BB84" s="12">
        <f>VLOOKUP(A84,'Données projet'!$A$87:$I$107,9,0)</f>
        <v>12.707777777777771</v>
      </c>
      <c r="BC84" s="12">
        <f t="array" ref="BC84">INDEX(BB:BB,MIN(IF(ISNUMBER(BB84:BB280),ROW(BB84:BB280),"")))</f>
        <v>12.707777777777771</v>
      </c>
      <c r="BD84" s="12">
        <f>IF('Données projet'!$A$88&gt;35,BD83+BC84-BL83,IF(A84&lt;'Données projet'!$A$88,$BA$205^A84,IF(A84='Données projet'!$A$88,'Données projet'!$B$88,BD83+BC84-BL83)))</f>
        <v>433.27999999999975</v>
      </c>
      <c r="BE84" s="13">
        <f>BD84*VLOOKUP('Données projet'!$B$11,Paramètres!$A$1:$I$89,3,0)*VLOOKUP('Données projet'!$B$11,Paramètres!$A$1:$I$89,5,0)</f>
        <v>364.99507199999982</v>
      </c>
      <c r="BF84" s="13">
        <f t="shared" si="91"/>
        <v>84.642573401902411</v>
      </c>
      <c r="BG84" s="20">
        <f t="shared" si="61"/>
        <v>783.11889907497971</v>
      </c>
      <c r="BH84" s="59">
        <f t="shared" si="62"/>
        <v>1054.2396520984812</v>
      </c>
      <c r="BI84" s="59">
        <f ca="1">AVERAGE(OFFSET($BH$3,0,0,'Données projet'!$E$11+1,1))-AVERAGE(OFFSET($H$3,0,0,'Données projet'!$E$11+1,1))</f>
        <v>456.35333554128226</v>
      </c>
      <c r="BJ84" s="59">
        <f t="shared" si="92"/>
        <v>296.4517290984877</v>
      </c>
      <c r="BK84" s="15">
        <f>IF(ISNA(VLOOKUP(A84,'Données projet'!$A$87:$I$107,3,0)),0,VLOOKUP(A84,'Données projet'!$A$87:$I$107,3,0))</f>
        <v>8</v>
      </c>
      <c r="BL84" s="15">
        <f>IF(ISNA(VLOOKUP(A84,'Données projet'!$A$87:$I$107,4,0)),0,VLOOKUP(A84,'Données projet'!$A$87:$I$107,4,0))</f>
        <v>87.399999999999977</v>
      </c>
      <c r="BM84" s="16">
        <f>IF(ISNA(VLOOKUP(A84,'Données projet'!$A$87:$I$107,5,0)),0%,VLOOKUP(A84,'Données projet'!$A$87:$I$107,5,0)*VLOOKUP('Données projet'!$B$11,Paramètres!$A$1:$I$89,7,0))</f>
        <v>0.215</v>
      </c>
      <c r="BN84" s="16">
        <f>IF(ISNA(VLOOKUP(A84,'Données projet'!$A$87:$I$107,6,0)),0%,VLOOKUP(A84,'Données projet'!$A$87:$I$107,6,0)*VLOOKUP('Données projet'!$B$11,Paramètres!$A$1:$I$89,7,0))</f>
        <v>8.6000000000000007E-2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43.919174375838409</v>
      </c>
      <c r="BQ84" s="21">
        <f>EXP(-LN(2)/25)*BQ83+(1-EXP(-LN(2)/25))/(LN(2)/25)*Calculateur!BL84*Calculateur!BN84*VLOOKUP('Données projet'!$B$11,Paramètres!$A$1:$I$89,3,0)*0.475*44/12</f>
        <v>29.175234656002758</v>
      </c>
      <c r="BR84" s="21">
        <f>EXP(-LN(2)/2)*BR83+(1-EXP(-LN(2)/2))/(LN(2)/2)*BL84*BO84*VLOOKUP('Données projet'!$B$11,Paramètres!$A$1:$I$89,3,0)*0.475*44/12</f>
        <v>0.25143477323427887</v>
      </c>
      <c r="BS84" s="22">
        <f t="shared" si="63"/>
        <v>73.345843805075447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9.4837500000000006</v>
      </c>
      <c r="BY84" s="12">
        <f>IF('Données projet'!$A$114&gt;35,BY83+BX84-CG83,IF(A84&lt;'Données projet'!$A$114,$BV$205^A84,IF(A84='Données projet'!$A$114,'Données projet'!$B$114,BY83+BX84-CG83)))</f>
        <v>287.14249999999993</v>
      </c>
      <c r="BZ84" s="13">
        <f>BY84*VLOOKUP('Données projet'!$B$12,Paramètres!$A$1:$I$89,3,0)*VLOOKUP('Données projet'!$B$12,Paramètres!$A$1:$I$89,5,0)</f>
        <v>273.24480299999993</v>
      </c>
      <c r="CA84" s="13">
        <f t="shared" si="93"/>
        <v>65.537418866724181</v>
      </c>
      <c r="CB84" s="20">
        <f t="shared" si="64"/>
        <v>590.04570308454447</v>
      </c>
      <c r="CC84" s="59">
        <f t="shared" si="65"/>
        <v>861.16645610804585</v>
      </c>
      <c r="CD84" s="59">
        <f ca="1">AVERAGE(OFFSET($CC$3,0,0,'Données projet'!$E$12+1,1))-AVERAGE(OFFSET($H$3,0,0,'Données projet'!$E$12+1,1))</f>
        <v>486.36097333679697</v>
      </c>
      <c r="CE84" s="59">
        <f t="shared" si="94"/>
        <v>308.47736602748159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13.902316998315811</v>
      </c>
      <c r="CL84" s="21">
        <f>EXP(-LN(2)/25)*CL83+(1-EXP(-LN(2)/25))/(LN(2)/25)*Calculateur!CG84*Calculateur!CI84*VLOOKUP('Données projet'!$B$12,Paramètres!$A$1:$I$89,3,0)*0.475*44/12</f>
        <v>16.376927466099122</v>
      </c>
      <c r="CM84" s="21">
        <f>EXP(-LN(2)/2)*CM83+(1-EXP(-LN(2)/2))/(LN(2)/2)*CG84*CJ84*VLOOKUP('Données projet'!$B$12,Paramètres!$A$1:$I$89,3,0)*0.475*44/12</f>
        <v>1.3007606863485284</v>
      </c>
      <c r="CN84" s="22">
        <f t="shared" si="66"/>
        <v>31.580005150763462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271.50609163199488</v>
      </c>
      <c r="S85" s="59">
        <f ca="1">AVERAGE(OFFSET($R$3,0,0,'Données projet'!$E$9+1,1))-AVERAGE(OFFSET($H$3,0,0,'Données projet'!$E$9+1,1))</f>
        <v>407.05634973057056</v>
      </c>
      <c r="T85" s="59">
        <f t="shared" si="88"/>
        <v>375.32891954889965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12.082500000000003</v>
      </c>
      <c r="AH85" s="12">
        <f t="array" ref="AH85">INDEX(AG:AG,MIN(IF(ISNUMBER(AG85:AG281),ROW(AG85:AG281),"")))</f>
        <v>12.082500000000003</v>
      </c>
      <c r="AI85" s="13">
        <f>IF('Données projet'!$A$62&gt;35,AI84+AH85-AQ84,IF(A85&lt;'Données projet'!$A$62,$AF$205^A85,IF(A85='Données projet'!$A$62,'Données projet'!$B$62,AI84+AH85-AQ84)))</f>
        <v>436.16999999999996</v>
      </c>
      <c r="AJ85" s="13">
        <f>AI85*VLOOKUP('Données projet'!$B$10,Paramètres!$A$1:$I$89,3,0)*VLOOKUP('Données projet'!$B$10,Paramètres!$A$1:$I$89,5,0)</f>
        <v>394.64661599999999</v>
      </c>
      <c r="AK85" s="13">
        <f t="shared" si="89"/>
        <v>90.690499158874985</v>
      </c>
      <c r="AL85" s="20">
        <f t="shared" si="58"/>
        <v>845.29547556837406</v>
      </c>
      <c r="AM85" s="59">
        <f t="shared" si="59"/>
        <v>1116.8015672003612</v>
      </c>
      <c r="AN85" s="59">
        <f ca="1">AVERAGE(OFFSET($AM$3,0,0,'Données projet'!$E$10+1,1))-AVERAGE(OFFSET($H$3,0,0,'Données projet'!$E$10+1,1))</f>
        <v>737.40414421611001</v>
      </c>
      <c r="AO85" s="59">
        <f t="shared" si="90"/>
        <v>245.32893490531674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58.140000000000043</v>
      </c>
      <c r="AR85" s="16">
        <f>IF(ISNA(VLOOKUP(A85,'Données projet'!$A$61:$I$81,5,0)),0%,VLOOKUP(A85,'Données projet'!$A$61:$I$81,5,0)*VLOOKUP('Données projet'!$B$10,Paramètres!$A$1:$I$89,7,0))</f>
        <v>0.15049999999999999</v>
      </c>
      <c r="AS85" s="16">
        <f>IF(ISNA(VLOOKUP(A85,'Données projet'!$A$61:$I$81,6,0)),0%,VLOOKUP(A85,'Données projet'!$A$61:$I$81,6,0)*VLOOKUP('Données projet'!$B$10,Paramètres!$A$1:$I$89,7,0))</f>
        <v>8.6000000000000007E-2</v>
      </c>
      <c r="AT85" s="16">
        <f>IF(ISNA(VLOOKUP(A85,'Données projet'!$A$61:$I$81,7,0)),0%,VLOOKUP(A85,'Données projet'!$A$61:$I$81,7,0))</f>
        <v>0.1</v>
      </c>
      <c r="AU85" s="21">
        <f>EXP(-LN(2)/35)*AU84+(1-EXP(-LN(2)/35))/(LN(2)/35)*AQ85*AR85*VLOOKUP('Données projet'!$B$10,Paramètres!$A$1:$I$89,3,0)*0.475*44/12</f>
        <v>32.971397908241109</v>
      </c>
      <c r="AV85" s="21">
        <f>EXP(-LN(2)/25)*AV84+(1-EXP(-LN(2)/25))/(LN(2)/25)*Calculateur!AQ85*Calculateur!AS85*VLOOKUP('Données projet'!$B$10,Paramètres!$A$1:$I$89,3,0)*0.475*44/12</f>
        <v>37.126114373591477</v>
      </c>
      <c r="AW85" s="21">
        <f>EXP(-LN(2)/2)*AW84+(1-EXP(-LN(2)/2))/(LN(2)/2)*AQ85*AT85*VLOOKUP('Données projet'!$B$10,Paramètres!$A$1:$I$89,3,0)*0.475*44/12</f>
        <v>5.3922211495490986</v>
      </c>
      <c r="AX85" s="21">
        <f t="shared" si="60"/>
        <v>75.489733431381694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11.905555555555553</v>
      </c>
      <c r="BD85" s="12">
        <f>IF('Données projet'!$A$88&gt;35,BD84+BC85-BL84,IF(A85&lt;'Données projet'!$A$88,$BA$205^A85,IF(A85='Données projet'!$A$88,'Données projet'!$B$88,BD84+BC85-BL84)))</f>
        <v>357.78555555555533</v>
      </c>
      <c r="BE85" s="13">
        <f>BD85*VLOOKUP('Données projet'!$B$11,Paramètres!$A$1:$I$89,3,0)*VLOOKUP('Données projet'!$B$11,Paramètres!$A$1:$I$89,5,0)</f>
        <v>301.39855199999988</v>
      </c>
      <c r="BF85" s="13">
        <f t="shared" si="91"/>
        <v>71.469574283423256</v>
      </c>
      <c r="BG85" s="20">
        <f t="shared" si="61"/>
        <v>649.41198661029523</v>
      </c>
      <c r="BH85" s="59">
        <f t="shared" si="62"/>
        <v>920.91807824228226</v>
      </c>
      <c r="BI85" s="59">
        <f ca="1">AVERAGE(OFFSET($BH$3,0,0,'Données projet'!$E$11+1,1))-AVERAGE(OFFSET($H$3,0,0,'Données projet'!$E$11+1,1))</f>
        <v>456.35333554128226</v>
      </c>
      <c r="BJ85" s="59">
        <f t="shared" si="92"/>
        <v>296.4517290984877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43.057946154379486</v>
      </c>
      <c r="BQ85" s="21">
        <f>EXP(-LN(2)/25)*BQ84+(1-EXP(-LN(2)/25))/(LN(2)/25)*Calculateur!BL85*Calculateur!BN85*VLOOKUP('Données projet'!$B$11,Paramètres!$A$1:$I$89,3,0)*0.475*44/12</f>
        <v>28.377436330075451</v>
      </c>
      <c r="BR85" s="21">
        <f>EXP(-LN(2)/2)*BR84+(1-EXP(-LN(2)/2))/(LN(2)/2)*BL85*BO85*VLOOKUP('Données projet'!$B$11,Paramètres!$A$1:$I$89,3,0)*0.475*44/12</f>
        <v>0.17779123318006043</v>
      </c>
      <c r="BS85" s="22">
        <f t="shared" si="63"/>
        <v>71.613173717634993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9.4837500000000006</v>
      </c>
      <c r="BY85" s="12">
        <f>IF('Données projet'!$A$114&gt;35,BY84+BX85-CG84,IF(A85&lt;'Données projet'!$A$114,$BV$205^A85,IF(A85='Données projet'!$A$114,'Données projet'!$B$114,BY84+BX85-CG84)))</f>
        <v>296.62624999999991</v>
      </c>
      <c r="BZ85" s="13">
        <f>BY85*VLOOKUP('Données projet'!$B$12,Paramètres!$A$1:$I$89,3,0)*VLOOKUP('Données projet'!$B$12,Paramètres!$A$1:$I$89,5,0)</f>
        <v>282.26953949999995</v>
      </c>
      <c r="CA85" s="13">
        <f t="shared" si="93"/>
        <v>67.446402243109091</v>
      </c>
      <c r="CB85" s="20">
        <f t="shared" si="64"/>
        <v>609.08859853591491</v>
      </c>
      <c r="CC85" s="59">
        <f t="shared" si="65"/>
        <v>880.59469016790194</v>
      </c>
      <c r="CD85" s="59">
        <f ca="1">AVERAGE(OFFSET($CC$3,0,0,'Données projet'!$E$12+1,1))-AVERAGE(OFFSET($H$3,0,0,'Données projet'!$E$12+1,1))</f>
        <v>486.36097333679697</v>
      </c>
      <c r="CE85" s="59">
        <f t="shared" si="94"/>
        <v>308.47736602748159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13.629701041554918</v>
      </c>
      <c r="CL85" s="21">
        <f>EXP(-LN(2)/25)*CL84+(1-EXP(-LN(2)/25))/(LN(2)/25)*Calculateur!CG85*Calculateur!CI85*VLOOKUP('Données projet'!$B$12,Paramètres!$A$1:$I$89,3,0)*0.475*44/12</f>
        <v>15.929099523313456</v>
      </c>
      <c r="CM85" s="21">
        <f>EXP(-LN(2)/2)*CM84+(1-EXP(-LN(2)/2))/(LN(2)/2)*CG85*CJ85*VLOOKUP('Données projet'!$B$12,Paramètres!$A$1:$I$89,3,0)*0.475*44/12</f>
        <v>0.91977670201791228</v>
      </c>
      <c r="CN85" s="22">
        <f t="shared" si="66"/>
        <v>30.478577266886287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271.88474547711132</v>
      </c>
      <c r="S86" s="59">
        <f ca="1">AVERAGE(OFFSET($R$3,0,0,'Données projet'!$E$9+1,1))-AVERAGE(OFFSET($H$3,0,0,'Données projet'!$E$9+1,1))</f>
        <v>407.05634973057056</v>
      </c>
      <c r="T86" s="59">
        <f t="shared" si="88"/>
        <v>375.32891954889965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11.667500000000004</v>
      </c>
      <c r="AI86" s="13">
        <f>IF('Données projet'!$A$62&gt;35,AI85+AH86-AQ85,IF(A86&lt;'Données projet'!$A$62,$AF$205^A86,IF(A86='Données projet'!$A$62,'Données projet'!$B$62,AI85+AH86-AQ85)))</f>
        <v>389.69749999999993</v>
      </c>
      <c r="AJ86" s="13">
        <f>AI86*VLOOKUP('Données projet'!$B$10,Paramètres!$A$1:$I$89,3,0)*VLOOKUP('Données projet'!$B$10,Paramètres!$A$1:$I$89,5,0)</f>
        <v>352.59829799999994</v>
      </c>
      <c r="AK86" s="13">
        <f t="shared" si="89"/>
        <v>82.097297257859907</v>
      </c>
      <c r="AL86" s="20">
        <f t="shared" si="58"/>
        <v>757.09482840743919</v>
      </c>
      <c r="AM86" s="59">
        <f t="shared" si="59"/>
        <v>1028.9795738845428</v>
      </c>
      <c r="AN86" s="59">
        <f ca="1">AVERAGE(OFFSET($AM$3,0,0,'Données projet'!$E$10+1,1))-AVERAGE(OFFSET($H$3,0,0,'Données projet'!$E$10+1,1))</f>
        <v>737.40414421611001</v>
      </c>
      <c r="AO86" s="59">
        <f t="shared" si="90"/>
        <v>245.32893490531674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32.324848905827473</v>
      </c>
      <c r="AV86" s="21">
        <f>EXP(-LN(2)/25)*AV85+(1-EXP(-LN(2)/25))/(LN(2)/25)*Calculateur!AQ86*Calculateur!AS86*VLOOKUP('Données projet'!$B$10,Paramètres!$A$1:$I$89,3,0)*0.475*44/12</f>
        <v>36.110898823668116</v>
      </c>
      <c r="AW86" s="21">
        <f>EXP(-LN(2)/2)*AW85+(1-EXP(-LN(2)/2))/(LN(2)/2)*AQ86*AT86*VLOOKUP('Données projet'!$B$10,Paramètres!$A$1:$I$89,3,0)*0.475*44/12</f>
        <v>3.8128761405036884</v>
      </c>
      <c r="AX86" s="21">
        <f t="shared" si="60"/>
        <v>72.248623869999278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11.905555555555553</v>
      </c>
      <c r="BD86" s="12">
        <f>IF('Données projet'!$A$88&gt;35,BD85+BC86-BL85,IF(A86&lt;'Données projet'!$A$88,$BA$205^A86,IF(A86='Données projet'!$A$88,'Données projet'!$B$88,BD85+BC86-BL85)))</f>
        <v>369.6911111111109</v>
      </c>
      <c r="BE86" s="13">
        <f>BD86*VLOOKUP('Données projet'!$B$11,Paramètres!$A$1:$I$89,3,0)*VLOOKUP('Données projet'!$B$11,Paramètres!$A$1:$I$89,5,0)</f>
        <v>311.42779199999984</v>
      </c>
      <c r="BF86" s="13">
        <f t="shared" si="91"/>
        <v>73.566930176716866</v>
      </c>
      <c r="BG86" s="20">
        <f t="shared" si="61"/>
        <v>670.53247445778163</v>
      </c>
      <c r="BH86" s="59">
        <f t="shared" si="62"/>
        <v>942.41721993488511</v>
      </c>
      <c r="BI86" s="59">
        <f ca="1">AVERAGE(OFFSET($BH$3,0,0,'Données projet'!$E$11+1,1))-AVERAGE(OFFSET($H$3,0,0,'Données projet'!$E$11+1,1))</f>
        <v>456.35333554128226</v>
      </c>
      <c r="BJ86" s="59">
        <f t="shared" si="92"/>
        <v>296.4517290984877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42.213606093046025</v>
      </c>
      <c r="BQ86" s="21">
        <f>EXP(-LN(2)/25)*BQ85+(1-EXP(-LN(2)/25))/(LN(2)/25)*Calculateur!BL86*Calculateur!BN86*VLOOKUP('Données projet'!$B$11,Paramètres!$A$1:$I$89,3,0)*0.475*44/12</f>
        <v>27.601453841325018</v>
      </c>
      <c r="BR86" s="21">
        <f>EXP(-LN(2)/2)*BR85+(1-EXP(-LN(2)/2))/(LN(2)/2)*BL86*BO86*VLOOKUP('Données projet'!$B$11,Paramètres!$A$1:$I$89,3,0)*0.475*44/12</f>
        <v>0.12571738661713944</v>
      </c>
      <c r="BS86" s="22">
        <f t="shared" si="63"/>
        <v>69.94077732098819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306.11</v>
      </c>
      <c r="BW86" s="12">
        <f>VLOOKUP(A86,'Données projet'!$A$113:$I$133,9,0)</f>
        <v>9.4837500000000006</v>
      </c>
      <c r="BX86" s="12">
        <f t="array" ref="BX86">INDEX(BW:BW,MIN(IF(ISNUMBER(BW86:BW282),ROW(BW86:BW282),"")))</f>
        <v>9.4837500000000006</v>
      </c>
      <c r="BY86" s="12">
        <f>IF('Données projet'!$A$114&gt;35,BY85+BX86-CG85,IF(A86&lt;'Données projet'!$A$114,$BV$205^A86,IF(A86='Données projet'!$A$114,'Données projet'!$B$114,BY85+BX86-CG85)))</f>
        <v>306.1099999999999</v>
      </c>
      <c r="BZ86" s="13">
        <f>BY86*VLOOKUP('Données projet'!$B$12,Paramètres!$A$1:$I$89,3,0)*VLOOKUP('Données projet'!$B$12,Paramètres!$A$1:$I$89,5,0)</f>
        <v>291.29427599999991</v>
      </c>
      <c r="CA86" s="13">
        <f t="shared" si="93"/>
        <v>69.348293174982246</v>
      </c>
      <c r="CB86" s="20">
        <f t="shared" si="64"/>
        <v>628.11914131309391</v>
      </c>
      <c r="CC86" s="59">
        <f t="shared" si="65"/>
        <v>900.00388679019738</v>
      </c>
      <c r="CD86" s="59">
        <f ca="1">AVERAGE(OFFSET($CC$3,0,0,'Données projet'!$E$12+1,1))-AVERAGE(OFFSET($H$3,0,0,'Données projet'!$E$12+1,1))</f>
        <v>486.36097333679697</v>
      </c>
      <c r="CE86" s="59">
        <f t="shared" si="94"/>
        <v>308.47736602748159</v>
      </c>
      <c r="CF86" s="15">
        <f>IF(ISNA(VLOOKUP(A86,'Données projet'!$A$113:$I$133,3,0)),0,VLOOKUP(A86,'Données projet'!$A$113:$I$133,3,0))</f>
        <v>7</v>
      </c>
      <c r="CG86" s="15">
        <f>IF(ISNA(VLOOKUP(A86,'Données projet'!$A$113:$I$133,4,0)),0,VLOOKUP(A86,'Données projet'!$A$113:$I$133,4,0))</f>
        <v>49.980000000000018</v>
      </c>
      <c r="CH86" s="16">
        <f>IF(ISNA(VLOOKUP(A86,'Données projet'!$A$113:$I$133,5,0)),0%,VLOOKUP(A86,'Données projet'!$A$113:$I$133,5,0)*VLOOKUP('Données projet'!$B$12,Paramètres!$A$1:$I$89,7,0))</f>
        <v>0.1075</v>
      </c>
      <c r="CI86" s="16">
        <f>IF(ISNA(VLOOKUP(A86,'Données projet'!$A$113:$I$133,6,0)),0%,VLOOKUP(A86,'Données projet'!$A$113:$I$133,6,0)*VLOOKUP('Données projet'!$B$12,Paramètres!$A$1:$I$89,7,0))</f>
        <v>0.1075</v>
      </c>
      <c r="CJ86" s="16">
        <f>IF(ISNA(VLOOKUP(A86,'Données projet'!$A$113:$I$133,7,0)),0%,VLOOKUP(A86,'Données projet'!$A$113:$I$133,7,0))</f>
        <v>0.25</v>
      </c>
      <c r="CK86" s="21">
        <f>EXP(-LN(2)/35)*CK85+(1-EXP(-LN(2)/35))/(LN(2)/35)*CG86*CH86*VLOOKUP('Données projet'!$B$12,Paramètres!$A$1:$I$89,3,0)*0.475*44/12</f>
        <v>19.014484362112601</v>
      </c>
      <c r="CL86" s="21">
        <f>EXP(-LN(2)/25)*CL85+(1-EXP(-LN(2)/25))/(LN(2)/25)*Calculateur!CG86*Calculateur!CI86*VLOOKUP('Données projet'!$B$12,Paramètres!$A$1:$I$89,3,0)*0.475*44/12</f>
        <v>21.123316615846392</v>
      </c>
      <c r="CM86" s="21">
        <f>EXP(-LN(2)/2)*CM85+(1-EXP(-LN(2)/2))/(LN(2)/2)*CG86*CJ86*VLOOKUP('Données projet'!$B$12,Paramètres!$A$1:$I$89,3,0)*0.475*44/12</f>
        <v>11.86914369134567</v>
      </c>
      <c r="CN86" s="22">
        <f t="shared" si="66"/>
        <v>52.006944669304659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272.25683052455815</v>
      </c>
      <c r="S87" s="59">
        <f ca="1">AVERAGE(OFFSET($R$3,0,0,'Données projet'!$E$9+1,1))-AVERAGE(OFFSET($H$3,0,0,'Données projet'!$E$9+1,1))</f>
        <v>407.05634973057056</v>
      </c>
      <c r="T87" s="59">
        <f t="shared" si="88"/>
        <v>375.32891954889965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11.667500000000004</v>
      </c>
      <c r="AI87" s="13">
        <f>IF('Données projet'!$A$62&gt;35,AI86+AH87-AQ86,IF(A87&lt;'Données projet'!$A$62,$AF$205^A87,IF(A87='Données projet'!$A$62,'Données projet'!$B$62,AI86+AH87-AQ86)))</f>
        <v>401.36499999999995</v>
      </c>
      <c r="AJ87" s="13">
        <f>AI87*VLOOKUP('Données projet'!$B$10,Paramètres!$A$1:$I$89,3,0)*VLOOKUP('Données projet'!$B$10,Paramètres!$A$1:$I$89,5,0)</f>
        <v>363.15505199999996</v>
      </c>
      <c r="AK87" s="13">
        <f t="shared" si="89"/>
        <v>84.265428925746718</v>
      </c>
      <c r="AL87" s="20">
        <f t="shared" si="58"/>
        <v>779.25733761234221</v>
      </c>
      <c r="AM87" s="59">
        <f t="shared" si="59"/>
        <v>1051.5141681368925</v>
      </c>
      <c r="AN87" s="59">
        <f ca="1">AVERAGE(OFFSET($AM$3,0,0,'Données projet'!$E$10+1,1))-AVERAGE(OFFSET($H$3,0,0,'Données projet'!$E$10+1,1))</f>
        <v>737.40414421611001</v>
      </c>
      <c r="AO87" s="59">
        <f t="shared" si="90"/>
        <v>245.32893490531674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31.690978334995215</v>
      </c>
      <c r="AV87" s="21">
        <f>EXP(-LN(2)/25)*AV86+(1-EXP(-LN(2)/25))/(LN(2)/25)*Calculateur!AQ87*Calculateur!AS87*VLOOKUP('Données projet'!$B$10,Paramètres!$A$1:$I$89,3,0)*0.475*44/12</f>
        <v>35.123444396345278</v>
      </c>
      <c r="AW87" s="21">
        <f>EXP(-LN(2)/2)*AW86+(1-EXP(-LN(2)/2))/(LN(2)/2)*AQ87*AT87*VLOOKUP('Données projet'!$B$10,Paramètres!$A$1:$I$89,3,0)*0.475*44/12</f>
        <v>2.6961105747745497</v>
      </c>
      <c r="AX87" s="21">
        <f t="shared" si="60"/>
        <v>69.51053330611505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11.905555555555553</v>
      </c>
      <c r="BD87" s="12">
        <f>IF('Données projet'!$A$88&gt;35,BD86+BC87-BL86,IF(A87&lt;'Données projet'!$A$88,$BA$205^A87,IF(A87='Données projet'!$A$88,'Données projet'!$B$88,BD86+BC87-BL86)))</f>
        <v>381.59666666666647</v>
      </c>
      <c r="BE87" s="13">
        <f>BD87*VLOOKUP('Données projet'!$B$11,Paramètres!$A$1:$I$89,3,0)*VLOOKUP('Données projet'!$B$11,Paramètres!$A$1:$I$89,5,0)</f>
        <v>321.45703199999986</v>
      </c>
      <c r="BF87" s="13">
        <f t="shared" si="91"/>
        <v>75.656437304576173</v>
      </c>
      <c r="BG87" s="20">
        <f t="shared" si="61"/>
        <v>691.63929237213654</v>
      </c>
      <c r="BH87" s="59">
        <f t="shared" si="62"/>
        <v>963.89612289668685</v>
      </c>
      <c r="BI87" s="59">
        <f ca="1">AVERAGE(OFFSET($BH$3,0,0,'Données projet'!$E$11+1,1))-AVERAGE(OFFSET($H$3,0,0,'Données projet'!$E$11+1,1))</f>
        <v>456.35333554128226</v>
      </c>
      <c r="BJ87" s="59">
        <f t="shared" si="92"/>
        <v>296.4517290984877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41.385823025318729</v>
      </c>
      <c r="BQ87" s="21">
        <f>EXP(-LN(2)/25)*BQ86+(1-EXP(-LN(2)/25))/(LN(2)/25)*Calculateur!BL87*Calculateur!BN87*VLOOKUP('Données projet'!$B$11,Paramètres!$A$1:$I$89,3,0)*0.475*44/12</f>
        <v>26.846690634536611</v>
      </c>
      <c r="BR87" s="21">
        <f>EXP(-LN(2)/2)*BR86+(1-EXP(-LN(2)/2))/(LN(2)/2)*BL87*BO87*VLOOKUP('Données projet'!$B$11,Paramètres!$A$1:$I$89,3,0)*0.475*44/12</f>
        <v>8.8895616590030216E-2</v>
      </c>
      <c r="BS87" s="22">
        <f t="shared" si="63"/>
        <v>68.32140927644538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9.2740000000000009</v>
      </c>
      <c r="BY87" s="12">
        <f>IF('Données projet'!$A$114&gt;35,BY86+BX87-CG86,IF(A87&lt;'Données projet'!$A$114,$BV$205^A87,IF(A87='Données projet'!$A$114,'Données projet'!$B$114,BY86+BX87-CG86)))</f>
        <v>265.40399999999988</v>
      </c>
      <c r="BZ87" s="13">
        <f>BY87*VLOOKUP('Données projet'!$B$12,Paramètres!$A$1:$I$89,3,0)*VLOOKUP('Données projet'!$B$12,Paramètres!$A$1:$I$89,5,0)</f>
        <v>252.55844639999989</v>
      </c>
      <c r="CA87" s="13">
        <f t="shared" si="93"/>
        <v>61.133468574024647</v>
      </c>
      <c r="CB87" s="20">
        <f t="shared" si="64"/>
        <v>546.34675191309282</v>
      </c>
      <c r="CC87" s="59">
        <f t="shared" si="65"/>
        <v>818.60358243764313</v>
      </c>
      <c r="CD87" s="59">
        <f ca="1">AVERAGE(OFFSET($CC$3,0,0,'Données projet'!$E$12+1,1))-AVERAGE(OFFSET($H$3,0,0,'Données projet'!$E$12+1,1))</f>
        <v>486.36097333679697</v>
      </c>
      <c r="CE87" s="59">
        <f t="shared" si="94"/>
        <v>308.47736602748159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18.641621921461855</v>
      </c>
      <c r="CL87" s="21">
        <f>EXP(-LN(2)/25)*CL86+(1-EXP(-LN(2)/25))/(LN(2)/25)*Calculateur!CG87*Calculateur!CI87*VLOOKUP('Données projet'!$B$12,Paramètres!$A$1:$I$89,3,0)*0.475*44/12</f>
        <v>20.54569841215913</v>
      </c>
      <c r="CM87" s="21">
        <f>EXP(-LN(2)/2)*CM86+(1-EXP(-LN(2)/2))/(LN(2)/2)*CG87*CJ87*VLOOKUP('Données projet'!$B$12,Paramètres!$A$1:$I$89,3,0)*0.475*44/12</f>
        <v>8.3927519910280548</v>
      </c>
      <c r="CN87" s="22">
        <f t="shared" si="66"/>
        <v>47.580072324649045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272.62246072828935</v>
      </c>
      <c r="S88" s="59">
        <f ca="1">AVERAGE(OFFSET($R$3,0,0,'Données projet'!$E$9+1,1))-AVERAGE(OFFSET($H$3,0,0,'Données projet'!$E$9+1,1))</f>
        <v>407.05634973057056</v>
      </c>
      <c r="T88" s="59">
        <f t="shared" si="88"/>
        <v>375.32891954889965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11.667500000000004</v>
      </c>
      <c r="AI88" s="13">
        <f>IF('Données projet'!$A$62&gt;35,AI87+AH88-AQ87,IF(A88&lt;'Données projet'!$A$62,$AF$205^A88,IF(A88='Données projet'!$A$62,'Données projet'!$B$62,AI87+AH88-AQ87)))</f>
        <v>413.03249999999997</v>
      </c>
      <c r="AJ88" s="13">
        <f>AI88*VLOOKUP('Données projet'!$B$10,Paramètres!$A$1:$I$89,3,0)*VLOOKUP('Données projet'!$B$10,Paramètres!$A$1:$I$89,5,0)</f>
        <v>373.71180599999997</v>
      </c>
      <c r="AK88" s="13">
        <f t="shared" si="89"/>
        <v>86.426235603807172</v>
      </c>
      <c r="AL88" s="20">
        <f t="shared" si="58"/>
        <v>801.40708912663069</v>
      </c>
      <c r="AM88" s="59">
        <f t="shared" si="59"/>
        <v>1074.0295498549121</v>
      </c>
      <c r="AN88" s="59">
        <f ca="1">AVERAGE(OFFSET($AM$3,0,0,'Données projet'!$E$10+1,1))-AVERAGE(OFFSET($H$3,0,0,'Données projet'!$E$10+1,1))</f>
        <v>737.40414421611001</v>
      </c>
      <c r="AO88" s="59">
        <f t="shared" si="90"/>
        <v>245.32893490531674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31.069537579434105</v>
      </c>
      <c r="AV88" s="21">
        <f>EXP(-LN(2)/25)*AV87+(1-EXP(-LN(2)/25))/(LN(2)/25)*Calculateur!AQ88*Calculateur!AS88*VLOOKUP('Données projet'!$B$10,Paramètres!$A$1:$I$89,3,0)*0.475*44/12</f>
        <v>34.162991962265551</v>
      </c>
      <c r="AW88" s="21">
        <f>EXP(-LN(2)/2)*AW87+(1-EXP(-LN(2)/2))/(LN(2)/2)*AQ88*AT88*VLOOKUP('Données projet'!$B$10,Paramètres!$A$1:$I$89,3,0)*0.475*44/12</f>
        <v>1.9064380702518446</v>
      </c>
      <c r="AX88" s="21">
        <f t="shared" si="60"/>
        <v>67.138967611951486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11.905555555555553</v>
      </c>
      <c r="BD88" s="12">
        <f>IF('Données projet'!$A$88&gt;35,BD87+BC88-BL87,IF(A88&lt;'Données projet'!$A$88,$BA$205^A88,IF(A88='Données projet'!$A$88,'Données projet'!$B$88,BD87+BC88-BL87)))</f>
        <v>393.50222222222203</v>
      </c>
      <c r="BE88" s="13">
        <f>BD88*VLOOKUP('Données projet'!$B$11,Paramètres!$A$1:$I$89,3,0)*VLOOKUP('Données projet'!$B$11,Paramètres!$A$1:$I$89,5,0)</f>
        <v>331.48627199999987</v>
      </c>
      <c r="BF88" s="13">
        <f t="shared" si="91"/>
        <v>77.738368640761308</v>
      </c>
      <c r="BG88" s="20">
        <f t="shared" si="61"/>
        <v>712.73291578265901</v>
      </c>
      <c r="BH88" s="59">
        <f t="shared" si="62"/>
        <v>985.35537651094046</v>
      </c>
      <c r="BI88" s="59">
        <f ca="1">AVERAGE(OFFSET($BH$3,0,0,'Données projet'!$E$11+1,1))-AVERAGE(OFFSET($H$3,0,0,'Données projet'!$E$11+1,1))</f>
        <v>456.35333554128226</v>
      </c>
      <c r="BJ88" s="59">
        <f t="shared" si="92"/>
        <v>296.4517290984877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40.574272278651748</v>
      </c>
      <c r="BQ88" s="21">
        <f>EXP(-LN(2)/25)*BQ87+(1-EXP(-LN(2)/25))/(LN(2)/25)*Calculateur!BL88*Calculateur!BN88*VLOOKUP('Données projet'!$B$11,Paramètres!$A$1:$I$89,3,0)*0.475*44/12</f>
        <v>26.112566467329106</v>
      </c>
      <c r="BR88" s="21">
        <f>EXP(-LN(2)/2)*BR87+(1-EXP(-LN(2)/2))/(LN(2)/2)*BL88*BO88*VLOOKUP('Données projet'!$B$11,Paramètres!$A$1:$I$89,3,0)*0.475*44/12</f>
        <v>6.2858693308569719E-2</v>
      </c>
      <c r="BS88" s="22">
        <f t="shared" si="63"/>
        <v>66.74969743928942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9.2740000000000009</v>
      </c>
      <c r="BY88" s="12">
        <f>IF('Données projet'!$A$114&gt;35,BY87+BX88-CG87,IF(A88&lt;'Données projet'!$A$114,$BV$205^A88,IF(A88='Données projet'!$A$114,'Données projet'!$B$114,BY87+BX88-CG87)))</f>
        <v>274.67799999999988</v>
      </c>
      <c r="BZ88" s="13">
        <f>BY88*VLOOKUP('Données projet'!$B$12,Paramètres!$A$1:$I$89,3,0)*VLOOKUP('Données projet'!$B$12,Paramètres!$A$1:$I$89,5,0)</f>
        <v>261.38358479999988</v>
      </c>
      <c r="CA88" s="13">
        <f t="shared" si="93"/>
        <v>63.017211162903877</v>
      </c>
      <c r="CB88" s="20">
        <f t="shared" si="64"/>
        <v>564.9980529687241</v>
      </c>
      <c r="CC88" s="59">
        <f t="shared" si="65"/>
        <v>837.62051369700566</v>
      </c>
      <c r="CD88" s="59">
        <f ca="1">AVERAGE(OFFSET($CC$3,0,0,'Données projet'!$E$12+1,1))-AVERAGE(OFFSET($H$3,0,0,'Données projet'!$E$12+1,1))</f>
        <v>486.36097333679697</v>
      </c>
      <c r="CE88" s="59">
        <f t="shared" si="94"/>
        <v>308.47736602748159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18.276071085848638</v>
      </c>
      <c r="CL88" s="21">
        <f>EXP(-LN(2)/25)*CL87+(1-EXP(-LN(2)/25))/(LN(2)/25)*Calculateur!CG88*Calculateur!CI88*VLOOKUP('Données projet'!$B$12,Paramètres!$A$1:$I$89,3,0)*0.475*44/12</f>
        <v>19.983875208627317</v>
      </c>
      <c r="CM88" s="21">
        <f>EXP(-LN(2)/2)*CM87+(1-EXP(-LN(2)/2))/(LN(2)/2)*CG88*CJ88*VLOOKUP('Données projet'!$B$12,Paramètres!$A$1:$I$89,3,0)*0.475*44/12</f>
        <v>5.9345718456728358</v>
      </c>
      <c r="CN88" s="22">
        <f t="shared" si="66"/>
        <v>44.194518140148787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272.98174806541255</v>
      </c>
      <c r="S89" s="59">
        <f ca="1">AVERAGE(OFFSET($R$3,0,0,'Données projet'!$E$9+1,1))-AVERAGE(OFFSET($H$3,0,0,'Données projet'!$E$9+1,1))</f>
        <v>407.05634973057056</v>
      </c>
      <c r="T89" s="59">
        <f t="shared" si="88"/>
        <v>375.32891954889965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11.667500000000004</v>
      </c>
      <c r="AI89" s="13">
        <f>IF('Données projet'!$A$62&gt;35,AI88+AH89-AQ88,IF(A89&lt;'Données projet'!$A$62,$AF$205^A89,IF(A89='Données projet'!$A$62,'Données projet'!$B$62,AI88+AH89-AQ88)))</f>
        <v>424.7</v>
      </c>
      <c r="AJ89" s="13">
        <f>AI89*VLOOKUP('Données projet'!$B$10,Paramètres!$A$1:$I$89,3,0)*VLOOKUP('Données projet'!$B$10,Paramètres!$A$1:$I$89,5,0)</f>
        <v>384.26855999999998</v>
      </c>
      <c r="AK89" s="13">
        <f t="shared" si="89"/>
        <v>88.579947979334634</v>
      </c>
      <c r="AL89" s="20">
        <f t="shared" si="58"/>
        <v>823.54448473067441</v>
      </c>
      <c r="AM89" s="59">
        <f t="shared" si="59"/>
        <v>1096.5262327960791</v>
      </c>
      <c r="AN89" s="59">
        <f ca="1">AVERAGE(OFFSET($AM$3,0,0,'Données projet'!$E$10+1,1))-AVERAGE(OFFSET($H$3,0,0,'Données projet'!$E$10+1,1))</f>
        <v>737.40414421611001</v>
      </c>
      <c r="AO89" s="59">
        <f t="shared" si="90"/>
        <v>245.32893490531674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30.460282898048114</v>
      </c>
      <c r="AV89" s="21">
        <f>EXP(-LN(2)/25)*AV88+(1-EXP(-LN(2)/25))/(LN(2)/25)*Calculateur!AQ89*Calculateur!AS89*VLOOKUP('Données projet'!$B$10,Paramètres!$A$1:$I$89,3,0)*0.475*44/12</f>
        <v>33.22880315050373</v>
      </c>
      <c r="AW89" s="21">
        <f>EXP(-LN(2)/2)*AW88+(1-EXP(-LN(2)/2))/(LN(2)/2)*AQ89*AT89*VLOOKUP('Données projet'!$B$10,Paramètres!$A$1:$I$89,3,0)*0.475*44/12</f>
        <v>1.3480552873872751</v>
      </c>
      <c r="AX89" s="21">
        <f t="shared" si="60"/>
        <v>65.037141335939111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11.905555555555553</v>
      </c>
      <c r="BD89" s="12">
        <f>IF('Données projet'!$A$88&gt;35,BD88+BC89-BL88,IF(A89&lt;'Données projet'!$A$88,$BA$205^A89,IF(A89='Données projet'!$A$88,'Données projet'!$B$88,BD88+BC89-BL88)))</f>
        <v>405.4077777777776</v>
      </c>
      <c r="BE89" s="13">
        <f>BD89*VLOOKUP('Données projet'!$B$11,Paramètres!$A$1:$I$89,3,0)*VLOOKUP('Données projet'!$B$11,Paramètres!$A$1:$I$89,5,0)</f>
        <v>341.51551199999989</v>
      </c>
      <c r="BF89" s="13">
        <f t="shared" si="91"/>
        <v>79.812979702519371</v>
      </c>
      <c r="BG89" s="20">
        <f t="shared" si="61"/>
        <v>733.81378971522111</v>
      </c>
      <c r="BH89" s="59">
        <f t="shared" si="62"/>
        <v>1006.7955377806259</v>
      </c>
      <c r="BI89" s="59">
        <f ca="1">AVERAGE(OFFSET($BH$3,0,0,'Données projet'!$E$11+1,1))-AVERAGE(OFFSET($H$3,0,0,'Données projet'!$E$11+1,1))</f>
        <v>456.35333554128226</v>
      </c>
      <c r="BJ89" s="59">
        <f t="shared" si="92"/>
        <v>296.4517290984877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39.778635547129831</v>
      </c>
      <c r="BQ89" s="21">
        <f>EXP(-LN(2)/25)*BQ88+(1-EXP(-LN(2)/25))/(LN(2)/25)*Calculateur!BL89*Calculateur!BN89*VLOOKUP('Données projet'!$B$11,Paramètres!$A$1:$I$89,3,0)*0.475*44/12</f>
        <v>25.398516964079803</v>
      </c>
      <c r="BR89" s="21">
        <f>EXP(-LN(2)/2)*BR88+(1-EXP(-LN(2)/2))/(LN(2)/2)*BL89*BO89*VLOOKUP('Données projet'!$B$11,Paramètres!$A$1:$I$89,3,0)*0.475*44/12</f>
        <v>4.4447808295015108E-2</v>
      </c>
      <c r="BS89" s="22">
        <f t="shared" si="63"/>
        <v>65.22160031950466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9.2740000000000009</v>
      </c>
      <c r="BY89" s="12">
        <f>IF('Données projet'!$A$114&gt;35,BY88+BX89-CG88,IF(A89&lt;'Données projet'!$A$114,$BV$205^A89,IF(A89='Données projet'!$A$114,'Données projet'!$B$114,BY88+BX89-CG88)))</f>
        <v>283.95199999999988</v>
      </c>
      <c r="BZ89" s="13">
        <f>BY89*VLOOKUP('Données projet'!$B$12,Paramètres!$A$1:$I$89,3,0)*VLOOKUP('Données projet'!$B$12,Paramètres!$A$1:$I$89,5,0)</f>
        <v>270.20872319999989</v>
      </c>
      <c r="CA89" s="13">
        <f t="shared" si="93"/>
        <v>64.893563626315952</v>
      </c>
      <c r="CB89" s="20">
        <f t="shared" si="64"/>
        <v>583.63648288916681</v>
      </c>
      <c r="CC89" s="59">
        <f t="shared" si="65"/>
        <v>856.61823095457157</v>
      </c>
      <c r="CD89" s="59">
        <f ca="1">AVERAGE(OFFSET($CC$3,0,0,'Données projet'!$E$12+1,1))-AVERAGE(OFFSET($H$3,0,0,'Données projet'!$E$12+1,1))</f>
        <v>486.36097333679697</v>
      </c>
      <c r="CE89" s="59">
        <f t="shared" si="94"/>
        <v>308.47736602748159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17.917688479157803</v>
      </c>
      <c r="CL89" s="21">
        <f>EXP(-LN(2)/25)*CL88+(1-EXP(-LN(2)/25))/(LN(2)/25)*Calculateur!CG89*Calculateur!CI89*VLOOKUP('Données projet'!$B$12,Paramètres!$A$1:$I$89,3,0)*0.475*44/12</f>
        <v>19.43741509014108</v>
      </c>
      <c r="CM89" s="21">
        <f>EXP(-LN(2)/2)*CM88+(1-EXP(-LN(2)/2))/(LN(2)/2)*CG89*CJ89*VLOOKUP('Données projet'!$B$12,Paramètres!$A$1:$I$89,3,0)*0.475*44/12</f>
        <v>4.1963759955140274</v>
      </c>
      <c r="CN89" s="22">
        <f t="shared" si="66"/>
        <v>41.551479564812908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273.33480257048268</v>
      </c>
      <c r="S90" s="59">
        <f ca="1">AVERAGE(OFFSET($R$3,0,0,'Données projet'!$E$9+1,1))-AVERAGE(OFFSET($H$3,0,0,'Données projet'!$E$9+1,1))</f>
        <v>407.05634973057056</v>
      </c>
      <c r="T90" s="59">
        <f t="shared" si="88"/>
        <v>375.32891954889965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11.667500000000004</v>
      </c>
      <c r="AI90" s="13">
        <f>IF('Données projet'!$A$62&gt;35,AI89+AH90-AQ89,IF(A90&lt;'Données projet'!$A$62,$AF$205^A90,IF(A90='Données projet'!$A$62,'Données projet'!$B$62,AI89+AH90-AQ89)))</f>
        <v>436.36750000000001</v>
      </c>
      <c r="AJ90" s="13">
        <f>AI90*VLOOKUP('Données projet'!$B$10,Paramètres!$A$1:$I$89,3,0)*VLOOKUP('Données projet'!$B$10,Paramètres!$A$1:$I$89,5,0)</f>
        <v>394.82531399999999</v>
      </c>
      <c r="AK90" s="13">
        <f t="shared" si="89"/>
        <v>90.726783343228391</v>
      </c>
      <c r="AL90" s="20">
        <f t="shared" si="58"/>
        <v>845.66990287278952</v>
      </c>
      <c r="AM90" s="59">
        <f t="shared" si="59"/>
        <v>1119.0047054432644</v>
      </c>
      <c r="AN90" s="59">
        <f ca="1">AVERAGE(OFFSET($AM$3,0,0,'Données projet'!$E$10+1,1))-AVERAGE(OFFSET($H$3,0,0,'Données projet'!$E$10+1,1))</f>
        <v>737.40414421611001</v>
      </c>
      <c r="AO90" s="59">
        <f t="shared" si="90"/>
        <v>245.32893490531674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29.862975329355439</v>
      </c>
      <c r="AV90" s="21">
        <f>EXP(-LN(2)/25)*AV89+(1-EXP(-LN(2)/25))/(LN(2)/25)*Calculateur!AQ90*Calculateur!AS90*VLOOKUP('Données projet'!$B$10,Paramètres!$A$1:$I$89,3,0)*0.475*44/12</f>
        <v>32.320159780926396</v>
      </c>
      <c r="AW90" s="21">
        <f>EXP(-LN(2)/2)*AW89+(1-EXP(-LN(2)/2))/(LN(2)/2)*AQ90*AT90*VLOOKUP('Données projet'!$B$10,Paramètres!$A$1:$I$89,3,0)*0.475*44/12</f>
        <v>0.95321903512592243</v>
      </c>
      <c r="AX90" s="21">
        <f t="shared" si="60"/>
        <v>63.136354145407765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11.905555555555553</v>
      </c>
      <c r="BD90" s="12">
        <f>IF('Données projet'!$A$88&gt;35,BD89+BC90-BL89,IF(A90&lt;'Données projet'!$A$88,$BA$205^A90,IF(A90='Données projet'!$A$88,'Données projet'!$B$88,BD89+BC90-BL89)))</f>
        <v>417.31333333333316</v>
      </c>
      <c r="BE90" s="13">
        <f>BD90*VLOOKUP('Données projet'!$B$11,Paramètres!$A$1:$I$89,3,0)*VLOOKUP('Données projet'!$B$11,Paramètres!$A$1:$I$89,5,0)</f>
        <v>351.54475199999985</v>
      </c>
      <c r="BF90" s="13">
        <f t="shared" si="91"/>
        <v>81.880510146389071</v>
      </c>
      <c r="BG90" s="20">
        <f t="shared" si="61"/>
        <v>754.88233157162733</v>
      </c>
      <c r="BH90" s="59">
        <f t="shared" si="62"/>
        <v>1028.2171341421022</v>
      </c>
      <c r="BI90" s="59">
        <f ca="1">AVERAGE(OFFSET($BH$3,0,0,'Données projet'!$E$11+1,1))-AVERAGE(OFFSET($H$3,0,0,'Données projet'!$E$11+1,1))</f>
        <v>456.35333554128226</v>
      </c>
      <c r="BJ90" s="59">
        <f t="shared" si="92"/>
        <v>296.4517290984877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38.998600766622566</v>
      </c>
      <c r="BQ90" s="21">
        <f>EXP(-LN(2)/25)*BQ89+(1-EXP(-LN(2)/25))/(LN(2)/25)*Calculateur!BL90*Calculateur!BN90*VLOOKUP('Données projet'!$B$11,Paramètres!$A$1:$I$89,3,0)*0.475*44/12</f>
        <v>24.703993182047082</v>
      </c>
      <c r="BR90" s="21">
        <f>EXP(-LN(2)/2)*BR89+(1-EXP(-LN(2)/2))/(LN(2)/2)*BL90*BO90*VLOOKUP('Données projet'!$B$11,Paramètres!$A$1:$I$89,3,0)*0.475*44/12</f>
        <v>3.1429346654284859E-2</v>
      </c>
      <c r="BS90" s="22">
        <f t="shared" si="63"/>
        <v>63.734023295323929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9.2740000000000009</v>
      </c>
      <c r="BY90" s="12">
        <f>IF('Données projet'!$A$114&gt;35,BY89+BX90-CG89,IF(A90&lt;'Données projet'!$A$114,$BV$205^A90,IF(A90='Données projet'!$A$114,'Données projet'!$B$114,BY89+BX90-CG89)))</f>
        <v>293.22599999999989</v>
      </c>
      <c r="BZ90" s="13">
        <f>BY90*VLOOKUP('Données projet'!$B$12,Paramètres!$A$1:$I$89,3,0)*VLOOKUP('Données projet'!$B$12,Paramètres!$A$1:$I$89,5,0)</f>
        <v>279.03386159999991</v>
      </c>
      <c r="CA90" s="13">
        <f t="shared" si="93"/>
        <v>66.762795009518257</v>
      </c>
      <c r="CB90" s="20">
        <f t="shared" si="64"/>
        <v>602.2625102615774</v>
      </c>
      <c r="CC90" s="59">
        <f t="shared" si="65"/>
        <v>875.59731283205224</v>
      </c>
      <c r="CD90" s="59">
        <f ca="1">AVERAGE(OFFSET($CC$3,0,0,'Données projet'!$E$12+1,1))-AVERAGE(OFFSET($H$3,0,0,'Données projet'!$E$12+1,1))</f>
        <v>486.36097333679697</v>
      </c>
      <c r="CE90" s="59">
        <f t="shared" si="94"/>
        <v>308.47736602748159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17.566333536792371</v>
      </c>
      <c r="CL90" s="21">
        <f>EXP(-LN(2)/25)*CL89+(1-EXP(-LN(2)/25))/(LN(2)/25)*Calculateur!CG90*Calculateur!CI90*VLOOKUP('Données projet'!$B$12,Paramètres!$A$1:$I$89,3,0)*0.475*44/12</f>
        <v>18.905897952331937</v>
      </c>
      <c r="CM90" s="21">
        <f>EXP(-LN(2)/2)*CM89+(1-EXP(-LN(2)/2))/(LN(2)/2)*CG90*CJ90*VLOOKUP('Données projet'!$B$12,Paramètres!$A$1:$I$89,3,0)*0.475*44/12</f>
        <v>2.9672859228364179</v>
      </c>
      <c r="CN90" s="22">
        <f t="shared" si="66"/>
        <v>39.439517411960729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273.68173236920154</v>
      </c>
      <c r="S91" s="59">
        <f ca="1">AVERAGE(OFFSET($R$3,0,0,'Données projet'!$E$9+1,1))-AVERAGE(OFFSET($H$3,0,0,'Données projet'!$E$9+1,1))</f>
        <v>407.05634973057056</v>
      </c>
      <c r="T91" s="59">
        <f t="shared" si="88"/>
        <v>375.32891954889965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11.667500000000004</v>
      </c>
      <c r="AI91" s="13">
        <f>IF('Données projet'!$A$62&gt;35,AI90+AH91-AQ90,IF(A91&lt;'Données projet'!$A$62,$AF$205^A91,IF(A91='Données projet'!$A$62,'Données projet'!$B$62,AI90+AH91-AQ90)))</f>
        <v>448.03500000000003</v>
      </c>
      <c r="AJ91" s="13">
        <f>AI91*VLOOKUP('Données projet'!$B$10,Paramètres!$A$1:$I$89,3,0)*VLOOKUP('Données projet'!$B$10,Paramètres!$A$1:$I$89,5,0)</f>
        <v>405.382068</v>
      </c>
      <c r="AK91" s="13">
        <f t="shared" si="89"/>
        <v>92.866946705059107</v>
      </c>
      <c r="AL91" s="20">
        <f t="shared" si="58"/>
        <v>867.78370061131125</v>
      </c>
      <c r="AM91" s="59">
        <f t="shared" si="59"/>
        <v>1141.4654329805048</v>
      </c>
      <c r="AN91" s="59">
        <f ca="1">AVERAGE(OFFSET($AM$3,0,0,'Données projet'!$E$10+1,1))-AVERAGE(OFFSET($H$3,0,0,'Données projet'!$E$10+1,1))</f>
        <v>737.40414421611001</v>
      </c>
      <c r="AO91" s="59">
        <f t="shared" si="90"/>
        <v>245.32893490531674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29.277380597763187</v>
      </c>
      <c r="AV91" s="21">
        <f>EXP(-LN(2)/25)*AV90+(1-EXP(-LN(2)/25))/(LN(2)/25)*Calculateur!AQ91*Calculateur!AS91*VLOOKUP('Données projet'!$B$10,Paramètres!$A$1:$I$89,3,0)*0.475*44/12</f>
        <v>31.436363312073631</v>
      </c>
      <c r="AW91" s="21">
        <f>EXP(-LN(2)/2)*AW90+(1-EXP(-LN(2)/2))/(LN(2)/2)*AQ91*AT91*VLOOKUP('Données projet'!$B$10,Paramètres!$A$1:$I$89,3,0)*0.475*44/12</f>
        <v>0.67402764369363766</v>
      </c>
      <c r="AX91" s="21">
        <f t="shared" si="60"/>
        <v>61.387771553530456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11.905555555555553</v>
      </c>
      <c r="BD91" s="12">
        <f>IF('Données projet'!$A$88&gt;35,BD90+BC91-BL90,IF(A91&lt;'Données projet'!$A$88,$BA$205^A91,IF(A91='Données projet'!$A$88,'Données projet'!$B$88,BD90+BC91-BL90)))</f>
        <v>429.21888888888873</v>
      </c>
      <c r="BE91" s="13">
        <f>BD91*VLOOKUP('Données projet'!$B$11,Paramètres!$A$1:$I$89,3,0)*VLOOKUP('Données projet'!$B$11,Paramètres!$A$1:$I$89,5,0)</f>
        <v>361.57399199999992</v>
      </c>
      <c r="BF91" s="13">
        <f t="shared" si="91"/>
        <v>83.941185176780493</v>
      </c>
      <c r="BG91" s="20">
        <f t="shared" si="61"/>
        <v>775.93893358289245</v>
      </c>
      <c r="BH91" s="59">
        <f t="shared" si="62"/>
        <v>1049.6206659520863</v>
      </c>
      <c r="BI91" s="59">
        <f ca="1">AVERAGE(OFFSET($BH$3,0,0,'Données projet'!$E$11+1,1))-AVERAGE(OFFSET($H$3,0,0,'Données projet'!$E$11+1,1))</f>
        <v>456.35333554128226</v>
      </c>
      <c r="BJ91" s="59">
        <f t="shared" si="92"/>
        <v>296.4517290984877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38.233861992386814</v>
      </c>
      <c r="BQ91" s="21">
        <f>EXP(-LN(2)/25)*BQ90+(1-EXP(-LN(2)/25))/(LN(2)/25)*Calculateur!BL91*Calculateur!BN91*VLOOKUP('Données projet'!$B$11,Paramètres!$A$1:$I$89,3,0)*0.475*44/12</f>
        <v>24.028461189357465</v>
      </c>
      <c r="BR91" s="21">
        <f>EXP(-LN(2)/2)*BR90+(1-EXP(-LN(2)/2))/(LN(2)/2)*BL91*BO91*VLOOKUP('Données projet'!$B$11,Paramètres!$A$1:$I$89,3,0)*0.475*44/12</f>
        <v>2.2223904147507554E-2</v>
      </c>
      <c r="BS91" s="22">
        <f t="shared" si="63"/>
        <v>62.284547085891788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9.2740000000000009</v>
      </c>
      <c r="BY91" s="12">
        <f>IF('Données projet'!$A$114&gt;35,BY90+BX91-CG90,IF(A91&lt;'Données projet'!$A$114,$BV$205^A91,IF(A91='Données projet'!$A$114,'Données projet'!$B$114,BY90+BX91-CG90)))</f>
        <v>302.49999999999989</v>
      </c>
      <c r="BZ91" s="13">
        <f>BY91*VLOOKUP('Données projet'!$B$12,Paramètres!$A$1:$I$89,3,0)*VLOOKUP('Données projet'!$B$12,Paramètres!$A$1:$I$89,5,0)</f>
        <v>287.85899999999987</v>
      </c>
      <c r="CA91" s="13">
        <f t="shared" si="93"/>
        <v>68.625156372854391</v>
      </c>
      <c r="CB91" s="20">
        <f t="shared" si="64"/>
        <v>620.87657234938786</v>
      </c>
      <c r="CC91" s="59">
        <f t="shared" si="65"/>
        <v>894.55830471858155</v>
      </c>
      <c r="CD91" s="59">
        <f ca="1">AVERAGE(OFFSET($CC$3,0,0,'Données projet'!$E$12+1,1))-AVERAGE(OFFSET($H$3,0,0,'Données projet'!$E$12+1,1))</f>
        <v>486.36097333679697</v>
      </c>
      <c r="CE91" s="59">
        <f t="shared" si="94"/>
        <v>308.47736602748159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17.221868450541368</v>
      </c>
      <c r="CL91" s="21">
        <f>EXP(-LN(2)/25)*CL90+(1-EXP(-LN(2)/25))/(LN(2)/25)*Calculateur!CG91*Calculateur!CI91*VLOOKUP('Données projet'!$B$12,Paramètres!$A$1:$I$89,3,0)*0.475*44/12</f>
        <v>18.388915178607459</v>
      </c>
      <c r="CM91" s="21">
        <f>EXP(-LN(2)/2)*CM90+(1-EXP(-LN(2)/2))/(LN(2)/2)*CG91*CJ91*VLOOKUP('Données projet'!$B$12,Paramètres!$A$1:$I$89,3,0)*0.475*44/12</f>
        <v>2.0981879977570137</v>
      </c>
      <c r="CN91" s="22">
        <f t="shared" si="66"/>
        <v>37.708971626905843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274.02264371153143</v>
      </c>
      <c r="S92" s="59">
        <f ca="1">AVERAGE(OFFSET($R$3,0,0,'Données projet'!$E$9+1,1))-AVERAGE(OFFSET($H$3,0,0,'Données projet'!$E$9+1,1))</f>
        <v>407.05634973057056</v>
      </c>
      <c r="T92" s="59">
        <f t="shared" si="88"/>
        <v>375.32891954889965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11.667500000000004</v>
      </c>
      <c r="AI92" s="13">
        <f>IF('Données projet'!$A$62&gt;35,AI91+AH92-AQ91,IF(A92&lt;'Données projet'!$A$62,$AF$205^A92,IF(A92='Données projet'!$A$62,'Données projet'!$B$62,AI91+AH92-AQ91)))</f>
        <v>459.70250000000004</v>
      </c>
      <c r="AJ92" s="13">
        <f>AI92*VLOOKUP('Données projet'!$B$10,Paramètres!$A$1:$I$89,3,0)*VLOOKUP('Données projet'!$B$10,Paramètres!$A$1:$I$89,5,0)</f>
        <v>415.93882200000002</v>
      </c>
      <c r="AK92" s="13">
        <f t="shared" si="89"/>
        <v>95.000631788713704</v>
      </c>
      <c r="AL92" s="20">
        <f t="shared" si="58"/>
        <v>889.88621534867627</v>
      </c>
      <c r="AM92" s="59">
        <f t="shared" si="59"/>
        <v>1163.9088590601998</v>
      </c>
      <c r="AN92" s="59">
        <f ca="1">AVERAGE(OFFSET($AM$3,0,0,'Données projet'!$E$10+1,1))-AVERAGE(OFFSET($H$3,0,0,'Données projet'!$E$10+1,1))</f>
        <v>737.40414421611001</v>
      </c>
      <c r="AO92" s="59">
        <f t="shared" si="90"/>
        <v>245.32893490531674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28.70326902167994</v>
      </c>
      <c r="AV92" s="21">
        <f>EXP(-LN(2)/25)*AV91+(1-EXP(-LN(2)/25))/(LN(2)/25)*Calculateur!AQ92*Calculateur!AS92*VLOOKUP('Données projet'!$B$10,Paramètres!$A$1:$I$89,3,0)*0.475*44/12</f>
        <v>30.57673430413848</v>
      </c>
      <c r="AW92" s="21">
        <f>EXP(-LN(2)/2)*AW91+(1-EXP(-LN(2)/2))/(LN(2)/2)*AQ92*AT92*VLOOKUP('Données projet'!$B$10,Paramètres!$A$1:$I$89,3,0)*0.475*44/12</f>
        <v>0.47660951756296127</v>
      </c>
      <c r="AX92" s="21">
        <f t="shared" si="60"/>
        <v>59.756612843381383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11.905555555555553</v>
      </c>
      <c r="BD92" s="12">
        <f>IF('Données projet'!$A$88&gt;35,BD91+BC92-BL91,IF(A92&lt;'Données projet'!$A$88,$BA$205^A92,IF(A92='Données projet'!$A$88,'Données projet'!$B$88,BD91+BC92-BL91)))</f>
        <v>441.12444444444429</v>
      </c>
      <c r="BE92" s="13">
        <f>BD92*VLOOKUP('Données projet'!$B$11,Paramètres!$A$1:$I$89,3,0)*VLOOKUP('Données projet'!$B$11,Paramètres!$A$1:$I$89,5,0)</f>
        <v>371.60323199999993</v>
      </c>
      <c r="BF92" s="13">
        <f t="shared" si="91"/>
        <v>85.995216793877105</v>
      </c>
      <c r="BG92" s="20">
        <f t="shared" si="61"/>
        <v>796.98396498266914</v>
      </c>
      <c r="BH92" s="59">
        <f t="shared" si="62"/>
        <v>1071.0066086941927</v>
      </c>
      <c r="BI92" s="59">
        <f ca="1">AVERAGE(OFFSET($BH$3,0,0,'Données projet'!$E$11+1,1))-AVERAGE(OFFSET($H$3,0,0,'Données projet'!$E$11+1,1))</f>
        <v>456.35333554128226</v>
      </c>
      <c r="BJ92" s="59">
        <f t="shared" si="92"/>
        <v>296.4517290984877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37.484119279069233</v>
      </c>
      <c r="BQ92" s="21">
        <f>EXP(-LN(2)/25)*BQ91+(1-EXP(-LN(2)/25))/(LN(2)/25)*Calculateur!BL92*Calculateur!BN92*VLOOKUP('Données projet'!$B$11,Paramètres!$A$1:$I$89,3,0)*0.475*44/12</f>
        <v>23.37140165453263</v>
      </c>
      <c r="BR92" s="21">
        <f>EXP(-LN(2)/2)*BR91+(1-EXP(-LN(2)/2))/(LN(2)/2)*BL92*BO92*VLOOKUP('Données projet'!$B$11,Paramètres!$A$1:$I$89,3,0)*0.475*44/12</f>
        <v>1.571467332714243E-2</v>
      </c>
      <c r="BS92" s="22">
        <f t="shared" si="63"/>
        <v>60.871235606929005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9.2740000000000009</v>
      </c>
      <c r="BY92" s="12">
        <f>IF('Données projet'!$A$114&gt;35,BY91+BX92-CG91,IF(A92&lt;'Données projet'!$A$114,$BV$205^A92,IF(A92='Données projet'!$A$114,'Données projet'!$B$114,BY91+BX92-CG91)))</f>
        <v>311.77399999999989</v>
      </c>
      <c r="BZ92" s="13">
        <f>BY92*VLOOKUP('Données projet'!$B$12,Paramètres!$A$1:$I$89,3,0)*VLOOKUP('Données projet'!$B$12,Paramètres!$A$1:$I$89,5,0)</f>
        <v>296.68413839999988</v>
      </c>
      <c r="CA92" s="13">
        <f t="shared" si="93"/>
        <v>70.480882508102439</v>
      </c>
      <c r="CB92" s="20">
        <f t="shared" si="64"/>
        <v>639.47907808161142</v>
      </c>
      <c r="CC92" s="59">
        <f t="shared" si="65"/>
        <v>913.50172179313495</v>
      </c>
      <c r="CD92" s="59">
        <f ca="1">AVERAGE(OFFSET($CC$3,0,0,'Données projet'!$E$12+1,1))-AVERAGE(OFFSET($H$3,0,0,'Données projet'!$E$12+1,1))</f>
        <v>486.36097333679697</v>
      </c>
      <c r="CE92" s="59">
        <f t="shared" si="94"/>
        <v>308.47736602748159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16.884158114528795</v>
      </c>
      <c r="CL92" s="21">
        <f>EXP(-LN(2)/25)*CL91+(1-EXP(-LN(2)/25))/(LN(2)/25)*Calculateur!CG92*Calculateur!CI92*VLOOKUP('Données projet'!$B$12,Paramètres!$A$1:$I$89,3,0)*0.475*44/12</f>
        <v>17.886069326017417</v>
      </c>
      <c r="CM92" s="21">
        <f>EXP(-LN(2)/2)*CM91+(1-EXP(-LN(2)/2))/(LN(2)/2)*CG92*CJ92*VLOOKUP('Données projet'!$B$12,Paramètres!$A$1:$I$89,3,0)*0.475*44/12</f>
        <v>1.4836429614182089</v>
      </c>
      <c r="CN92" s="22">
        <f t="shared" si="66"/>
        <v>36.25387040196442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274.35764100423552</v>
      </c>
      <c r="S93" s="59">
        <f ca="1">AVERAGE(OFFSET($R$3,0,0,'Données projet'!$E$9+1,1))-AVERAGE(OFFSET($H$3,0,0,'Données projet'!$E$9+1,1))</f>
        <v>407.05634973057056</v>
      </c>
      <c r="T93" s="59">
        <f t="shared" si="88"/>
        <v>375.32891954889965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11.667500000000004</v>
      </c>
      <c r="AH93" s="12">
        <f t="array" ref="AH93">INDEX(AG:AG,MIN(IF(ISNUMBER(AG93:AG289),ROW(AG93:AG289),"")))</f>
        <v>11.667500000000004</v>
      </c>
      <c r="AI93" s="13">
        <f>IF('Données projet'!$A$62&gt;35,AI92+AH93-AQ92,IF(A93&lt;'Données projet'!$A$62,$AF$205^A93,IF(A93='Données projet'!$A$62,'Données projet'!$B$62,AI92+AH93-AQ92)))</f>
        <v>471.37000000000006</v>
      </c>
      <c r="AJ93" s="13">
        <f>AI93*VLOOKUP('Données projet'!$B$10,Paramètres!$A$1:$I$89,3,0)*VLOOKUP('Données projet'!$B$10,Paramètres!$A$1:$I$89,5,0)</f>
        <v>426.49557600000003</v>
      </c>
      <c r="AK93" s="13">
        <f t="shared" si="89"/>
        <v>97.128021924116638</v>
      </c>
      <c r="AL93" s="20">
        <f t="shared" si="58"/>
        <v>911.9777663845033</v>
      </c>
      <c r="AM93" s="59">
        <f t="shared" si="59"/>
        <v>1186.335407388731</v>
      </c>
      <c r="AN93" s="59">
        <f ca="1">AVERAGE(OFFSET($AM$3,0,0,'Données projet'!$E$10+1,1))-AVERAGE(OFFSET($H$3,0,0,'Données projet'!$E$10+1,1))</f>
        <v>737.40414421611001</v>
      </c>
      <c r="AO93" s="59">
        <f t="shared" si="90"/>
        <v>245.32893490531674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68.54000000000002</v>
      </c>
      <c r="AR93" s="16">
        <f>IF(ISNA(VLOOKUP(A93,'Données projet'!$A$61:$I$81,5,0)),0%,VLOOKUP(A93,'Données projet'!$A$61:$I$81,5,0)*VLOOKUP('Données projet'!$B$10,Paramètres!$A$1:$I$89,7,0))</f>
        <v>0.15049999999999999</v>
      </c>
      <c r="AS93" s="16">
        <f>IF(ISNA(VLOOKUP(A93,'Données projet'!$A$61:$I$81,6,0)),0%,VLOOKUP(A93,'Données projet'!$A$61:$I$81,6,0)*VLOOKUP('Données projet'!$B$10,Paramètres!$A$1:$I$89,7,0))</f>
        <v>8.6000000000000007E-2</v>
      </c>
      <c r="AT93" s="16">
        <f>IF(ISNA(VLOOKUP(A93,'Données projet'!$A$61:$I$81,7,0)),0%,VLOOKUP(A93,'Données projet'!$A$61:$I$81,7,0))</f>
        <v>0.1</v>
      </c>
      <c r="AU93" s="21">
        <f>EXP(-LN(2)/35)*AU92+(1-EXP(-LN(2)/35))/(LN(2)/35)*AQ93*AR93*VLOOKUP('Données projet'!$B$10,Paramètres!$A$1:$I$89,3,0)*0.475*44/12</f>
        <v>38.458053803247623</v>
      </c>
      <c r="AV93" s="21">
        <f>EXP(-LN(2)/25)*AV92+(1-EXP(-LN(2)/25))/(LN(2)/25)*Calculateur!AQ93*Calculateur!AS93*VLOOKUP('Données projet'!$B$10,Paramètres!$A$1:$I$89,3,0)*0.475*44/12</f>
        <v>35.61319127159561</v>
      </c>
      <c r="AW93" s="21">
        <f>EXP(-LN(2)/2)*AW92+(1-EXP(-LN(2)/2))/(LN(2)/2)*AQ93*AT93*VLOOKUP('Données projet'!$B$10,Paramètres!$A$1:$I$89,3,0)*0.475*44/12</f>
        <v>6.1882952279506034</v>
      </c>
      <c r="AX93" s="21">
        <f t="shared" si="60"/>
        <v>80.259540302793837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453.03</v>
      </c>
      <c r="BB93" s="12">
        <f>VLOOKUP(A93,'Données projet'!$A$87:$I$107,9,0)</f>
        <v>11.905555555555553</v>
      </c>
      <c r="BC93" s="12">
        <f t="array" ref="BC93">INDEX(BB:BB,MIN(IF(ISNUMBER(BB93:BB289),ROW(BB93:BB289),"")))</f>
        <v>11.905555555555553</v>
      </c>
      <c r="BD93" s="12">
        <f>IF('Données projet'!$A$88&gt;35,BD92+BC93-BL92,IF(A93&lt;'Données projet'!$A$88,$BA$205^A93,IF(A93='Données projet'!$A$88,'Données projet'!$B$88,BD92+BC93-BL92)))</f>
        <v>453.02999999999986</v>
      </c>
      <c r="BE93" s="13">
        <f>BD93*VLOOKUP('Données projet'!$B$11,Paramètres!$A$1:$I$89,3,0)*VLOOKUP('Données projet'!$B$11,Paramètres!$A$1:$I$89,5,0)</f>
        <v>381.63247199999995</v>
      </c>
      <c r="BF93" s="13">
        <f t="shared" si="91"/>
        <v>88.042804903030387</v>
      </c>
      <c r="BG93" s="20">
        <f t="shared" si="61"/>
        <v>818.01777393944451</v>
      </c>
      <c r="BH93" s="59">
        <f t="shared" si="62"/>
        <v>1092.3754149436722</v>
      </c>
      <c r="BI93" s="59">
        <f ca="1">AVERAGE(OFFSET($BH$3,0,0,'Données projet'!$E$11+1,1))-AVERAGE(OFFSET($H$3,0,0,'Données projet'!$E$11+1,1))</f>
        <v>456.35333554128226</v>
      </c>
      <c r="BJ93" s="59">
        <f t="shared" si="92"/>
        <v>296.4517290984877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88.75</v>
      </c>
      <c r="BM93" s="16">
        <f>IF(ISNA(VLOOKUP(A93,'Données projet'!$A$87:$I$107,5,0)),0%,VLOOKUP(A93,'Données projet'!$A$87:$I$107,5,0)*VLOOKUP('Données projet'!$B$11,Paramètres!$A$1:$I$89,7,0))</f>
        <v>0.215</v>
      </c>
      <c r="BN93" s="16">
        <f>IF(ISNA(VLOOKUP(A93,'Données projet'!$A$87:$I$107,6,0)),0%,VLOOKUP(A93,'Données projet'!$A$87:$I$107,6,0)*VLOOKUP('Données projet'!$B$11,Paramètres!$A$1:$I$89,7,0))</f>
        <v>8.6000000000000007E-2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54.518459189841622</v>
      </c>
      <c r="BQ93" s="21">
        <f>EXP(-LN(2)/25)*BQ92+(1-EXP(-LN(2)/25))/(LN(2)/25)*Calculateur!BL93*Calculateur!BN93*VLOOKUP('Données projet'!$B$11,Paramètres!$A$1:$I$89,3,0)*0.475*44/12</f>
        <v>29.812075769075744</v>
      </c>
      <c r="BR93" s="21">
        <f>EXP(-LN(2)/2)*BR92+(1-EXP(-LN(2)/2))/(LN(2)/2)*BL93*BO93*VLOOKUP('Données projet'!$B$11,Paramètres!$A$1:$I$89,3,0)*0.475*44/12</f>
        <v>1.1111952073753777E-2</v>
      </c>
      <c r="BS93" s="22">
        <f t="shared" si="63"/>
        <v>84.341646910991116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9.2740000000000009</v>
      </c>
      <c r="BY93" s="12">
        <f>IF('Données projet'!$A$114&gt;35,BY92+BX93-CG92,IF(A93&lt;'Données projet'!$A$114,$BV$205^A93,IF(A93='Données projet'!$A$114,'Données projet'!$B$114,BY92+BX93-CG92)))</f>
        <v>321.04799999999989</v>
      </c>
      <c r="BZ93" s="13">
        <f>BY93*VLOOKUP('Données projet'!$B$12,Paramètres!$A$1:$I$89,3,0)*VLOOKUP('Données projet'!$B$12,Paramètres!$A$1:$I$89,5,0)</f>
        <v>305.5092767999999</v>
      </c>
      <c r="CA93" s="13">
        <f t="shared" si="93"/>
        <v>72.330193444868527</v>
      </c>
      <c r="CB93" s="20">
        <f t="shared" si="64"/>
        <v>658.07041067647913</v>
      </c>
      <c r="CC93" s="59">
        <f t="shared" si="65"/>
        <v>932.42805168070686</v>
      </c>
      <c r="CD93" s="59">
        <f ca="1">AVERAGE(OFFSET($CC$3,0,0,'Données projet'!$E$12+1,1))-AVERAGE(OFFSET($H$3,0,0,'Données projet'!$E$12+1,1))</f>
        <v>486.36097333679697</v>
      </c>
      <c r="CE93" s="59">
        <f t="shared" si="94"/>
        <v>308.47736602748159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16.553070072222461</v>
      </c>
      <c r="CL93" s="21">
        <f>EXP(-LN(2)/25)*CL92+(1-EXP(-LN(2)/25))/(LN(2)/25)*Calculateur!CG93*Calculateur!CI93*VLOOKUP('Données projet'!$B$12,Paramètres!$A$1:$I$89,3,0)*0.475*44/12</f>
        <v>17.396973819709963</v>
      </c>
      <c r="CM93" s="21">
        <f>EXP(-LN(2)/2)*CM92+(1-EXP(-LN(2)/2))/(LN(2)/2)*CG93*CJ93*VLOOKUP('Données projet'!$B$12,Paramètres!$A$1:$I$89,3,0)*0.475*44/12</f>
        <v>1.0490939988785069</v>
      </c>
      <c r="CN93" s="22">
        <f t="shared" si="66"/>
        <v>34.999137890810928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274.68682684285289</v>
      </c>
      <c r="S94" s="59">
        <f ca="1">AVERAGE(OFFSET($R$3,0,0,'Données projet'!$E$9+1,1))-AVERAGE(OFFSET($H$3,0,0,'Données projet'!$E$9+1,1))</f>
        <v>407.05634973057056</v>
      </c>
      <c r="T94" s="59">
        <f t="shared" si="88"/>
        <v>375.32891954889965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11.283999999999997</v>
      </c>
      <c r="AI94" s="13">
        <f>IF('Données projet'!$A$62&gt;35,AI93+AH94-AQ93,IF(A94&lt;'Données projet'!$A$62,$AF$205^A94,IF(A94='Données projet'!$A$62,'Données projet'!$B$62,AI93+AH94-AQ93)))</f>
        <v>414.11400000000003</v>
      </c>
      <c r="AJ94" s="13">
        <f>AI94*VLOOKUP('Données projet'!$B$10,Paramètres!$A$1:$I$89,3,0)*VLOOKUP('Données projet'!$B$10,Paramètres!$A$1:$I$89,5,0)</f>
        <v>374.69034720000002</v>
      </c>
      <c r="AK94" s="13">
        <f t="shared" si="89"/>
        <v>86.626165379177522</v>
      </c>
      <c r="AL94" s="20">
        <f t="shared" si="58"/>
        <v>803.45959274206746</v>
      </c>
      <c r="AM94" s="59">
        <f t="shared" si="59"/>
        <v>1078.1464195849126</v>
      </c>
      <c r="AN94" s="59">
        <f ca="1">AVERAGE(OFFSET($AM$3,0,0,'Données projet'!$E$10+1,1))-AVERAGE(OFFSET($H$3,0,0,'Données projet'!$E$10+1,1))</f>
        <v>737.40414421611001</v>
      </c>
      <c r="AO94" s="59">
        <f t="shared" si="90"/>
        <v>245.32893490531674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37.703914825262558</v>
      </c>
      <c r="AV94" s="21">
        <f>EXP(-LN(2)/25)*AV93+(1-EXP(-LN(2)/25))/(LN(2)/25)*Calculateur!AQ94*Calculateur!AS94*VLOOKUP('Données projet'!$B$10,Paramètres!$A$1:$I$89,3,0)*0.475*44/12</f>
        <v>34.639346683457497</v>
      </c>
      <c r="AW94" s="21">
        <f>EXP(-LN(2)/2)*AW93+(1-EXP(-LN(2)/2))/(LN(2)/2)*AQ94*AT94*VLOOKUP('Données projet'!$B$10,Paramètres!$A$1:$I$89,3,0)*0.475*44/12</f>
        <v>4.3757855196682236</v>
      </c>
      <c r="AX94" s="21">
        <f t="shared" si="60"/>
        <v>76.719047028388275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11.216666666666672</v>
      </c>
      <c r="BD94" s="12">
        <f>IF('Données projet'!$A$88&gt;35,BD93+BC94-BL93,IF(A94&lt;'Données projet'!$A$88,$BA$205^A94,IF(A94='Données projet'!$A$88,'Données projet'!$B$88,BD93+BC94-BL93)))</f>
        <v>375.49666666666656</v>
      </c>
      <c r="BE94" s="13">
        <f>BD94*VLOOKUP('Données projet'!$B$11,Paramètres!$A$1:$I$89,3,0)*VLOOKUP('Données projet'!$B$11,Paramètres!$A$1:$I$89,5,0)</f>
        <v>316.31839199999996</v>
      </c>
      <c r="BF94" s="13">
        <f t="shared" si="91"/>
        <v>74.586808381726854</v>
      </c>
      <c r="BG94" s="20">
        <f t="shared" si="61"/>
        <v>680.82655733150739</v>
      </c>
      <c r="BH94" s="59">
        <f t="shared" si="62"/>
        <v>955.5133841743525</v>
      </c>
      <c r="BI94" s="59">
        <f ca="1">AVERAGE(OFFSET($BH$3,0,0,'Données projet'!$E$11+1,1))-AVERAGE(OFFSET($H$3,0,0,'Données projet'!$E$11+1,1))</f>
        <v>456.35333554128226</v>
      </c>
      <c r="BJ94" s="59">
        <f t="shared" si="92"/>
        <v>296.4517290984877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53.449385458105475</v>
      </c>
      <c r="BQ94" s="21">
        <f>EXP(-LN(2)/25)*BQ93+(1-EXP(-LN(2)/25))/(LN(2)/25)*Calculateur!BL94*Calculateur!BN94*VLOOKUP('Données projet'!$B$11,Paramètres!$A$1:$I$89,3,0)*0.475*44/12</f>
        <v>28.996862989421441</v>
      </c>
      <c r="BR94" s="21">
        <f>EXP(-LN(2)/2)*BR93+(1-EXP(-LN(2)/2))/(LN(2)/2)*BL94*BO94*VLOOKUP('Données projet'!$B$11,Paramètres!$A$1:$I$89,3,0)*0.475*44/12</f>
        <v>7.8573366635712148E-3</v>
      </c>
      <c r="BS94" s="22">
        <f t="shared" si="63"/>
        <v>82.454105784190489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9.2740000000000009</v>
      </c>
      <c r="BY94" s="12">
        <f>IF('Données projet'!$A$114&gt;35,BY93+BX94-CG93,IF(A94&lt;'Données projet'!$A$114,$BV$205^A94,IF(A94='Données projet'!$A$114,'Données projet'!$B$114,BY93+BX94-CG93)))</f>
        <v>330.32199999999989</v>
      </c>
      <c r="BZ94" s="13">
        <f>BY94*VLOOKUP('Données projet'!$B$12,Paramètres!$A$1:$I$89,3,0)*VLOOKUP('Données projet'!$B$12,Paramètres!$A$1:$I$89,5,0)</f>
        <v>314.33441519999985</v>
      </c>
      <c r="CA94" s="13">
        <f t="shared" si="93"/>
        <v>74.173295778029868</v>
      </c>
      <c r="CB94" s="20">
        <f t="shared" si="64"/>
        <v>676.65092995340171</v>
      </c>
      <c r="CC94" s="59">
        <f t="shared" si="65"/>
        <v>951.33775679624682</v>
      </c>
      <c r="CD94" s="59">
        <f ca="1">AVERAGE(OFFSET($CC$3,0,0,'Données projet'!$E$12+1,1))-AVERAGE(OFFSET($H$3,0,0,'Données projet'!$E$12+1,1))</f>
        <v>486.36097333679697</v>
      </c>
      <c r="CE94" s="59">
        <f t="shared" si="94"/>
        <v>308.47736602748159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16.228474464481987</v>
      </c>
      <c r="CL94" s="21">
        <f>EXP(-LN(2)/25)*CL93+(1-EXP(-LN(2)/25))/(LN(2)/25)*Calculateur!CG94*Calculateur!CI94*VLOOKUP('Données projet'!$B$12,Paramètres!$A$1:$I$89,3,0)*0.475*44/12</f>
        <v>16.921252655742901</v>
      </c>
      <c r="CM94" s="21">
        <f>EXP(-LN(2)/2)*CM93+(1-EXP(-LN(2)/2))/(LN(2)/2)*CG94*CJ94*VLOOKUP('Données projet'!$B$12,Paramètres!$A$1:$I$89,3,0)*0.475*44/12</f>
        <v>0.74182148070910447</v>
      </c>
      <c r="CN94" s="22">
        <f t="shared" si="66"/>
        <v>33.891548600933994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275.01030204311957</v>
      </c>
      <c r="S95" s="59">
        <f ca="1">AVERAGE(OFFSET($R$3,0,0,'Données projet'!$E$9+1,1))-AVERAGE(OFFSET($H$3,0,0,'Données projet'!$E$9+1,1))</f>
        <v>407.05634973057056</v>
      </c>
      <c r="T95" s="59">
        <f t="shared" si="88"/>
        <v>375.32891954889965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11.283999999999997</v>
      </c>
      <c r="AI95" s="13">
        <f>IF('Données projet'!$A$62&gt;35,AI94+AH95-AQ94,IF(A95&lt;'Données projet'!$A$62,$AF$205^A95,IF(A95='Données projet'!$A$62,'Données projet'!$B$62,AI94+AH95-AQ94)))</f>
        <v>425.39800000000002</v>
      </c>
      <c r="AJ95" s="13">
        <f>AI95*VLOOKUP('Données projet'!$B$10,Paramètres!$A$1:$I$89,3,0)*VLOOKUP('Données projet'!$B$10,Paramètres!$A$1:$I$89,5,0)</f>
        <v>384.90011040000002</v>
      </c>
      <c r="AK95" s="13">
        <f t="shared" si="89"/>
        <v>88.708572204563708</v>
      </c>
      <c r="AL95" s="20">
        <f t="shared" si="58"/>
        <v>824.86845553628189</v>
      </c>
      <c r="AM95" s="59">
        <f t="shared" si="59"/>
        <v>1099.8787575793936</v>
      </c>
      <c r="AN95" s="59">
        <f ca="1">AVERAGE(OFFSET($AM$3,0,0,'Données projet'!$E$10+1,1))-AVERAGE(OFFSET($H$3,0,0,'Données projet'!$E$10+1,1))</f>
        <v>737.40414421611001</v>
      </c>
      <c r="AO95" s="59">
        <f t="shared" si="90"/>
        <v>245.32893490531674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36.964564052656428</v>
      </c>
      <c r="AV95" s="21">
        <f>EXP(-LN(2)/25)*AV94+(1-EXP(-LN(2)/25))/(LN(2)/25)*Calculateur!AQ95*Calculateur!AS95*VLOOKUP('Données projet'!$B$10,Paramètres!$A$1:$I$89,3,0)*0.475*44/12</f>
        <v>33.692131926794282</v>
      </c>
      <c r="AW95" s="21">
        <f>EXP(-LN(2)/2)*AW94+(1-EXP(-LN(2)/2))/(LN(2)/2)*AQ95*AT95*VLOOKUP('Données projet'!$B$10,Paramètres!$A$1:$I$89,3,0)*0.475*44/12</f>
        <v>3.0941476139753021</v>
      </c>
      <c r="AX95" s="21">
        <f t="shared" si="60"/>
        <v>73.750843593426026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11.216666666666672</v>
      </c>
      <c r="BD95" s="12">
        <f>IF('Données projet'!$A$88&gt;35,BD94+BC95-BL94,IF(A95&lt;'Données projet'!$A$88,$BA$205^A95,IF(A95='Données projet'!$A$88,'Données projet'!$B$88,BD94+BC95-BL94)))</f>
        <v>386.71333333333325</v>
      </c>
      <c r="BE95" s="13">
        <f>BD95*VLOOKUP('Données projet'!$B$11,Paramètres!$A$1:$I$89,3,0)*VLOOKUP('Données projet'!$B$11,Paramètres!$A$1:$I$89,5,0)</f>
        <v>325.76731199999995</v>
      </c>
      <c r="BF95" s="13">
        <f t="shared" si="91"/>
        <v>76.552104731116984</v>
      </c>
      <c r="BG95" s="20">
        <f t="shared" si="61"/>
        <v>700.70631747336199</v>
      </c>
      <c r="BH95" s="59">
        <f t="shared" si="62"/>
        <v>975.71661951647366</v>
      </c>
      <c r="BI95" s="59">
        <f ca="1">AVERAGE(OFFSET($BH$3,0,0,'Données projet'!$E$11+1,1))-AVERAGE(OFFSET($H$3,0,0,'Données projet'!$E$11+1,1))</f>
        <v>456.35333554128226</v>
      </c>
      <c r="BJ95" s="59">
        <f t="shared" si="92"/>
        <v>296.4517290984877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52.401275610178082</v>
      </c>
      <c r="BQ95" s="21">
        <f>EXP(-LN(2)/25)*BQ94+(1-EXP(-LN(2)/25))/(LN(2)/25)*Calculateur!BL95*Calculateur!BN95*VLOOKUP('Données projet'!$B$11,Paramètres!$A$1:$I$89,3,0)*0.475*44/12</f>
        <v>28.203942246096961</v>
      </c>
      <c r="BR95" s="21">
        <f>EXP(-LN(2)/2)*BR94+(1-EXP(-LN(2)/2))/(LN(2)/2)*BL95*BO95*VLOOKUP('Données projet'!$B$11,Paramètres!$A$1:$I$89,3,0)*0.475*44/12</f>
        <v>5.5559760368768885E-3</v>
      </c>
      <c r="BS95" s="22">
        <f t="shared" si="63"/>
        <v>80.610773832311921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9.2740000000000009</v>
      </c>
      <c r="BY95" s="12">
        <f>IF('Données projet'!$A$114&gt;35,BY94+BX95-CG94,IF(A95&lt;'Données projet'!$A$114,$BV$205^A95,IF(A95='Données projet'!$A$114,'Données projet'!$B$114,BY94+BX95-CG94)))</f>
        <v>339.59599999999989</v>
      </c>
      <c r="BZ95" s="13">
        <f>BY95*VLOOKUP('Données projet'!$B$12,Paramètres!$A$1:$I$89,3,0)*VLOOKUP('Données projet'!$B$12,Paramètres!$A$1:$I$89,5,0)</f>
        <v>323.15955359999992</v>
      </c>
      <c r="CA95" s="13">
        <f t="shared" si="93"/>
        <v>76.010383841911221</v>
      </c>
      <c r="CB95" s="20">
        <f t="shared" si="64"/>
        <v>695.22097437799528</v>
      </c>
      <c r="CC95" s="59">
        <f t="shared" si="65"/>
        <v>970.23127642110694</v>
      </c>
      <c r="CD95" s="59">
        <f ca="1">AVERAGE(OFFSET($CC$3,0,0,'Données projet'!$E$12+1,1))-AVERAGE(OFFSET($H$3,0,0,'Données projet'!$E$12+1,1))</f>
        <v>486.36097333679697</v>
      </c>
      <c r="CE95" s="59">
        <f t="shared" si="94"/>
        <v>308.47736602748159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15.910243978625534</v>
      </c>
      <c r="CL95" s="21">
        <f>EXP(-LN(2)/25)*CL94+(1-EXP(-LN(2)/25))/(LN(2)/25)*Calculateur!CG95*Calculateur!CI95*VLOOKUP('Données projet'!$B$12,Paramètres!$A$1:$I$89,3,0)*0.475*44/12</f>
        <v>16.458540112021609</v>
      </c>
      <c r="CM95" s="21">
        <f>EXP(-LN(2)/2)*CM94+(1-EXP(-LN(2)/2))/(LN(2)/2)*CG95*CJ95*VLOOKUP('Données projet'!$B$12,Paramètres!$A$1:$I$89,3,0)*0.475*44/12</f>
        <v>0.52454699943925343</v>
      </c>
      <c r="CN95" s="22">
        <f t="shared" si="66"/>
        <v>32.893331090086392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275.32816567184381</v>
      </c>
      <c r="S96" s="59">
        <f ca="1">AVERAGE(OFFSET($R$3,0,0,'Données projet'!$E$9+1,1))-AVERAGE(OFFSET($H$3,0,0,'Données projet'!$E$9+1,1))</f>
        <v>407.05634973057056</v>
      </c>
      <c r="T96" s="59">
        <f t="shared" si="88"/>
        <v>375.32891954889965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11.283999999999997</v>
      </c>
      <c r="AI96" s="13">
        <f>IF('Données projet'!$A$62&gt;35,AI95+AH96-AQ95,IF(A96&lt;'Données projet'!$A$62,$AF$205^A96,IF(A96='Données projet'!$A$62,'Données projet'!$B$62,AI95+AH96-AQ95)))</f>
        <v>436.68200000000002</v>
      </c>
      <c r="AJ96" s="13">
        <f>AI96*VLOOKUP('Données projet'!$B$10,Paramètres!$A$1:$I$89,3,0)*VLOOKUP('Données projet'!$B$10,Paramètres!$A$1:$I$89,5,0)</f>
        <v>395.10987360000001</v>
      </c>
      <c r="AK96" s="13">
        <f t="shared" si="89"/>
        <v>90.784558517022006</v>
      </c>
      <c r="AL96" s="20">
        <f t="shared" si="58"/>
        <v>846.26613593714671</v>
      </c>
      <c r="AM96" s="59">
        <f t="shared" si="59"/>
        <v>1121.5943016089827</v>
      </c>
      <c r="AN96" s="59">
        <f ca="1">AVERAGE(OFFSET($AM$3,0,0,'Données projet'!$E$10+1,1))-AVERAGE(OFFSET($H$3,0,0,'Données projet'!$E$10+1,1))</f>
        <v>737.40414421611001</v>
      </c>
      <c r="AO96" s="59">
        <f t="shared" si="90"/>
        <v>245.32893490531674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36.239711497741659</v>
      </c>
      <c r="AV96" s="21">
        <f>EXP(-LN(2)/25)*AV95+(1-EXP(-LN(2)/25))/(LN(2)/25)*Calculateur!AQ96*Calculateur!AS96*VLOOKUP('Données projet'!$B$10,Paramètres!$A$1:$I$89,3,0)*0.475*44/12</f>
        <v>32.770818807463876</v>
      </c>
      <c r="AW96" s="21">
        <f>EXP(-LN(2)/2)*AW95+(1-EXP(-LN(2)/2))/(LN(2)/2)*AQ96*AT96*VLOOKUP('Données projet'!$B$10,Paramètres!$A$1:$I$89,3,0)*0.475*44/12</f>
        <v>2.1878927598341122</v>
      </c>
      <c r="AX96" s="21">
        <f t="shared" si="60"/>
        <v>71.198423065039648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11.216666666666672</v>
      </c>
      <c r="BD96" s="12">
        <f>IF('Données projet'!$A$88&gt;35,BD95+BC96-BL95,IF(A96&lt;'Données projet'!$A$88,$BA$205^A96,IF(A96='Données projet'!$A$88,'Données projet'!$B$88,BD95+BC96-BL95)))</f>
        <v>397.92999999999995</v>
      </c>
      <c r="BE96" s="13">
        <f>BD96*VLOOKUP('Données projet'!$B$11,Paramètres!$A$1:$I$89,3,0)*VLOOKUP('Données projet'!$B$11,Paramètres!$A$1:$I$89,5,0)</f>
        <v>335.21623199999999</v>
      </c>
      <c r="BF96" s="13">
        <f t="shared" si="91"/>
        <v>78.510776061655761</v>
      </c>
      <c r="BG96" s="20">
        <f t="shared" si="61"/>
        <v>720.57453904071701</v>
      </c>
      <c r="BH96" s="59">
        <f t="shared" si="62"/>
        <v>995.90270471255303</v>
      </c>
      <c r="BI96" s="59">
        <f ca="1">AVERAGE(OFFSET($BH$3,0,0,'Données projet'!$E$11+1,1))-AVERAGE(OFFSET($H$3,0,0,'Données projet'!$E$11+1,1))</f>
        <v>456.35333554128226</v>
      </c>
      <c r="BJ96" s="59">
        <f t="shared" si="92"/>
        <v>296.4517290984877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51.373718557084665</v>
      </c>
      <c r="BQ96" s="21">
        <f>EXP(-LN(2)/25)*BQ95+(1-EXP(-LN(2)/25))/(LN(2)/25)*Calculateur!BL96*Calculateur!BN96*VLOOKUP('Données projet'!$B$11,Paramètres!$A$1:$I$89,3,0)*0.475*44/12</f>
        <v>27.432703962196577</v>
      </c>
      <c r="BR96" s="21">
        <f>EXP(-LN(2)/2)*BR95+(1-EXP(-LN(2)/2))/(LN(2)/2)*BL96*BO96*VLOOKUP('Données projet'!$B$11,Paramètres!$A$1:$I$89,3,0)*0.475*44/12</f>
        <v>3.9286683317856074E-3</v>
      </c>
      <c r="BS96" s="22">
        <f t="shared" si="63"/>
        <v>78.810351187613023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348.87</v>
      </c>
      <c r="BW96" s="12">
        <f>VLOOKUP(A96,'Données projet'!$A$113:$I$133,9,0)</f>
        <v>9.2740000000000009</v>
      </c>
      <c r="BX96" s="12">
        <f t="array" ref="BX96">INDEX(BW:BW,MIN(IF(ISNUMBER(BW96:BW292),ROW(BW96:BW292),"")))</f>
        <v>9.2740000000000009</v>
      </c>
      <c r="BY96" s="12">
        <f>IF('Données projet'!$A$114&gt;35,BY95+BX96-CG95,IF(A96&lt;'Données projet'!$A$114,$BV$205^A96,IF(A96='Données projet'!$A$114,'Données projet'!$B$114,BY95+BX96-CG95)))</f>
        <v>348.86999999999989</v>
      </c>
      <c r="BZ96" s="13">
        <f>BY96*VLOOKUP('Données projet'!$B$12,Paramètres!$A$1:$I$89,3,0)*VLOOKUP('Données projet'!$B$12,Paramètres!$A$1:$I$89,5,0)</f>
        <v>331.98469199999994</v>
      </c>
      <c r="CA96" s="13">
        <f t="shared" si="93"/>
        <v>77.841640752593847</v>
      </c>
      <c r="CB96" s="20">
        <f t="shared" si="64"/>
        <v>713.78086287743406</v>
      </c>
      <c r="CC96" s="59">
        <f t="shared" si="65"/>
        <v>989.10902854927008</v>
      </c>
      <c r="CD96" s="59">
        <f ca="1">AVERAGE(OFFSET($CC$3,0,0,'Données projet'!$E$12+1,1))-AVERAGE(OFFSET($H$3,0,0,'Données projet'!$E$12+1,1))</f>
        <v>486.36097333679697</v>
      </c>
      <c r="CE96" s="59">
        <f t="shared" si="94"/>
        <v>308.47736602748159</v>
      </c>
      <c r="CF96" s="15">
        <f>IF(ISNA(VLOOKUP(A96,'Données projet'!$A$113:$I$133,3,0)),0,VLOOKUP(A96,'Données projet'!$A$113:$I$133,3,0))</f>
        <v>8</v>
      </c>
      <c r="CG96" s="15">
        <f>IF(ISNA(VLOOKUP(A96,'Données projet'!$A$113:$I$133,4,0)),0,VLOOKUP(A96,'Données projet'!$A$113:$I$133,4,0))</f>
        <v>67.45999999999998</v>
      </c>
      <c r="CH96" s="16">
        <f>IF(ISNA(VLOOKUP(A96,'Données projet'!$A$113:$I$133,5,0)),0%,VLOOKUP(A96,'Données projet'!$A$113:$I$133,5,0)*VLOOKUP('Données projet'!$B$12,Paramètres!$A$1:$I$89,7,0))</f>
        <v>0.1075</v>
      </c>
      <c r="CI96" s="16">
        <f>IF(ISNA(VLOOKUP(A96,'Données projet'!$A$113:$I$133,6,0)),0%,VLOOKUP(A96,'Données projet'!$A$113:$I$133,6,0)*VLOOKUP('Données projet'!$B$12,Paramètres!$A$1:$I$89,7,0))</f>
        <v>0.1075</v>
      </c>
      <c r="CJ96" s="16">
        <f>IF(ISNA(VLOOKUP(A96,'Données projet'!$A$113:$I$133,7,0)),0%,VLOOKUP(A96,'Données projet'!$A$113:$I$133,7,0))</f>
        <v>0.25</v>
      </c>
      <c r="CK96" s="21">
        <f>EXP(-LN(2)/35)*CK95+(1-EXP(-LN(2)/35))/(LN(2)/35)*CG96*CH96*VLOOKUP('Données projet'!$B$12,Paramètres!$A$1:$I$89,3,0)*0.475*44/12</f>
        <v>23.227055826876736</v>
      </c>
      <c r="CL96" s="21">
        <f>EXP(-LN(2)/25)*CL95+(1-EXP(-LN(2)/25))/(LN(2)/25)*Calculateur!CG96*Calculateur!CI96*VLOOKUP('Données projet'!$B$12,Paramètres!$A$1:$I$89,3,0)*0.475*44/12</f>
        <v>23.607244995135616</v>
      </c>
      <c r="CM96" s="21">
        <f>EXP(-LN(2)/2)*CM95+(1-EXP(-LN(2)/2))/(LN(2)/2)*CG96*CJ96*VLOOKUP('Données projet'!$B$12,Paramètres!$A$1:$I$89,3,0)*0.475*44/12</f>
        <v>15.51332321469714</v>
      </c>
      <c r="CN96" s="22">
        <f t="shared" si="66"/>
        <v>62.34762403670949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275.64051507724633</v>
      </c>
      <c r="S97" s="59">
        <f ca="1">AVERAGE(OFFSET($R$3,0,0,'Données projet'!$E$9+1,1))-AVERAGE(OFFSET($H$3,0,0,'Données projet'!$E$9+1,1))</f>
        <v>407.05634973057056</v>
      </c>
      <c r="T97" s="59">
        <f t="shared" si="88"/>
        <v>375.32891954889965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11.283999999999997</v>
      </c>
      <c r="AI97" s="13">
        <f>IF('Données projet'!$A$62&gt;35,AI96+AH97-AQ96,IF(A97&lt;'Données projet'!$A$62,$AF$205^A97,IF(A97='Données projet'!$A$62,'Données projet'!$B$62,AI96+AH97-AQ96)))</f>
        <v>447.96600000000001</v>
      </c>
      <c r="AJ97" s="13">
        <f>AI97*VLOOKUP('Données projet'!$B$10,Paramètres!$A$1:$I$89,3,0)*VLOOKUP('Données projet'!$B$10,Paramètres!$A$1:$I$89,5,0)</f>
        <v>405.31963679999996</v>
      </c>
      <c r="AK97" s="13">
        <f t="shared" si="89"/>
        <v>92.854309299710778</v>
      </c>
      <c r="AL97" s="20">
        <f t="shared" si="58"/>
        <v>867.65295612366288</v>
      </c>
      <c r="AM97" s="59">
        <f t="shared" si="59"/>
        <v>1143.2934712009014</v>
      </c>
      <c r="AN97" s="59">
        <f ca="1">AVERAGE(OFFSET($AM$3,0,0,'Données projet'!$E$10+1,1))-AVERAGE(OFFSET($H$3,0,0,'Données projet'!$E$10+1,1))</f>
        <v>737.40414421611001</v>
      </c>
      <c r="AO97" s="59">
        <f t="shared" si="90"/>
        <v>245.32893490531674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35.529072859312365</v>
      </c>
      <c r="AV97" s="21">
        <f>EXP(-LN(2)/25)*AV96+(1-EXP(-LN(2)/25))/(LN(2)/25)*Calculateur!AQ97*Calculateur!AS97*VLOOKUP('Données projet'!$B$10,Paramètres!$A$1:$I$89,3,0)*0.475*44/12</f>
        <v>31.874699043831313</v>
      </c>
      <c r="AW97" s="21">
        <f>EXP(-LN(2)/2)*AW96+(1-EXP(-LN(2)/2))/(LN(2)/2)*AQ97*AT97*VLOOKUP('Données projet'!$B$10,Paramètres!$A$1:$I$89,3,0)*0.475*44/12</f>
        <v>1.5470738069876513</v>
      </c>
      <c r="AX97" s="21">
        <f t="shared" si="60"/>
        <v>68.950845710131333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11.216666666666672</v>
      </c>
      <c r="BD97" s="12">
        <f>IF('Données projet'!$A$88&gt;35,BD96+BC97-BL96,IF(A97&lt;'Données projet'!$A$88,$BA$205^A97,IF(A97='Données projet'!$A$88,'Données projet'!$B$88,BD96+BC97-BL96)))</f>
        <v>409.14666666666665</v>
      </c>
      <c r="BE97" s="13">
        <f>BD97*VLOOKUP('Données projet'!$B$11,Paramètres!$A$1:$I$89,3,0)*VLOOKUP('Données projet'!$B$11,Paramètres!$A$1:$I$89,5,0)</f>
        <v>344.66515200000003</v>
      </c>
      <c r="BF97" s="13">
        <f t="shared" si="91"/>
        <v>80.46303056740787</v>
      </c>
      <c r="BG97" s="20">
        <f t="shared" si="61"/>
        <v>740.43158463823545</v>
      </c>
      <c r="BH97" s="59">
        <f t="shared" si="62"/>
        <v>1016.072099715474</v>
      </c>
      <c r="BI97" s="59">
        <f ca="1">AVERAGE(OFFSET($BH$3,0,0,'Données projet'!$E$11+1,1))-AVERAGE(OFFSET($H$3,0,0,'Données projet'!$E$11+1,1))</f>
        <v>456.35333554128226</v>
      </c>
      <c r="BJ97" s="59">
        <f t="shared" si="92"/>
        <v>296.4517290984877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50.366311271054492</v>
      </c>
      <c r="BQ97" s="21">
        <f>EXP(-LN(2)/25)*BQ96+(1-EXP(-LN(2)/25))/(LN(2)/25)*Calculateur!BL97*Calculateur!BN97*VLOOKUP('Données projet'!$B$11,Paramètres!$A$1:$I$89,3,0)*0.475*44/12</f>
        <v>26.682555229727107</v>
      </c>
      <c r="BR97" s="21">
        <f>EXP(-LN(2)/2)*BR96+(1-EXP(-LN(2)/2))/(LN(2)/2)*BL97*BO97*VLOOKUP('Données projet'!$B$11,Paramètres!$A$1:$I$89,3,0)*0.475*44/12</f>
        <v>2.7779880184384442E-3</v>
      </c>
      <c r="BS97" s="22">
        <f t="shared" si="63"/>
        <v>77.051644488800036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8.9989999999999952</v>
      </c>
      <c r="BY97" s="12">
        <f>IF('Données projet'!$A$114&gt;35,BY96+BX97-CG96,IF(A97&lt;'Données projet'!$A$114,$BV$205^A97,IF(A97='Données projet'!$A$114,'Données projet'!$B$114,BY96+BX97-CG96)))</f>
        <v>290.40899999999993</v>
      </c>
      <c r="BZ97" s="13">
        <f>BY97*VLOOKUP('Données projet'!$B$12,Paramètres!$A$1:$I$89,3,0)*VLOOKUP('Données projet'!$B$12,Paramètres!$A$1:$I$89,5,0)</f>
        <v>276.35320439999992</v>
      </c>
      <c r="CA97" s="13">
        <f t="shared" si="93"/>
        <v>66.195749107226092</v>
      </c>
      <c r="CB97" s="20">
        <f t="shared" si="64"/>
        <v>596.60609402508533</v>
      </c>
      <c r="CC97" s="59">
        <f t="shared" si="65"/>
        <v>872.24660910232387</v>
      </c>
      <c r="CD97" s="59">
        <f ca="1">AVERAGE(OFFSET($CC$3,0,0,'Données projet'!$E$12+1,1))-AVERAGE(OFFSET($H$3,0,0,'Données projet'!$E$12+1,1))</f>
        <v>486.36097333679697</v>
      </c>
      <c r="CE97" s="59">
        <f t="shared" si="94"/>
        <v>308.47736602748159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22.771587429216851</v>
      </c>
      <c r="CL97" s="21">
        <f>EXP(-LN(2)/25)*CL96+(1-EXP(-LN(2)/25))/(LN(2)/25)*Calculateur!CG97*Calculateur!CI97*VLOOKUP('Données projet'!$B$12,Paramètres!$A$1:$I$89,3,0)*0.475*44/12</f>
        <v>22.961703639292573</v>
      </c>
      <c r="CM97" s="21">
        <f>EXP(-LN(2)/2)*CM96+(1-EXP(-LN(2)/2))/(LN(2)/2)*CG97*CJ97*VLOOKUP('Données projet'!$B$12,Paramètres!$A$1:$I$89,3,0)*0.475*44/12</f>
        <v>10.969576043851038</v>
      </c>
      <c r="CN97" s="22">
        <f t="shared" si="66"/>
        <v>56.702867112360465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275.94744591877378</v>
      </c>
      <c r="S98" s="59">
        <f ca="1">AVERAGE(OFFSET($R$3,0,0,'Données projet'!$E$9+1,1))-AVERAGE(OFFSET($H$3,0,0,'Données projet'!$E$9+1,1))</f>
        <v>407.05634973057056</v>
      </c>
      <c r="T98" s="59">
        <f t="shared" si="88"/>
        <v>375.32891954889965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11.283999999999997</v>
      </c>
      <c r="AI98" s="13">
        <f>IF('Données projet'!$A$62&gt;35,AI97+AH98-AQ97,IF(A98&lt;'Données projet'!$A$62,$AF$205^A98,IF(A98='Données projet'!$A$62,'Données projet'!$B$62,AI97+AH98-AQ97)))</f>
        <v>459.25</v>
      </c>
      <c r="AJ98" s="13">
        <f>AI98*VLOOKUP('Données projet'!$B$10,Paramètres!$A$1:$I$89,3,0)*VLOOKUP('Données projet'!$B$10,Paramètres!$A$1:$I$89,5,0)</f>
        <v>415.52940000000001</v>
      </c>
      <c r="AK98" s="13">
        <f t="shared" si="89"/>
        <v>94.917999685477398</v>
      </c>
      <c r="AL98" s="20">
        <f t="shared" si="58"/>
        <v>889.02922111887312</v>
      </c>
      <c r="AM98" s="59">
        <f t="shared" si="59"/>
        <v>1164.9766670376391</v>
      </c>
      <c r="AN98" s="59">
        <f ca="1">AVERAGE(OFFSET($AM$3,0,0,'Données projet'!$E$10+1,1))-AVERAGE(OFFSET($H$3,0,0,'Données projet'!$E$10+1,1))</f>
        <v>737.40414421611001</v>
      </c>
      <c r="AO98" s="59">
        <f t="shared" si="90"/>
        <v>245.32893490531674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34.8323694111359</v>
      </c>
      <c r="AV98" s="21">
        <f>EXP(-LN(2)/25)*AV97+(1-EXP(-LN(2)/25))/(LN(2)/25)*Calculateur!AQ98*Calculateur!AS98*VLOOKUP('Données projet'!$B$10,Paramètres!$A$1:$I$89,3,0)*0.475*44/12</f>
        <v>31.003083722260175</v>
      </c>
      <c r="AW98" s="21">
        <f>EXP(-LN(2)/2)*AW97+(1-EXP(-LN(2)/2))/(LN(2)/2)*AQ98*AT98*VLOOKUP('Données projet'!$B$10,Paramètres!$A$1:$I$89,3,0)*0.475*44/12</f>
        <v>1.0939463799170563</v>
      </c>
      <c r="AX98" s="21">
        <f t="shared" si="60"/>
        <v>66.929399513313129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11.216666666666672</v>
      </c>
      <c r="BD98" s="12">
        <f>IF('Données projet'!$A$88&gt;35,BD97+BC98-BL97,IF(A98&lt;'Données projet'!$A$88,$BA$205^A98,IF(A98='Données projet'!$A$88,'Données projet'!$B$88,BD97+BC98-BL97)))</f>
        <v>420.36333333333334</v>
      </c>
      <c r="BE98" s="13">
        <f>BD98*VLOOKUP('Données projet'!$B$11,Paramètres!$A$1:$I$89,3,0)*VLOOKUP('Données projet'!$B$11,Paramètres!$A$1:$I$89,5,0)</f>
        <v>354.11407200000002</v>
      </c>
      <c r="BF98" s="13">
        <f t="shared" si="91"/>
        <v>82.409064377569791</v>
      </c>
      <c r="BG98" s="20">
        <f t="shared" si="61"/>
        <v>760.27779585760072</v>
      </c>
      <c r="BH98" s="59">
        <f t="shared" si="62"/>
        <v>1036.2252417763666</v>
      </c>
      <c r="BI98" s="59">
        <f ca="1">AVERAGE(OFFSET($BH$3,0,0,'Données projet'!$E$11+1,1))-AVERAGE(OFFSET($H$3,0,0,'Données projet'!$E$11+1,1))</f>
        <v>456.35333554128226</v>
      </c>
      <c r="BJ98" s="59">
        <f t="shared" si="92"/>
        <v>296.4517290984877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49.378658627445603</v>
      </c>
      <c r="BQ98" s="21">
        <f>EXP(-LN(2)/25)*BQ97+(1-EXP(-LN(2)/25))/(LN(2)/25)*Calculateur!BL98*Calculateur!BN98*VLOOKUP('Données projet'!$B$11,Paramètres!$A$1:$I$89,3,0)*0.475*44/12</f>
        <v>25.952919353795625</v>
      </c>
      <c r="BR98" s="21">
        <f>EXP(-LN(2)/2)*BR97+(1-EXP(-LN(2)/2))/(LN(2)/2)*BL98*BO98*VLOOKUP('Données projet'!$B$11,Paramètres!$A$1:$I$89,3,0)*0.475*44/12</f>
        <v>1.9643341658928037E-3</v>
      </c>
      <c r="BS98" s="22">
        <f t="shared" si="63"/>
        <v>75.333542315407115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8.9989999999999952</v>
      </c>
      <c r="BY98" s="12">
        <f>IF('Données projet'!$A$114&gt;35,BY97+BX98-CG97,IF(A98&lt;'Données projet'!$A$114,$BV$205^A98,IF(A98='Données projet'!$A$114,'Données projet'!$B$114,BY97+BX98-CG97)))</f>
        <v>299.4079999999999</v>
      </c>
      <c r="BZ98" s="13">
        <f>BY98*VLOOKUP('Données projet'!$B$12,Paramètres!$A$1:$I$89,3,0)*VLOOKUP('Données projet'!$B$12,Paramètres!$A$1:$I$89,5,0)</f>
        <v>284.91665279999989</v>
      </c>
      <c r="CA98" s="13">
        <f t="shared" si="93"/>
        <v>68.004983981001502</v>
      </c>
      <c r="CB98" s="20">
        <f t="shared" si="64"/>
        <v>614.67185072691063</v>
      </c>
      <c r="CC98" s="59">
        <f t="shared" si="65"/>
        <v>890.61929664567651</v>
      </c>
      <c r="CD98" s="59">
        <f ca="1">AVERAGE(OFFSET($CC$3,0,0,'Données projet'!$E$12+1,1))-AVERAGE(OFFSET($H$3,0,0,'Données projet'!$E$12+1,1))</f>
        <v>486.36097333679697</v>
      </c>
      <c r="CE98" s="59">
        <f t="shared" si="94"/>
        <v>308.47736602748159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22.325050489026786</v>
      </c>
      <c r="CL98" s="21">
        <f>EXP(-LN(2)/25)*CL97+(1-EXP(-LN(2)/25))/(LN(2)/25)*Calculateur!CG98*Calculateur!CI98*VLOOKUP('Données projet'!$B$12,Paramètres!$A$1:$I$89,3,0)*0.475*44/12</f>
        <v>22.333814645772602</v>
      </c>
      <c r="CM98" s="21">
        <f>EXP(-LN(2)/2)*CM97+(1-EXP(-LN(2)/2))/(LN(2)/2)*CG98*CJ98*VLOOKUP('Données projet'!$B$12,Paramètres!$A$1:$I$89,3,0)*0.475*44/12</f>
        <v>7.7566616073485708</v>
      </c>
      <c r="CN98" s="22">
        <f t="shared" si="66"/>
        <v>52.415526742147954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276.24905219639527</v>
      </c>
      <c r="S99" s="59">
        <f ca="1">AVERAGE(OFFSET($R$3,0,0,'Données projet'!$E$9+1,1))-AVERAGE(OFFSET($H$3,0,0,'Données projet'!$E$9+1,1))</f>
        <v>407.05634973057056</v>
      </c>
      <c r="T99" s="59">
        <f t="shared" si="88"/>
        <v>375.32891954889965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11.283999999999997</v>
      </c>
      <c r="AI99" s="13">
        <f>IF('Données projet'!$A$62&gt;35,AI98+AH99-AQ98,IF(A99&lt;'Données projet'!$A$62,$AF$205^A99,IF(A99='Données projet'!$A$62,'Données projet'!$B$62,AI98+AH99-AQ98)))</f>
        <v>470.53399999999999</v>
      </c>
      <c r="AJ99" s="13">
        <f>AI99*VLOOKUP('Données projet'!$B$10,Paramètres!$A$1:$I$89,3,0)*VLOOKUP('Données projet'!$B$10,Paramètres!$A$1:$I$89,5,0)</f>
        <v>425.73916320000001</v>
      </c>
      <c r="AK99" s="13">
        <f t="shared" si="89"/>
        <v>96.975795710339128</v>
      </c>
      <c r="AL99" s="20">
        <f t="shared" si="58"/>
        <v>910.39522010217399</v>
      </c>
      <c r="AM99" s="59">
        <f t="shared" si="59"/>
        <v>1186.6442722985614</v>
      </c>
      <c r="AN99" s="59">
        <f ca="1">AVERAGE(OFFSET($AM$3,0,0,'Données projet'!$E$10+1,1))-AVERAGE(OFFSET($H$3,0,0,'Données projet'!$E$10+1,1))</f>
        <v>737.40414421611001</v>
      </c>
      <c r="AO99" s="59">
        <f t="shared" si="90"/>
        <v>245.32893490531674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34.149327892631035</v>
      </c>
      <c r="AV99" s="21">
        <f>EXP(-LN(2)/25)*AV98+(1-EXP(-LN(2)/25))/(LN(2)/25)*Calculateur!AQ99*Calculateur!AS99*VLOOKUP('Données projet'!$B$10,Paramètres!$A$1:$I$89,3,0)*0.475*44/12</f>
        <v>30.155302767493655</v>
      </c>
      <c r="AW99" s="21">
        <f>EXP(-LN(2)/2)*AW98+(1-EXP(-LN(2)/2))/(LN(2)/2)*AQ99*AT99*VLOOKUP('Données projet'!$B$10,Paramètres!$A$1:$I$89,3,0)*0.475*44/12</f>
        <v>0.77353690349382576</v>
      </c>
      <c r="AX99" s="21">
        <f t="shared" si="60"/>
        <v>65.078167563618507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11.216666666666672</v>
      </c>
      <c r="BD99" s="12">
        <f>IF('Données projet'!$A$88&gt;35,BD98+BC99-BL98,IF(A99&lt;'Données projet'!$A$88,$BA$205^A99,IF(A99='Données projet'!$A$88,'Données projet'!$B$88,BD98+BC99-BL98)))</f>
        <v>431.58000000000004</v>
      </c>
      <c r="BE99" s="13">
        <f>BD99*VLOOKUP('Données projet'!$B$11,Paramètres!$A$1:$I$89,3,0)*VLOOKUP('Données projet'!$B$11,Paramètres!$A$1:$I$89,5,0)</f>
        <v>363.56299200000007</v>
      </c>
      <c r="BF99" s="13">
        <f t="shared" si="91"/>
        <v>84.349062558657408</v>
      </c>
      <c r="BG99" s="20">
        <f t="shared" si="61"/>
        <v>780.11349502299515</v>
      </c>
      <c r="BH99" s="59">
        <f t="shared" si="62"/>
        <v>1056.3625472193826</v>
      </c>
      <c r="BI99" s="59">
        <f ca="1">AVERAGE(OFFSET($BH$3,0,0,'Données projet'!$E$11+1,1))-AVERAGE(OFFSET($H$3,0,0,'Données projet'!$E$11+1,1))</f>
        <v>456.35333554128226</v>
      </c>
      <c r="BJ99" s="59">
        <f t="shared" si="92"/>
        <v>296.4517290984877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48.41037324976925</v>
      </c>
      <c r="BQ99" s="21">
        <f>EXP(-LN(2)/25)*BQ98+(1-EXP(-LN(2)/25))/(LN(2)/25)*Calculateur!BL99*Calculateur!BN99*VLOOKUP('Données projet'!$B$11,Paramètres!$A$1:$I$89,3,0)*0.475*44/12</f>
        <v>25.24323540926137</v>
      </c>
      <c r="BR99" s="21">
        <f>EXP(-LN(2)/2)*BR98+(1-EXP(-LN(2)/2))/(LN(2)/2)*BL99*BO99*VLOOKUP('Données projet'!$B$11,Paramètres!$A$1:$I$89,3,0)*0.475*44/12</f>
        <v>1.3889940092192221E-3</v>
      </c>
      <c r="BS99" s="22">
        <f t="shared" si="63"/>
        <v>73.654997653039842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8.9989999999999952</v>
      </c>
      <c r="BY99" s="12">
        <f>IF('Données projet'!$A$114&gt;35,BY98+BX99-CG98,IF(A99&lt;'Données projet'!$A$114,$BV$205^A99,IF(A99='Données projet'!$A$114,'Données projet'!$B$114,BY98+BX99-CG98)))</f>
        <v>308.40699999999993</v>
      </c>
      <c r="BZ99" s="13">
        <f>BY99*VLOOKUP('Données projet'!$B$12,Paramètres!$A$1:$I$89,3,0)*VLOOKUP('Données projet'!$B$12,Paramètres!$A$1:$I$89,5,0)</f>
        <v>293.48010119999992</v>
      </c>
      <c r="CA99" s="13">
        <f t="shared" si="93"/>
        <v>69.807899272049525</v>
      </c>
      <c r="CB99" s="20">
        <f t="shared" si="64"/>
        <v>632.72660082215282</v>
      </c>
      <c r="CC99" s="59">
        <f t="shared" si="65"/>
        <v>908.97565301854024</v>
      </c>
      <c r="CD99" s="59">
        <f ca="1">AVERAGE(OFFSET($CC$3,0,0,'Données projet'!$E$12+1,1))-AVERAGE(OFFSET($H$3,0,0,'Données projet'!$E$12+1,1))</f>
        <v>486.36097333679697</v>
      </c>
      <c r="CE99" s="59">
        <f t="shared" si="94"/>
        <v>308.47736602748159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21.887269865873208</v>
      </c>
      <c r="CL99" s="21">
        <f>EXP(-LN(2)/25)*CL98+(1-EXP(-LN(2)/25))/(LN(2)/25)*Calculateur!CG99*Calculateur!CI99*VLOOKUP('Données projet'!$B$12,Paramètres!$A$1:$I$89,3,0)*0.475*44/12</f>
        <v>21.723095309799682</v>
      </c>
      <c r="CM99" s="21">
        <f>EXP(-LN(2)/2)*CM98+(1-EXP(-LN(2)/2))/(LN(2)/2)*CG99*CJ99*VLOOKUP('Données projet'!$B$12,Paramètres!$A$1:$I$89,3,0)*0.475*44/12</f>
        <v>5.4847880219255201</v>
      </c>
      <c r="CN99" s="22">
        <f t="shared" si="66"/>
        <v>49.095153197598407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276.54542627939065</v>
      </c>
      <c r="S100" s="59">
        <f ca="1">AVERAGE(OFFSET($R$3,0,0,'Données projet'!$E$9+1,1))-AVERAGE(OFFSET($H$3,0,0,'Données projet'!$E$9+1,1))</f>
        <v>407.05634973057056</v>
      </c>
      <c r="T100" s="59">
        <f t="shared" si="88"/>
        <v>375.32891954889965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11.283999999999997</v>
      </c>
      <c r="AI100" s="13">
        <f>IF('Données projet'!$A$62&gt;35,AI99+AH100-AQ99,IF(A100&lt;'Données projet'!$A$62,$AF$205^A100,IF(A100='Données projet'!$A$62,'Données projet'!$B$62,AI99+AH100-AQ99)))</f>
        <v>481.81799999999998</v>
      </c>
      <c r="AJ100" s="13">
        <f>AI100*VLOOKUP('Données projet'!$B$10,Paramètres!$A$1:$I$89,3,0)*VLOOKUP('Données projet'!$B$10,Paramètres!$A$1:$I$89,5,0)</f>
        <v>435.9489264</v>
      </c>
      <c r="AK100" s="13">
        <f t="shared" si="89"/>
        <v>99.0278549926512</v>
      </c>
      <c r="AL100" s="20">
        <f t="shared" si="58"/>
        <v>931.75122759220085</v>
      </c>
      <c r="AM100" s="59">
        <f t="shared" si="59"/>
        <v>1208.2966538715837</v>
      </c>
      <c r="AN100" s="59">
        <f ca="1">AVERAGE(OFFSET($AM$3,0,0,'Données projet'!$E$10+1,1))-AVERAGE(OFFSET($H$3,0,0,'Données projet'!$E$10+1,1))</f>
        <v>737.40414421611001</v>
      </c>
      <c r="AO100" s="59">
        <f t="shared" si="90"/>
        <v>245.32893490531674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33.479680401689862</v>
      </c>
      <c r="AV100" s="21">
        <f>EXP(-LN(2)/25)*AV99+(1-EXP(-LN(2)/25))/(LN(2)/25)*Calculateur!AQ100*Calculateur!AS100*VLOOKUP('Données projet'!$B$10,Paramètres!$A$1:$I$89,3,0)*0.475*44/12</f>
        <v>29.330704427518089</v>
      </c>
      <c r="AW100" s="21">
        <f>EXP(-LN(2)/2)*AW99+(1-EXP(-LN(2)/2))/(LN(2)/2)*AQ100*AT100*VLOOKUP('Données projet'!$B$10,Paramètres!$A$1:$I$89,3,0)*0.475*44/12</f>
        <v>0.54697318995852817</v>
      </c>
      <c r="AX100" s="21">
        <f t="shared" si="60"/>
        <v>63.357358019166476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11.216666666666672</v>
      </c>
      <c r="BD100" s="12">
        <f>IF('Données projet'!$A$88&gt;35,BD99+BC100-BL99,IF(A100&lt;'Données projet'!$A$88,$BA$205^A100,IF(A100='Données projet'!$A$88,'Données projet'!$B$88,BD99+BC100-BL99)))</f>
        <v>442.79666666666674</v>
      </c>
      <c r="BE100" s="13">
        <f>BD100*VLOOKUP('Données projet'!$B$11,Paramètres!$A$1:$I$89,3,0)*VLOOKUP('Données projet'!$B$11,Paramètres!$A$1:$I$89,5,0)</f>
        <v>373.01191200000011</v>
      </c>
      <c r="BF100" s="13">
        <f t="shared" si="91"/>
        <v>86.283200009575495</v>
      </c>
      <c r="BG100" s="20">
        <f t="shared" si="61"/>
        <v>799.93898675001083</v>
      </c>
      <c r="BH100" s="59">
        <f t="shared" si="62"/>
        <v>1076.4844130293936</v>
      </c>
      <c r="BI100" s="59">
        <f ca="1">AVERAGE(OFFSET($BH$3,0,0,'Données projet'!$E$11+1,1))-AVERAGE(OFFSET($H$3,0,0,'Données projet'!$E$11+1,1))</f>
        <v>456.35333554128226</v>
      </c>
      <c r="BJ100" s="59">
        <f t="shared" si="92"/>
        <v>296.4517290984877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47.461075357753366</v>
      </c>
      <c r="BQ100" s="21">
        <f>EXP(-LN(2)/25)*BQ99+(1-EXP(-LN(2)/25))/(LN(2)/25)*Calculateur!BL100*Calculateur!BN100*VLOOKUP('Données projet'!$B$11,Paramètres!$A$1:$I$89,3,0)*0.475*44/12</f>
        <v>24.55295780951106</v>
      </c>
      <c r="BR100" s="21">
        <f>EXP(-LN(2)/2)*BR99+(1-EXP(-LN(2)/2))/(LN(2)/2)*BL100*BO100*VLOOKUP('Données projet'!$B$11,Paramètres!$A$1:$I$89,3,0)*0.475*44/12</f>
        <v>9.8216708294640185E-4</v>
      </c>
      <c r="BS100" s="22">
        <f t="shared" si="63"/>
        <v>72.015015334347382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8.9989999999999952</v>
      </c>
      <c r="BY100" s="12">
        <f>IF('Données projet'!$A$114&gt;35,BY99+BX100-CG99,IF(A100&lt;'Données projet'!$A$114,$BV$205^A100,IF(A100='Données projet'!$A$114,'Données projet'!$B$114,BY99+BX100-CG99)))</f>
        <v>317.40599999999995</v>
      </c>
      <c r="BZ100" s="13">
        <f>BY100*VLOOKUP('Données projet'!$B$12,Paramètres!$A$1:$I$89,3,0)*VLOOKUP('Données projet'!$B$12,Paramètres!$A$1:$I$89,5,0)</f>
        <v>302.04354959999995</v>
      </c>
      <c r="CA100" s="13">
        <f t="shared" si="93"/>
        <v>71.604700553278462</v>
      </c>
      <c r="CB100" s="20">
        <f t="shared" si="64"/>
        <v>650.77070235029328</v>
      </c>
      <c r="CC100" s="59">
        <f t="shared" si="65"/>
        <v>927.31612862967609</v>
      </c>
      <c r="CD100" s="59">
        <f ca="1">AVERAGE(OFFSET($CC$3,0,0,'Données projet'!$E$12+1,1))-AVERAGE(OFFSET($H$3,0,0,'Données projet'!$E$12+1,1))</f>
        <v>486.36097333679697</v>
      </c>
      <c r="CE100" s="59">
        <f t="shared" si="94"/>
        <v>308.47736602748159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21.458073853719856</v>
      </c>
      <c r="CL100" s="21">
        <f>EXP(-LN(2)/25)*CL99+(1-EXP(-LN(2)/25))/(LN(2)/25)*Calculateur!CG100*Calculateur!CI100*VLOOKUP('Données projet'!$B$12,Paramètres!$A$1:$I$89,3,0)*0.475*44/12</f>
        <v>21.129076126185275</v>
      </c>
      <c r="CM100" s="21">
        <f>EXP(-LN(2)/2)*CM99+(1-EXP(-LN(2)/2))/(LN(2)/2)*CG100*CJ100*VLOOKUP('Données projet'!$B$12,Paramètres!$A$1:$I$89,3,0)*0.475*44/12</f>
        <v>3.8783308036742858</v>
      </c>
      <c r="CN100" s="22">
        <f t="shared" si="66"/>
        <v>46.465480783579423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276.83665893463922</v>
      </c>
      <c r="S101" s="59">
        <f ca="1">AVERAGE(OFFSET($R$3,0,0,'Données projet'!$E$9+1,1))-AVERAGE(OFFSET($H$3,0,0,'Données projet'!$E$9+1,1))</f>
        <v>407.05634973057056</v>
      </c>
      <c r="T101" s="59">
        <f t="shared" si="88"/>
        <v>375.32891954889965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11.283999999999997</v>
      </c>
      <c r="AI101" s="13">
        <f>IF('Données projet'!$A$62&gt;35,AI100+AH101-AQ100,IF(A101&lt;'Données projet'!$A$62,$AF$205^A101,IF(A101='Données projet'!$A$62,'Données projet'!$B$62,AI100+AH101-AQ100)))</f>
        <v>493.10199999999998</v>
      </c>
      <c r="AJ101" s="13">
        <f>AI101*VLOOKUP('Données projet'!$B$10,Paramètres!$A$1:$I$89,3,0)*VLOOKUP('Données projet'!$B$10,Paramètres!$A$1:$I$89,5,0)</f>
        <v>446.15868959999995</v>
      </c>
      <c r="AK101" s="13">
        <f t="shared" si="89"/>
        <v>101.07432734685769</v>
      </c>
      <c r="AL101" s="20">
        <f t="shared" si="58"/>
        <v>953.09750451577702</v>
      </c>
      <c r="AM101" s="59">
        <f t="shared" si="59"/>
        <v>1229.9341634504085</v>
      </c>
      <c r="AN101" s="59">
        <f ca="1">AVERAGE(OFFSET($AM$3,0,0,'Données projet'!$E$10+1,1))-AVERAGE(OFFSET($H$3,0,0,'Données projet'!$E$10+1,1))</f>
        <v>737.40414421611001</v>
      </c>
      <c r="AO101" s="59">
        <f t="shared" si="90"/>
        <v>245.32893490531674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32.823164289601401</v>
      </c>
      <c r="AV101" s="21">
        <f>EXP(-LN(2)/25)*AV100+(1-EXP(-LN(2)/25))/(LN(2)/25)*Calculateur!AQ101*Calculateur!AS101*VLOOKUP('Données projet'!$B$10,Paramètres!$A$1:$I$89,3,0)*0.475*44/12</f>
        <v>28.528654772512898</v>
      </c>
      <c r="AW101" s="21">
        <f>EXP(-LN(2)/2)*AW100+(1-EXP(-LN(2)/2))/(LN(2)/2)*AQ101*AT101*VLOOKUP('Données projet'!$B$10,Paramètres!$A$1:$I$89,3,0)*0.475*44/12</f>
        <v>0.38676845174691288</v>
      </c>
      <c r="AX101" s="21">
        <f t="shared" si="60"/>
        <v>61.738587513861212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11.216666666666672</v>
      </c>
      <c r="BD101" s="12">
        <f>IF('Données projet'!$A$88&gt;35,BD100+BC101-BL100,IF(A101&lt;'Données projet'!$A$88,$BA$205^A101,IF(A101='Données projet'!$A$88,'Données projet'!$B$88,BD100+BC101-BL100)))</f>
        <v>454.01333333333343</v>
      </c>
      <c r="BE101" s="13">
        <f>BD101*VLOOKUP('Données projet'!$B$11,Paramètres!$A$1:$I$89,3,0)*VLOOKUP('Données projet'!$B$11,Paramètres!$A$1:$I$89,5,0)</f>
        <v>382.4608320000001</v>
      </c>
      <c r="BF101" s="13">
        <f t="shared" si="91"/>
        <v>88.211642263441533</v>
      </c>
      <c r="BG101" s="20">
        <f t="shared" si="61"/>
        <v>819.75455934216086</v>
      </c>
      <c r="BH101" s="59">
        <f t="shared" si="62"/>
        <v>1096.5912182767922</v>
      </c>
      <c r="BI101" s="59">
        <f ca="1">AVERAGE(OFFSET($BH$3,0,0,'Données projet'!$E$11+1,1))-AVERAGE(OFFSET($H$3,0,0,'Données projet'!$E$11+1,1))</f>
        <v>456.35333554128226</v>
      </c>
      <c r="BJ101" s="59">
        <f t="shared" si="92"/>
        <v>296.4517290984877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46.53039261838537</v>
      </c>
      <c r="BQ101" s="21">
        <f>EXP(-LN(2)/25)*BQ100+(1-EXP(-LN(2)/25))/(LN(2)/25)*Calculateur!BL101*Calculateur!BN101*VLOOKUP('Données projet'!$B$11,Paramètres!$A$1:$I$89,3,0)*0.475*44/12</f>
        <v>23.881555887026046</v>
      </c>
      <c r="BR101" s="21">
        <f>EXP(-LN(2)/2)*BR100+(1-EXP(-LN(2)/2))/(LN(2)/2)*BL101*BO101*VLOOKUP('Données projet'!$B$11,Paramètres!$A$1:$I$89,3,0)*0.475*44/12</f>
        <v>6.9449700460961106E-4</v>
      </c>
      <c r="BS101" s="22">
        <f t="shared" si="63"/>
        <v>70.412643002416033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8.9989999999999952</v>
      </c>
      <c r="BY101" s="12">
        <f>IF('Données projet'!$A$114&gt;35,BY100+BX101-CG100,IF(A101&lt;'Données projet'!$A$114,$BV$205^A101,IF(A101='Données projet'!$A$114,'Données projet'!$B$114,BY100+BX101-CG100)))</f>
        <v>326.40499999999997</v>
      </c>
      <c r="BZ101" s="13">
        <f>BY101*VLOOKUP('Données projet'!$B$12,Paramètres!$A$1:$I$89,3,0)*VLOOKUP('Données projet'!$B$12,Paramètres!$A$1:$I$89,5,0)</f>
        <v>310.60699799999998</v>
      </c>
      <c r="CA101" s="13">
        <f t="shared" si="93"/>
        <v>73.395581077832844</v>
      </c>
      <c r="CB101" s="20">
        <f t="shared" si="64"/>
        <v>668.80449189389219</v>
      </c>
      <c r="CC101" s="59">
        <f t="shared" si="65"/>
        <v>945.64115082852356</v>
      </c>
      <c r="CD101" s="59">
        <f ca="1">AVERAGE(OFFSET($CC$3,0,0,'Données projet'!$E$12+1,1))-AVERAGE(OFFSET($H$3,0,0,'Données projet'!$E$12+1,1))</f>
        <v>486.36097333679697</v>
      </c>
      <c r="CE101" s="59">
        <f t="shared" si="94"/>
        <v>308.47736602748159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21.037294113581115</v>
      </c>
      <c r="CL101" s="21">
        <f>EXP(-LN(2)/25)*CL100+(1-EXP(-LN(2)/25))/(LN(2)/25)*Calculateur!CG101*Calculateur!CI101*VLOOKUP('Données projet'!$B$12,Paramètres!$A$1:$I$89,3,0)*0.475*44/12</f>
        <v>20.551300428384916</v>
      </c>
      <c r="CM101" s="21">
        <f>EXP(-LN(2)/2)*CM100+(1-EXP(-LN(2)/2))/(LN(2)/2)*CG101*CJ101*VLOOKUP('Données projet'!$B$12,Paramètres!$A$1:$I$89,3,0)*0.475*44/12</f>
        <v>2.7423940109627605</v>
      </c>
      <c r="CN101" s="22">
        <f t="shared" si="66"/>
        <v>44.330988552928794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277.12283935441798</v>
      </c>
      <c r="S102" s="59">
        <f ca="1">AVERAGE(OFFSET($R$3,0,0,'Données projet'!$E$9+1,1))-AVERAGE(OFFSET($H$3,0,0,'Données projet'!$E$9+1,1))</f>
        <v>407.05634973057056</v>
      </c>
      <c r="T102" s="59">
        <f t="shared" si="88"/>
        <v>375.32891954889965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11.283999999999997</v>
      </c>
      <c r="AI102" s="13">
        <f>IF('Données projet'!$A$62&gt;35,AI101+AH102-AQ101,IF(A102&lt;'Données projet'!$A$62,$AF$205^A102,IF(A102='Données projet'!$A$62,'Données projet'!$B$62,AI101+AH102-AQ101)))</f>
        <v>504.38599999999997</v>
      </c>
      <c r="AJ102" s="13">
        <f>AI102*VLOOKUP('Données projet'!$B$10,Paramètres!$A$1:$I$89,3,0)*VLOOKUP('Données projet'!$B$10,Paramètres!$A$1:$I$89,5,0)</f>
        <v>456.36845279999994</v>
      </c>
      <c r="AK102" s="13">
        <f t="shared" si="89"/>
        <v>103.11535533948117</v>
      </c>
      <c r="AL102" s="20">
        <f t="shared" si="58"/>
        <v>974.43429917626281</v>
      </c>
      <c r="AM102" s="59">
        <f t="shared" si="59"/>
        <v>1251.557138530673</v>
      </c>
      <c r="AN102" s="59">
        <f ca="1">AVERAGE(OFFSET($AM$3,0,0,'Données projet'!$E$10+1,1))-AVERAGE(OFFSET($H$3,0,0,'Données projet'!$E$10+1,1))</f>
        <v>737.40414421611001</v>
      </c>
      <c r="AO102" s="59">
        <f t="shared" si="90"/>
        <v>245.32893490531674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32.179522058035708</v>
      </c>
      <c r="AV102" s="21">
        <f>EXP(-LN(2)/25)*AV101+(1-EXP(-LN(2)/25))/(LN(2)/25)*Calculateur!AQ102*Calculateur!AS102*VLOOKUP('Données projet'!$B$10,Paramètres!$A$1:$I$89,3,0)*0.475*44/12</f>
        <v>27.74853720750178</v>
      </c>
      <c r="AW102" s="21">
        <f>EXP(-LN(2)/2)*AW101+(1-EXP(-LN(2)/2))/(LN(2)/2)*AQ102*AT102*VLOOKUP('Données projet'!$B$10,Paramètres!$A$1:$I$89,3,0)*0.475*44/12</f>
        <v>0.27348659497926409</v>
      </c>
      <c r="AX102" s="21">
        <f t="shared" si="60"/>
        <v>60.201545860516745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465.23</v>
      </c>
      <c r="BB102" s="12">
        <f>VLOOKUP(A102,'Données projet'!$A$87:$I$107,9,0)</f>
        <v>11.216666666666672</v>
      </c>
      <c r="BC102" s="12">
        <f t="array" ref="BC102">INDEX(BB:BB,MIN(IF(ISNUMBER(BB102:BB298),ROW(BB102:BB298),"")))</f>
        <v>11.216666666666672</v>
      </c>
      <c r="BD102" s="12">
        <f>IF('Données projet'!$A$88&gt;35,BD101+BC102-BL101,IF(A102&lt;'Données projet'!$A$88,$BA$205^A102,IF(A102='Données projet'!$A$88,'Données projet'!$B$88,BD101+BC102-BL101)))</f>
        <v>465.23000000000013</v>
      </c>
      <c r="BE102" s="13">
        <f>BD102*VLOOKUP('Données projet'!$B$11,Paramètres!$A$1:$I$89,3,0)*VLOOKUP('Données projet'!$B$11,Paramètres!$A$1:$I$89,5,0)</f>
        <v>391.90975200000014</v>
      </c>
      <c r="BF102" s="13">
        <f t="shared" si="91"/>
        <v>90.134546207940858</v>
      </c>
      <c r="BG102" s="20">
        <f t="shared" si="61"/>
        <v>839.56048604549721</v>
      </c>
      <c r="BH102" s="59">
        <f t="shared" si="62"/>
        <v>1116.6833253999073</v>
      </c>
      <c r="BI102" s="59">
        <f ca="1">AVERAGE(OFFSET($BH$3,0,0,'Données projet'!$E$11+1,1))-AVERAGE(OFFSET($H$3,0,0,'Données projet'!$E$11+1,1))</f>
        <v>456.35333554128226</v>
      </c>
      <c r="BJ102" s="59">
        <f t="shared" si="92"/>
        <v>296.4517290984877</v>
      </c>
      <c r="BK102" s="15">
        <f>IF(ISNA(VLOOKUP(A102,'Données projet'!$A$87:$I$107,3,0)),0,VLOOKUP(A102,'Données projet'!$A$87:$I$107,3,0))</f>
        <v>10</v>
      </c>
      <c r="BL102" s="15">
        <f>IF(ISNA(VLOOKUP(A102,'Données projet'!$A$87:$I$107,4,0)),0,VLOOKUP(A102,'Données projet'!$A$87:$I$107,4,0))</f>
        <v>226.42000000000002</v>
      </c>
      <c r="BM102" s="16">
        <f>IF(ISNA(VLOOKUP(A102,'Données projet'!$A$87:$I$107,5,0)),0%,VLOOKUP(A102,'Données projet'!$A$87:$I$107,5,0)*VLOOKUP('Données projet'!$B$11,Paramètres!$A$1:$I$89,7,0))</f>
        <v>0.19350000000000001</v>
      </c>
      <c r="BN102" s="16">
        <f>IF(ISNA(VLOOKUP(A102,'Données projet'!$A$87:$I$107,6,0)),0%,VLOOKUP(A102,'Données projet'!$A$87:$I$107,6,0)*VLOOKUP('Données projet'!$B$11,Paramètres!$A$1:$I$89,7,0))</f>
        <v>2.1500000000000002E-2</v>
      </c>
      <c r="BO102" s="16">
        <f>IF(ISNA(VLOOKUP(A102,'Données projet'!$A$87:$I$107,7,0)),0%,VLOOKUP(A102,'Données projet'!$A$87:$I$107,7,0))</f>
        <v>0.05</v>
      </c>
      <c r="BP102" s="21">
        <f>EXP(-LN(2)/35)*BP101+(1-EXP(-LN(2)/35))/(LN(2)/35)*BL102*BM102*VLOOKUP('Données projet'!$B$11,Paramètres!$A$1:$I$89,3,0)*0.475*44/12</f>
        <v>86.418059665948277</v>
      </c>
      <c r="BQ102" s="21">
        <f>EXP(-LN(2)/25)*BQ101+(1-EXP(-LN(2)/25))/(LN(2)/25)*Calculateur!BL102*Calculateur!BN102*VLOOKUP('Données projet'!$B$11,Paramètres!$A$1:$I$89,3,0)*0.475*44/12</f>
        <v>27.744008388488901</v>
      </c>
      <c r="BR102" s="21">
        <f>EXP(-LN(2)/2)*BR101+(1-EXP(-LN(2)/2))/(LN(2)/2)*BL102*BO102*VLOOKUP('Données projet'!$B$11,Paramètres!$A$1:$I$89,3,0)*0.475*44/12</f>
        <v>8.9987283754300513</v>
      </c>
      <c r="BS102" s="22">
        <f t="shared" si="63"/>
        <v>123.16079642986723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8.9989999999999952</v>
      </c>
      <c r="BY102" s="12">
        <f>IF('Données projet'!$A$114&gt;35,BY101+BX102-CG101,IF(A102&lt;'Données projet'!$A$114,$BV$205^A102,IF(A102='Données projet'!$A$114,'Données projet'!$B$114,BY101+BX102-CG101)))</f>
        <v>335.404</v>
      </c>
      <c r="BZ102" s="13">
        <f>BY102*VLOOKUP('Données projet'!$B$12,Paramètres!$A$1:$I$89,3,0)*VLOOKUP('Données projet'!$B$12,Paramètres!$A$1:$I$89,5,0)</f>
        <v>319.1704464</v>
      </c>
      <c r="CA102" s="13">
        <f t="shared" si="93"/>
        <v>75.180722836444687</v>
      </c>
      <c r="CB102" s="20">
        <f t="shared" si="64"/>
        <v>686.82828642014101</v>
      </c>
      <c r="CC102" s="59">
        <f t="shared" si="65"/>
        <v>963.9511257745512</v>
      </c>
      <c r="CD102" s="59">
        <f ca="1">AVERAGE(OFFSET($CC$3,0,0,'Données projet'!$E$12+1,1))-AVERAGE(OFFSET($H$3,0,0,'Données projet'!$E$12+1,1))</f>
        <v>486.36097333679697</v>
      </c>
      <c r="CE102" s="59">
        <f t="shared" si="94"/>
        <v>308.47736602748159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20.624765607496194</v>
      </c>
      <c r="CL102" s="21">
        <f>EXP(-LN(2)/25)*CL101+(1-EXP(-LN(2)/25))/(LN(2)/25)*Calculateur!CG102*Calculateur!CI102*VLOOKUP('Données projet'!$B$12,Paramètres!$A$1:$I$89,3,0)*0.475*44/12</f>
        <v>19.989324037424812</v>
      </c>
      <c r="CM102" s="21">
        <f>EXP(-LN(2)/2)*CM101+(1-EXP(-LN(2)/2))/(LN(2)/2)*CG102*CJ102*VLOOKUP('Données projet'!$B$12,Paramètres!$A$1:$I$89,3,0)*0.475*44/12</f>
        <v>1.9391654018371431</v>
      </c>
      <c r="CN102" s="22">
        <f t="shared" si="66"/>
        <v>42.553255046758153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277.40405518371705</v>
      </c>
      <c r="S103" s="59">
        <f ca="1">AVERAGE(OFFSET($R$3,0,0,'Données projet'!$E$9+1,1))-AVERAGE(OFFSET($H$3,0,0,'Données projet'!$E$9+1,1))</f>
        <v>407.05634973057056</v>
      </c>
      <c r="T103" s="59">
        <f t="shared" si="88"/>
        <v>375.32891954889965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11.283999999999997</v>
      </c>
      <c r="AH103" s="12">
        <f t="array" ref="AH103">INDEX(AG:AG,MIN(IF(ISNUMBER(AG103:AG299),ROW(AG103:AG299),"")))</f>
        <v>11.283999999999997</v>
      </c>
      <c r="AI103" s="13">
        <f>IF('Données projet'!$A$62&gt;35,AI102+AH103-AQ102,IF(A103&lt;'Données projet'!$A$62,$AF$205^A103,IF(A103='Données projet'!$A$62,'Données projet'!$B$62,AI102+AH103-AQ102)))</f>
        <v>515.66999999999996</v>
      </c>
      <c r="AJ103" s="13">
        <f>AI103*VLOOKUP('Données projet'!$B$10,Paramètres!$A$1:$I$89,3,0)*VLOOKUP('Données projet'!$B$10,Paramètres!$A$1:$I$89,5,0)</f>
        <v>466.57821599999988</v>
      </c>
      <c r="AK103" s="13">
        <f t="shared" si="89"/>
        <v>105.15107479395371</v>
      </c>
      <c r="AL103" s="20">
        <f t="shared" si="58"/>
        <v>995.76184813280258</v>
      </c>
      <c r="AM103" s="59">
        <f t="shared" si="59"/>
        <v>1273.1659033165117</v>
      </c>
      <c r="AN103" s="59">
        <f ca="1">AVERAGE(OFFSET($AM$3,0,0,'Données projet'!$E$10+1,1))-AVERAGE(OFFSET($H$3,0,0,'Données projet'!$E$10+1,1))</f>
        <v>737.40414421611001</v>
      </c>
      <c r="AO103" s="59">
        <f t="shared" si="90"/>
        <v>245.32893490531674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93.039999999999964</v>
      </c>
      <c r="AR103" s="16">
        <f>IF(ISNA(VLOOKUP(A103,'Données projet'!$A$61:$I$81,5,0)),0%,VLOOKUP(A103,'Données projet'!$A$61:$I$81,5,0)*VLOOKUP('Données projet'!$B$10,Paramètres!$A$1:$I$89,7,0))</f>
        <v>0.215</v>
      </c>
      <c r="AS103" s="16">
        <f>IF(ISNA(VLOOKUP(A103,'Données projet'!$A$61:$I$81,6,0)),0%,VLOOKUP(A103,'Données projet'!$A$61:$I$81,6,0)*VLOOKUP('Données projet'!$B$10,Paramètres!$A$1:$I$89,7,0))</f>
        <v>8.6000000000000007E-2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51.556694072634123</v>
      </c>
      <c r="AV103" s="21">
        <f>EXP(-LN(2)/25)*AV102+(1-EXP(-LN(2)/25))/(LN(2)/25)*Calculateur!AQ103*Calculateur!AS103*VLOOKUP('Données projet'!$B$10,Paramètres!$A$1:$I$89,3,0)*0.475*44/12</f>
        <v>34.961517172632867</v>
      </c>
      <c r="AW103" s="21">
        <f>EXP(-LN(2)/2)*AW102+(1-EXP(-LN(2)/2))/(LN(2)/2)*AQ103*AT103*VLOOKUP('Données projet'!$B$10,Paramètres!$A$1:$I$89,3,0)*0.475*44/12</f>
        <v>0.19338422587345644</v>
      </c>
      <c r="AX103" s="21">
        <f t="shared" si="60"/>
        <v>86.711595471140456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7.0300000000000011</v>
      </c>
      <c r="BD103" s="12">
        <f>IF('Données projet'!$A$88&gt;35,BD102+BC103-BL102,IF(A103&lt;'Données projet'!$A$88,$BA$205^A103,IF(A103='Données projet'!$A$88,'Données projet'!$B$88,BD102+BC103-BL102)))</f>
        <v>245.84000000000009</v>
      </c>
      <c r="BE103" s="13">
        <f>BD103*VLOOKUP('Données projet'!$B$11,Paramètres!$A$1:$I$89,3,0)*VLOOKUP('Données projet'!$B$11,Paramètres!$A$1:$I$89,5,0)</f>
        <v>207.09561600000009</v>
      </c>
      <c r="BF103" s="13">
        <f t="shared" si="91"/>
        <v>51.300391199015458</v>
      </c>
      <c r="BG103" s="20">
        <f t="shared" si="61"/>
        <v>450.03971253828541</v>
      </c>
      <c r="BH103" s="59">
        <f t="shared" si="62"/>
        <v>727.44376772199462</v>
      </c>
      <c r="BI103" s="59">
        <f ca="1">AVERAGE(OFFSET($BH$3,0,0,'Données projet'!$E$11+1,1))-AVERAGE(OFFSET($H$3,0,0,'Données projet'!$E$11+1,1))</f>
        <v>456.35333554128226</v>
      </c>
      <c r="BJ103" s="59">
        <f t="shared" si="92"/>
        <v>296.4517290984877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84.723454225710768</v>
      </c>
      <c r="BQ103" s="21">
        <f>EXP(-LN(2)/25)*BQ102+(1-EXP(-LN(2)/25))/(LN(2)/25)*Calculateur!BL103*Calculateur!BN103*VLOOKUP('Données projet'!$B$11,Paramètres!$A$1:$I$89,3,0)*0.475*44/12</f>
        <v>26.985347020111679</v>
      </c>
      <c r="BR103" s="21">
        <f>EXP(-LN(2)/2)*BR102+(1-EXP(-LN(2)/2))/(LN(2)/2)*BL103*BO103*VLOOKUP('Données projet'!$B$11,Paramètres!$A$1:$I$89,3,0)*0.475*44/12</f>
        <v>6.3630618563223944</v>
      </c>
      <c r="BS103" s="22">
        <f t="shared" si="63"/>
        <v>118.07186310214483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8.9989999999999952</v>
      </c>
      <c r="BY103" s="12">
        <f>IF('Données projet'!$A$114&gt;35,BY102+BX103-CG102,IF(A103&lt;'Données projet'!$A$114,$BV$205^A103,IF(A103='Données projet'!$A$114,'Données projet'!$B$114,BY102+BX103-CG102)))</f>
        <v>344.40300000000002</v>
      </c>
      <c r="BZ103" s="13">
        <f>BY103*VLOOKUP('Données projet'!$B$12,Paramètres!$A$1:$I$89,3,0)*VLOOKUP('Données projet'!$B$12,Paramètres!$A$1:$I$89,5,0)</f>
        <v>327.73389480000003</v>
      </c>
      <c r="CA103" s="13">
        <f t="shared" si="93"/>
        <v>76.960297498116987</v>
      </c>
      <c r="CB103" s="20">
        <f t="shared" si="64"/>
        <v>704.84238491922042</v>
      </c>
      <c r="CC103" s="59">
        <f t="shared" si="65"/>
        <v>982.24644010292968</v>
      </c>
      <c r="CD103" s="59">
        <f ca="1">AVERAGE(OFFSET($CC$3,0,0,'Données projet'!$E$12+1,1))-AVERAGE(OFFSET($H$3,0,0,'Données projet'!$E$12+1,1))</f>
        <v>486.36097333679697</v>
      </c>
      <c r="CE103" s="59">
        <f t="shared" si="94"/>
        <v>308.47736602748159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20.220326533798055</v>
      </c>
      <c r="CL103" s="21">
        <f>EXP(-LN(2)/25)*CL102+(1-EXP(-LN(2)/25))/(LN(2)/25)*Calculateur!CG103*Calculateur!CI103*VLOOKUP('Données projet'!$B$12,Paramètres!$A$1:$I$89,3,0)*0.475*44/12</f>
        <v>19.442714920428564</v>
      </c>
      <c r="CM103" s="21">
        <f>EXP(-LN(2)/2)*CM102+(1-EXP(-LN(2)/2))/(LN(2)/2)*CG103*CJ103*VLOOKUP('Données projet'!$B$12,Paramètres!$A$1:$I$89,3,0)*0.475*44/12</f>
        <v>1.3711970054813805</v>
      </c>
      <c r="CN103" s="22">
        <f t="shared" si="66"/>
        <v>41.034238459707993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277.68039254708225</v>
      </c>
      <c r="S104" s="59">
        <f ca="1">AVERAGE(OFFSET($R$3,0,0,'Données projet'!$E$9+1,1))-AVERAGE(OFFSET($H$3,0,0,'Données projet'!$E$9+1,1))</f>
        <v>407.05634973057056</v>
      </c>
      <c r="T104" s="59">
        <f t="shared" si="88"/>
        <v>375.32891954889965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10.840999999999998</v>
      </c>
      <c r="AI104" s="13">
        <f>IF('Données projet'!$A$62&gt;35,AI103+AH104-AQ103,IF(A104&lt;'Données projet'!$A$62,$AF$205^A104,IF(A104='Données projet'!$A$62,'Données projet'!$B$62,AI103+AH104-AQ103)))</f>
        <v>433.471</v>
      </c>
      <c r="AJ104" s="13">
        <f>AI104*VLOOKUP('Données projet'!$B$10,Paramètres!$A$1:$I$89,3,0)*VLOOKUP('Données projet'!$B$10,Paramètres!$A$1:$I$89,5,0)</f>
        <v>392.20456079999997</v>
      </c>
      <c r="AK104" s="13">
        <f t="shared" si="89"/>
        <v>90.194453866780407</v>
      </c>
      <c r="AL104" s="20">
        <f t="shared" si="58"/>
        <v>840.17828387797579</v>
      </c>
      <c r="AM104" s="59">
        <f t="shared" si="59"/>
        <v>1117.8586764250501</v>
      </c>
      <c r="AN104" s="59">
        <f ca="1">AVERAGE(OFFSET($AM$3,0,0,'Données projet'!$E$10+1,1))-AVERAGE(OFFSET($H$3,0,0,'Données projet'!$E$10+1,1))</f>
        <v>737.40414421611001</v>
      </c>
      <c r="AO104" s="59">
        <f t="shared" si="90"/>
        <v>245.32893490531674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50.545698748348073</v>
      </c>
      <c r="AV104" s="21">
        <f>EXP(-LN(2)/25)*AV103+(1-EXP(-LN(2)/25))/(LN(2)/25)*Calculateur!AQ104*Calculateur!AS104*VLOOKUP('Données projet'!$B$10,Paramètres!$A$1:$I$89,3,0)*0.475*44/12</f>
        <v>34.005492647000942</v>
      </c>
      <c r="AW104" s="21">
        <f>EXP(-LN(2)/2)*AW103+(1-EXP(-LN(2)/2))/(LN(2)/2)*AQ104*AT104*VLOOKUP('Données projet'!$B$10,Paramètres!$A$1:$I$89,3,0)*0.475*44/12</f>
        <v>0.13674329748963204</v>
      </c>
      <c r="AX104" s="21">
        <f t="shared" si="60"/>
        <v>84.687934692838638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>
        <f>VLOOKUP(A104,'Données projet'!$A$87:$I$107,2,0)</f>
        <v>252.87</v>
      </c>
      <c r="BB104" s="12">
        <f>VLOOKUP(A104,'Données projet'!$A$87:$I$107,9,0)</f>
        <v>7.0300000000000011</v>
      </c>
      <c r="BC104" s="12">
        <f t="array" ref="BC104">INDEX(BB:BB,MIN(IF(ISNUMBER(BB104:BB300),ROW(BB104:BB300),"")))</f>
        <v>7.0300000000000011</v>
      </c>
      <c r="BD104" s="12">
        <f>IF('Données projet'!$A$88&gt;35,BD103+BC104-BL103,IF(A104&lt;'Données projet'!$A$88,$BA$205^A104,IF(A104='Données projet'!$A$88,'Données projet'!$B$88,BD103+BC104-BL103)))</f>
        <v>252.87000000000009</v>
      </c>
      <c r="BE104" s="13">
        <f>BD104*VLOOKUP('Données projet'!$B$11,Paramètres!$A$1:$I$89,3,0)*VLOOKUP('Données projet'!$B$11,Paramètres!$A$1:$I$89,5,0)</f>
        <v>213.01768800000011</v>
      </c>
      <c r="BF104" s="13">
        <f t="shared" si="91"/>
        <v>52.594477866693403</v>
      </c>
      <c r="BG104" s="20">
        <f t="shared" si="61"/>
        <v>462.6078555511578</v>
      </c>
      <c r="BH104" s="59">
        <f t="shared" si="62"/>
        <v>740.2882480982322</v>
      </c>
      <c r="BI104" s="59">
        <f ca="1">AVERAGE(OFFSET($BH$3,0,0,'Données projet'!$E$11+1,1))-AVERAGE(OFFSET($H$3,0,0,'Données projet'!$E$11+1,1))</f>
        <v>456.35333554128226</v>
      </c>
      <c r="BJ104" s="59">
        <f t="shared" si="92"/>
        <v>296.4517290984877</v>
      </c>
      <c r="BK104" s="15">
        <f>IF(ISNA(VLOOKUP(A104,'Données projet'!$A$87:$I$107,3,0)),0,VLOOKUP(A104,'Données projet'!$A$87:$I$107,3,0))</f>
        <v>11</v>
      </c>
      <c r="BL104" s="15">
        <f>IF(ISNA(VLOOKUP(A104,'Données projet'!$A$87:$I$107,4,0)),0,VLOOKUP(A104,'Données projet'!$A$87:$I$107,4,0))</f>
        <v>82.539999999999992</v>
      </c>
      <c r="BM104" s="16">
        <f>IF(ISNA(VLOOKUP(A104,'Données projet'!$A$87:$I$107,5,0)),0%,VLOOKUP(A104,'Données projet'!$A$87:$I$107,5,0)*VLOOKUP('Données projet'!$B$11,Paramètres!$A$1:$I$89,7,0))</f>
        <v>0.19350000000000001</v>
      </c>
      <c r="BN104" s="16">
        <f>IF(ISNA(VLOOKUP(A104,'Données projet'!$A$87:$I$107,6,0)),0%,VLOOKUP(A104,'Données projet'!$A$87:$I$107,6,0)*VLOOKUP('Données projet'!$B$11,Paramètres!$A$1:$I$89,7,0))</f>
        <v>2.1500000000000002E-2</v>
      </c>
      <c r="BO104" s="16">
        <f>IF(ISNA(VLOOKUP(A104,'Données projet'!$A$87:$I$107,7,0)),0%,VLOOKUP(A104,'Données projet'!$A$87:$I$107,7,0))</f>
        <v>0.05</v>
      </c>
      <c r="BP104" s="21">
        <f>EXP(-LN(2)/35)*BP103+(1-EXP(-LN(2)/35))/(LN(2)/35)*BL104*BM104*VLOOKUP('Données projet'!$B$11,Paramètres!$A$1:$I$89,3,0)*0.475*44/12</f>
        <v>97.93550104050351</v>
      </c>
      <c r="BQ104" s="21">
        <f>EXP(-LN(2)/25)*BQ103+(1-EXP(-LN(2)/25))/(LN(2)/25)*Calculateur!BL104*Calculateur!BN104*VLOOKUP('Données projet'!$B$11,Paramètres!$A$1:$I$89,3,0)*0.475*44/12</f>
        <v>27.893526814084925</v>
      </c>
      <c r="BR104" s="21">
        <f>EXP(-LN(2)/2)*BR103+(1-EXP(-LN(2)/2))/(LN(2)/2)*BL104*BO104*VLOOKUP('Données projet'!$B$11,Paramètres!$A$1:$I$89,3,0)*0.475*44/12</f>
        <v>7.7796155174230179</v>
      </c>
      <c r="BS104" s="22">
        <f t="shared" si="63"/>
        <v>133.60864337201144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8.9989999999999952</v>
      </c>
      <c r="BY104" s="12">
        <f>IF('Données projet'!$A$114&gt;35,BY103+BX104-CG103,IF(A104&lt;'Données projet'!$A$114,$BV$205^A104,IF(A104='Données projet'!$A$114,'Données projet'!$B$114,BY103+BX104-CG103)))</f>
        <v>353.40200000000004</v>
      </c>
      <c r="BZ104" s="13">
        <f>BY104*VLOOKUP('Données projet'!$B$12,Paramètres!$A$1:$I$89,3,0)*VLOOKUP('Données projet'!$B$12,Paramètres!$A$1:$I$89,5,0)</f>
        <v>336.29734320000006</v>
      </c>
      <c r="CA104" s="13">
        <f t="shared" si="93"/>
        <v>78.734467249723195</v>
      </c>
      <c r="CB104" s="20">
        <f t="shared" si="64"/>
        <v>722.84706986660137</v>
      </c>
      <c r="CC104" s="59">
        <f t="shared" si="65"/>
        <v>1000.5274624136757</v>
      </c>
      <c r="CD104" s="59">
        <f ca="1">AVERAGE(OFFSET($CC$3,0,0,'Données projet'!$E$12+1,1))-AVERAGE(OFFSET($H$3,0,0,'Données projet'!$E$12+1,1))</f>
        <v>486.36097333679697</v>
      </c>
      <c r="CE104" s="59">
        <f t="shared" si="94"/>
        <v>308.47736602748159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19.82381826365166</v>
      </c>
      <c r="CL104" s="21">
        <f>EXP(-LN(2)/25)*CL103+(1-EXP(-LN(2)/25))/(LN(2)/25)*Calculateur!CG104*Calculateur!CI104*VLOOKUP('Données projet'!$B$12,Paramètres!$A$1:$I$89,3,0)*0.475*44/12</f>
        <v>18.911052858481504</v>
      </c>
      <c r="CM104" s="21">
        <f>EXP(-LN(2)/2)*CM103+(1-EXP(-LN(2)/2))/(LN(2)/2)*CG104*CJ104*VLOOKUP('Données projet'!$B$12,Paramètres!$A$1:$I$89,3,0)*0.475*44/12</f>
        <v>0.96958270091857179</v>
      </c>
      <c r="CN104" s="22">
        <f t="shared" si="66"/>
        <v>39.704453823051736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277.95193607499078</v>
      </c>
      <c r="S105" s="59">
        <f ca="1">AVERAGE(OFFSET($R$3,0,0,'Données projet'!$E$9+1,1))-AVERAGE(OFFSET($H$3,0,0,'Données projet'!$E$9+1,1))</f>
        <v>407.05634973057056</v>
      </c>
      <c r="T105" s="59">
        <f t="shared" si="88"/>
        <v>375.32891954889965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10.840999999999998</v>
      </c>
      <c r="AI105" s="13">
        <f>IF('Données projet'!$A$62&gt;35,AI104+AH105-AQ104,IF(A105&lt;'Données projet'!$A$62,$AF$205^A105,IF(A105='Données projet'!$A$62,'Données projet'!$B$62,AI104+AH105-AQ104)))</f>
        <v>444.31200000000001</v>
      </c>
      <c r="AJ105" s="13">
        <f>AI105*VLOOKUP('Données projet'!$B$10,Paramètres!$A$1:$I$89,3,0)*VLOOKUP('Données projet'!$B$10,Paramètres!$A$1:$I$89,5,0)</f>
        <v>402.01349760000005</v>
      </c>
      <c r="AK105" s="13">
        <f t="shared" si="89"/>
        <v>92.18475159332958</v>
      </c>
      <c r="AL105" s="20">
        <f t="shared" si="58"/>
        <v>860.72861734504897</v>
      </c>
      <c r="AM105" s="59">
        <f t="shared" si="59"/>
        <v>1138.6805534200319</v>
      </c>
      <c r="AN105" s="59">
        <f ca="1">AVERAGE(OFFSET($AM$3,0,0,'Données projet'!$E$10+1,1))-AVERAGE(OFFSET($H$3,0,0,'Données projet'!$E$10+1,1))</f>
        <v>737.40414421611001</v>
      </c>
      <c r="AO105" s="59">
        <f t="shared" si="90"/>
        <v>245.32893490531674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49.55452842572501</v>
      </c>
      <c r="AV105" s="21">
        <f>EXP(-LN(2)/25)*AV104+(1-EXP(-LN(2)/25))/(LN(2)/25)*Calculateur!AQ105*Calculateur!AS105*VLOOKUP('Données projet'!$B$10,Paramètres!$A$1:$I$89,3,0)*0.475*44/12</f>
        <v>33.075610662297564</v>
      </c>
      <c r="AW105" s="21">
        <f>EXP(-LN(2)/2)*AW104+(1-EXP(-LN(2)/2))/(LN(2)/2)*AQ105*AT105*VLOOKUP('Données projet'!$B$10,Paramètres!$A$1:$I$89,3,0)*0.475*44/12</f>
        <v>9.6692112936728219E-2</v>
      </c>
      <c r="AX105" s="21">
        <f t="shared" si="60"/>
        <v>82.726831200959296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4.8149999999999977</v>
      </c>
      <c r="BD105" s="12">
        <f>IF('Données projet'!$A$88&gt;35,BD104+BC105-BL104,IF(A105&lt;'Données projet'!$A$88,$BA$205^A105,IF(A105='Données projet'!$A$88,'Données projet'!$B$88,BD104+BC105-BL104)))</f>
        <v>175.14500000000007</v>
      </c>
      <c r="BE105" s="13">
        <f>BD105*VLOOKUP('Données projet'!$B$11,Paramètres!$A$1:$I$89,3,0)*VLOOKUP('Données projet'!$B$11,Paramètres!$A$1:$I$89,5,0)</f>
        <v>147.54214800000008</v>
      </c>
      <c r="BF105" s="13">
        <f t="shared" si="91"/>
        <v>38.019493993011075</v>
      </c>
      <c r="BG105" s="20">
        <f t="shared" si="61"/>
        <v>323.18652647116113</v>
      </c>
      <c r="BH105" s="59">
        <f t="shared" si="62"/>
        <v>601.13846254614407</v>
      </c>
      <c r="BI105" s="59">
        <f ca="1">AVERAGE(OFFSET($BH$3,0,0,'Données projet'!$E$11+1,1))-AVERAGE(OFFSET($H$3,0,0,'Données projet'!$E$11+1,1))</f>
        <v>456.35333554128226</v>
      </c>
      <c r="BJ105" s="59">
        <f t="shared" si="92"/>
        <v>296.4517290984877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96.015045599856549</v>
      </c>
      <c r="BQ105" s="21">
        <f>EXP(-LN(2)/25)*BQ104+(1-EXP(-LN(2)/25))/(LN(2)/25)*Calculateur!BL105*Calculateur!BN105*VLOOKUP('Données projet'!$B$11,Paramètres!$A$1:$I$89,3,0)*0.475*44/12</f>
        <v>27.130776856496951</v>
      </c>
      <c r="BR105" s="21">
        <f>EXP(-LN(2)/2)*BR104+(1-EXP(-LN(2)/2))/(LN(2)/2)*BL105*BO105*VLOOKUP('Données projet'!$B$11,Paramètres!$A$1:$I$89,3,0)*0.475*44/12</f>
        <v>5.5010188873939079</v>
      </c>
      <c r="BS105" s="22">
        <f t="shared" si="63"/>
        <v>128.64684134374741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8.9989999999999952</v>
      </c>
      <c r="BY105" s="12">
        <f>IF('Données projet'!$A$114&gt;35,BY104+BX105-CG104,IF(A105&lt;'Données projet'!$A$114,$BV$205^A105,IF(A105='Données projet'!$A$114,'Données projet'!$B$114,BY104+BX105-CG104)))</f>
        <v>362.40100000000007</v>
      </c>
      <c r="BZ105" s="13">
        <f>BY105*VLOOKUP('Données projet'!$B$12,Paramètres!$A$1:$I$89,3,0)*VLOOKUP('Données projet'!$B$12,Paramètres!$A$1:$I$89,5,0)</f>
        <v>344.86079160000008</v>
      </c>
      <c r="CA105" s="13">
        <f t="shared" si="93"/>
        <v>80.503385547683365</v>
      </c>
      <c r="CB105" s="20">
        <f t="shared" si="64"/>
        <v>740.84260853221531</v>
      </c>
      <c r="CC105" s="59">
        <f t="shared" si="65"/>
        <v>1018.7945446071983</v>
      </c>
      <c r="CD105" s="59">
        <f ca="1">AVERAGE(OFFSET($CC$3,0,0,'Données projet'!$E$12+1,1))-AVERAGE(OFFSET($H$3,0,0,'Données projet'!$E$12+1,1))</f>
        <v>486.36097333679697</v>
      </c>
      <c r="CE105" s="59">
        <f t="shared" si="94"/>
        <v>308.47736602748159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19.43508527883667</v>
      </c>
      <c r="CL105" s="21">
        <f>EXP(-LN(2)/25)*CL104+(1-EXP(-LN(2)/25))/(LN(2)/25)*Calculateur!CG105*Calculateur!CI105*VLOOKUP('Données projet'!$B$12,Paramètres!$A$1:$I$89,3,0)*0.475*44/12</f>
        <v>18.39392912357728</v>
      </c>
      <c r="CM105" s="21">
        <f>EXP(-LN(2)/2)*CM104+(1-EXP(-LN(2)/2))/(LN(2)/2)*CG105*CJ105*VLOOKUP('Données projet'!$B$12,Paramètres!$A$1:$I$89,3,0)*0.475*44/12</f>
        <v>0.68559850274069034</v>
      </c>
      <c r="CN105" s="22">
        <f t="shared" si="66"/>
        <v>38.514612905154635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278.21876892977053</v>
      </c>
      <c r="S106" s="59">
        <f ca="1">AVERAGE(OFFSET($R$3,0,0,'Données projet'!$E$9+1,1))-AVERAGE(OFFSET($H$3,0,0,'Données projet'!$E$9+1,1))</f>
        <v>407.05634973057056</v>
      </c>
      <c r="T106" s="59">
        <f t="shared" si="88"/>
        <v>375.32891954889965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10.840999999999998</v>
      </c>
      <c r="AI106" s="13">
        <f>IF('Données projet'!$A$62&gt;35,AI105+AH106-AQ105,IF(A106&lt;'Données projet'!$A$62,$AF$205^A106,IF(A106='Données projet'!$A$62,'Données projet'!$B$62,AI105+AH106-AQ105)))</f>
        <v>455.15300000000002</v>
      </c>
      <c r="AJ106" s="13">
        <f>AI106*VLOOKUP('Données projet'!$B$10,Paramètres!$A$1:$I$89,3,0)*VLOOKUP('Données projet'!$B$10,Paramètres!$A$1:$I$89,5,0)</f>
        <v>411.82243440000002</v>
      </c>
      <c r="AK106" s="13">
        <f t="shared" si="89"/>
        <v>94.169404094334013</v>
      </c>
      <c r="AL106" s="20">
        <f t="shared" si="58"/>
        <v>881.26911871096502</v>
      </c>
      <c r="AM106" s="59">
        <f t="shared" si="59"/>
        <v>1159.4878876407276</v>
      </c>
      <c r="AN106" s="59">
        <f ca="1">AVERAGE(OFFSET($AM$3,0,0,'Données projet'!$E$10+1,1))-AVERAGE(OFFSET($H$3,0,0,'Données projet'!$E$10+1,1))</f>
        <v>737.40414421611001</v>
      </c>
      <c r="AO106" s="59">
        <f t="shared" si="90"/>
        <v>245.32893490531674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48.582794348574382</v>
      </c>
      <c r="AV106" s="21">
        <f>EXP(-LN(2)/25)*AV105+(1-EXP(-LN(2)/25))/(LN(2)/25)*Calculateur!AQ106*Calculateur!AS106*VLOOKUP('Données projet'!$B$10,Paramètres!$A$1:$I$89,3,0)*0.475*44/12</f>
        <v>32.171156349366271</v>
      </c>
      <c r="AW106" s="21">
        <f>EXP(-LN(2)/2)*AW105+(1-EXP(-LN(2)/2))/(LN(2)/2)*AQ106*AT106*VLOOKUP('Données projet'!$B$10,Paramètres!$A$1:$I$89,3,0)*0.475*44/12</f>
        <v>6.8371648744816022E-2</v>
      </c>
      <c r="AX106" s="21">
        <f t="shared" si="60"/>
        <v>80.822322346685468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179.96</v>
      </c>
      <c r="BB106" s="12">
        <f>VLOOKUP(A106,'Données projet'!$A$87:$I$107,9,0)</f>
        <v>4.8149999999999977</v>
      </c>
      <c r="BC106" s="12">
        <f t="array" ref="BC106">INDEX(BB:BB,MIN(IF(ISNUMBER(BB106:BB302),ROW(BB106:BB302),"")))</f>
        <v>4.8149999999999977</v>
      </c>
      <c r="BD106" s="12">
        <f>IF('Données projet'!$A$88&gt;35,BD105+BC106-BL105,IF(A106&lt;'Données projet'!$A$88,$BA$205^A106,IF(A106='Données projet'!$A$88,'Données projet'!$B$88,BD105+BC106-BL105)))</f>
        <v>179.96000000000006</v>
      </c>
      <c r="BE106" s="13">
        <f>BD106*VLOOKUP('Données projet'!$B$11,Paramètres!$A$1:$I$89,3,0)*VLOOKUP('Données projet'!$B$11,Paramètres!$A$1:$I$89,5,0)</f>
        <v>151.59830400000007</v>
      </c>
      <c r="BF106" s="13">
        <f t="shared" si="91"/>
        <v>38.941581580147371</v>
      </c>
      <c r="BG106" s="20">
        <f t="shared" si="61"/>
        <v>331.85696738542345</v>
      </c>
      <c r="BH106" s="59">
        <f t="shared" si="62"/>
        <v>610.07573631518608</v>
      </c>
      <c r="BI106" s="59">
        <f ca="1">AVERAGE(OFFSET($BH$3,0,0,'Données projet'!$E$11+1,1))-AVERAGE(OFFSET($H$3,0,0,'Données projet'!$E$11+1,1))</f>
        <v>456.35333554128226</v>
      </c>
      <c r="BJ106" s="59">
        <f t="shared" si="92"/>
        <v>296.4517290984877</v>
      </c>
      <c r="BK106" s="15">
        <f>IF(ISNA(VLOOKUP(A106,'Données projet'!$A$87:$I$107,3,0)),0,VLOOKUP(A106,'Données projet'!$A$87:$I$107,3,0))</f>
        <v>12</v>
      </c>
      <c r="BL106" s="15">
        <f>IF(ISNA(VLOOKUP(A106,'Données projet'!$A$87:$I$107,4,0)),0,VLOOKUP(A106,'Données projet'!$A$87:$I$107,4,0))</f>
        <v>58.600000000000009</v>
      </c>
      <c r="BM106" s="16">
        <f>IF(ISNA(VLOOKUP(A106,'Données projet'!$A$87:$I$107,5,0)),0%,VLOOKUP(A106,'Données projet'!$A$87:$I$107,5,0)*VLOOKUP('Données projet'!$B$11,Paramètres!$A$1:$I$89,7,0))</f>
        <v>0.19350000000000001</v>
      </c>
      <c r="BN106" s="16">
        <f>IF(ISNA(VLOOKUP(A106,'Données projet'!$A$87:$I$107,6,0)),0%,VLOOKUP(A106,'Données projet'!$A$87:$I$107,6,0)*VLOOKUP('Données projet'!$B$11,Paramètres!$A$1:$I$89,7,0))</f>
        <v>2.1500000000000002E-2</v>
      </c>
      <c r="BO106" s="16">
        <f>IF(ISNA(VLOOKUP(A106,'Données projet'!$A$87:$I$107,7,0)),0%,VLOOKUP(A106,'Données projet'!$A$87:$I$107,7,0))</f>
        <v>0.05</v>
      </c>
      <c r="BP106" s="21">
        <f>EXP(-LN(2)/35)*BP105+(1-EXP(-LN(2)/35))/(LN(2)/35)*BL106*BM106*VLOOKUP('Données projet'!$B$11,Paramètres!$A$1:$I$89,3,0)*0.475*44/12</f>
        <v>104.69176612474402</v>
      </c>
      <c r="BQ106" s="21">
        <f>EXP(-LN(2)/25)*BQ105+(1-EXP(-LN(2)/25))/(LN(2)/25)*Calculateur!BL106*Calculateur!BN106*VLOOKUP('Données projet'!$B$11,Paramètres!$A$1:$I$89,3,0)*0.475*44/12</f>
        <v>27.557544354806343</v>
      </c>
      <c r="BR106" s="21">
        <f>EXP(-LN(2)/2)*BR105+(1-EXP(-LN(2)/2))/(LN(2)/2)*BL106*BO106*VLOOKUP('Données projet'!$B$11,Paramètres!$A$1:$I$89,3,0)*0.475*44/12</f>
        <v>6.2186510822017969</v>
      </c>
      <c r="BS106" s="22">
        <f t="shared" si="63"/>
        <v>138.46796156175216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371.4</v>
      </c>
      <c r="BW106" s="12">
        <f>VLOOKUP(A106,'Données projet'!$A$113:$I$133,9,0)</f>
        <v>8.9989999999999952</v>
      </c>
      <c r="BX106" s="12">
        <f t="array" ref="BX106">INDEX(BW:BW,MIN(IF(ISNUMBER(BW106:BW302),ROW(BW106:BW302),"")))</f>
        <v>8.9989999999999952</v>
      </c>
      <c r="BY106" s="12">
        <f>IF('Données projet'!$A$114&gt;35,BY105+BX106-CG105,IF(A106&lt;'Données projet'!$A$114,$BV$205^A106,IF(A106='Données projet'!$A$114,'Données projet'!$B$114,BY105+BX106-CG105)))</f>
        <v>371.40000000000009</v>
      </c>
      <c r="BZ106" s="13">
        <f>BY106*VLOOKUP('Données projet'!$B$12,Paramètres!$A$1:$I$89,3,0)*VLOOKUP('Données projet'!$B$12,Paramètres!$A$1:$I$89,5,0)</f>
        <v>353.42424000000011</v>
      </c>
      <c r="CA106" s="13">
        <f t="shared" si="93"/>
        <v>82.267197792875848</v>
      </c>
      <c r="CB106" s="20">
        <f t="shared" si="64"/>
        <v>758.82925415592547</v>
      </c>
      <c r="CC106" s="59">
        <f t="shared" si="65"/>
        <v>1037.0480230856881</v>
      </c>
      <c r="CD106" s="59">
        <f ca="1">AVERAGE(OFFSET($CC$3,0,0,'Données projet'!$E$12+1,1))-AVERAGE(OFFSET($H$3,0,0,'Données projet'!$E$12+1,1))</f>
        <v>486.36097333679697</v>
      </c>
      <c r="CE106" s="59">
        <f t="shared" si="94"/>
        <v>308.47736602748159</v>
      </c>
      <c r="CF106" s="15">
        <f>IF(ISNA(VLOOKUP(A106,'Données projet'!$A$113:$I$133,3,0)),0,VLOOKUP(A106,'Données projet'!$A$113:$I$133,3,0))</f>
        <v>9</v>
      </c>
      <c r="CG106" s="15">
        <f>IF(ISNA(VLOOKUP(A106,'Données projet'!$A$113:$I$133,4,0)),0,VLOOKUP(A106,'Données projet'!$A$113:$I$133,4,0))</f>
        <v>67.759999999999991</v>
      </c>
      <c r="CH106" s="16">
        <f>IF(ISNA(VLOOKUP(A106,'Données projet'!$A$113:$I$133,5,0)),0%,VLOOKUP(A106,'Données projet'!$A$113:$I$133,5,0)*VLOOKUP('Données projet'!$B$12,Paramètres!$A$1:$I$89,7,0))</f>
        <v>0.1075</v>
      </c>
      <c r="CI106" s="16">
        <f>IF(ISNA(VLOOKUP(A106,'Données projet'!$A$113:$I$133,6,0)),0%,VLOOKUP(A106,'Données projet'!$A$113:$I$133,6,0)*VLOOKUP('Données projet'!$B$12,Paramètres!$A$1:$I$89,7,0))</f>
        <v>0.1075</v>
      </c>
      <c r="CJ106" s="16">
        <f>IF(ISNA(VLOOKUP(A106,'Données projet'!$A$113:$I$133,7,0)),0%,VLOOKUP(A106,'Données projet'!$A$113:$I$133,7,0))</f>
        <v>0.25</v>
      </c>
      <c r="CK106" s="21">
        <f>EXP(-LN(2)/35)*CK105+(1-EXP(-LN(2)/35))/(LN(2)/35)*CG106*CH106*VLOOKUP('Données projet'!$B$12,Paramètres!$A$1:$I$89,3,0)*0.475*44/12</f>
        <v>26.716703030156165</v>
      </c>
      <c r="CL106" s="21">
        <f>EXP(-LN(2)/25)*CL105+(1-EXP(-LN(2)/25))/(LN(2)/25)*Calculateur!CG106*Calculateur!CI106*VLOOKUP('Données projet'!$B$12,Paramètres!$A$1:$I$89,3,0)*0.475*44/12</f>
        <v>25.523503004257396</v>
      </c>
      <c r="CM106" s="21">
        <f>EXP(-LN(2)/2)*CM105+(1-EXP(-LN(2)/2))/(LN(2)/2)*CG106*CJ106*VLOOKUP('Données projet'!$B$12,Paramètres!$A$1:$I$89,3,0)*0.475*44/12</f>
        <v>15.69454334069726</v>
      </c>
      <c r="CN106" s="22">
        <f t="shared" si="66"/>
        <v>67.934749375110826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278.48097283106875</v>
      </c>
      <c r="S107" s="59">
        <f ca="1">AVERAGE(OFFSET($R$3,0,0,'Données projet'!$E$9+1,1))-AVERAGE(OFFSET($H$3,0,0,'Données projet'!$E$9+1,1))</f>
        <v>407.05634973057056</v>
      </c>
      <c r="T107" s="59">
        <f t="shared" si="88"/>
        <v>375.32891954889965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10.840999999999998</v>
      </c>
      <c r="AI107" s="13">
        <f>IF('Données projet'!$A$62&gt;35,AI106+AH107-AQ106,IF(A107&lt;'Données projet'!$A$62,$AF$205^A107,IF(A107='Données projet'!$A$62,'Données projet'!$B$62,AI106+AH107-AQ106)))</f>
        <v>465.99400000000003</v>
      </c>
      <c r="AJ107" s="13">
        <f>AI107*VLOOKUP('Données projet'!$B$10,Paramètres!$A$1:$I$89,3,0)*VLOOKUP('Données projet'!$B$10,Paramètres!$A$1:$I$89,5,0)</f>
        <v>421.63137120000005</v>
      </c>
      <c r="AK107" s="13">
        <f t="shared" si="89"/>
        <v>96.148561301747847</v>
      </c>
      <c r="AL107" s="20">
        <f t="shared" si="58"/>
        <v>901.80004910721084</v>
      </c>
      <c r="AM107" s="59">
        <f t="shared" si="59"/>
        <v>1180.2810219382718</v>
      </c>
      <c r="AN107" s="59">
        <f ca="1">AVERAGE(OFFSET($AM$3,0,0,'Données projet'!$E$10+1,1))-AVERAGE(OFFSET($H$3,0,0,'Données projet'!$E$10+1,1))</f>
        <v>737.40414421611001</v>
      </c>
      <c r="AO107" s="59">
        <f t="shared" si="90"/>
        <v>245.32893490531674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47.630115383977419</v>
      </c>
      <c r="AV107" s="21">
        <f>EXP(-LN(2)/25)*AV106+(1-EXP(-LN(2)/25))/(LN(2)/25)*Calculateur!AQ107*Calculateur!AS107*VLOOKUP('Données projet'!$B$10,Paramètres!$A$1:$I$89,3,0)*0.475*44/12</f>
        <v>31.291434387185266</v>
      </c>
      <c r="AW107" s="21">
        <f>EXP(-LN(2)/2)*AW106+(1-EXP(-LN(2)/2))/(LN(2)/2)*AQ107*AT107*VLOOKUP('Données projet'!$B$10,Paramètres!$A$1:$I$89,3,0)*0.475*44/12</f>
        <v>4.834605646836411E-2</v>
      </c>
      <c r="AX107" s="21">
        <f t="shared" si="60"/>
        <v>78.969895827631049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3.3666666666666694</v>
      </c>
      <c r="BD107" s="12">
        <f>IF('Données projet'!$A$88&gt;35,BD106+BC107-BL106,IF(A107&lt;'Données projet'!$A$88,$BA$205^A107,IF(A107='Données projet'!$A$88,'Données projet'!$B$88,BD106+BC107-BL106)))</f>
        <v>124.72666666666673</v>
      </c>
      <c r="BE107" s="13">
        <f>BD107*VLOOKUP('Données projet'!$B$11,Paramètres!$A$1:$I$89,3,0)*VLOOKUP('Données projet'!$B$11,Paramètres!$A$1:$I$89,5,0)</f>
        <v>105.06974400000007</v>
      </c>
      <c r="BF107" s="13">
        <f t="shared" si="91"/>
        <v>28.166295917869327</v>
      </c>
      <c r="BG107" s="20">
        <f t="shared" si="61"/>
        <v>232.05276952362252</v>
      </c>
      <c r="BH107" s="59">
        <f t="shared" si="62"/>
        <v>510.53374235468345</v>
      </c>
      <c r="BI107" s="59">
        <f ca="1">AVERAGE(OFFSET($BH$3,0,0,'Données projet'!$E$11+1,1))-AVERAGE(OFFSET($H$3,0,0,'Données projet'!$E$11+1,1))</f>
        <v>456.35333554128226</v>
      </c>
      <c r="BJ107" s="59">
        <f t="shared" si="92"/>
        <v>296.4517290984877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102.6388244467099</v>
      </c>
      <c r="BQ107" s="21">
        <f>EXP(-LN(2)/25)*BQ106+(1-EXP(-LN(2)/25))/(LN(2)/25)*Calculateur!BL107*Calculateur!BN107*VLOOKUP('Données projet'!$B$11,Paramètres!$A$1:$I$89,3,0)*0.475*44/12</f>
        <v>26.803981855235889</v>
      </c>
      <c r="BR107" s="21">
        <f>EXP(-LN(2)/2)*BR106+(1-EXP(-LN(2)/2))/(LN(2)/2)*BL107*BO107*VLOOKUP('Données projet'!$B$11,Paramètres!$A$1:$I$89,3,0)*0.475*44/12</f>
        <v>4.397250350057953</v>
      </c>
      <c r="BS107" s="22">
        <f t="shared" si="63"/>
        <v>133.84005665200374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8.7540000000000013</v>
      </c>
      <c r="BY107" s="12">
        <f>IF('Données projet'!$A$114&gt;35,BY106+BX107-CG106,IF(A107&lt;'Données projet'!$A$114,$BV$205^A107,IF(A107='Données projet'!$A$114,'Données projet'!$B$114,BY106+BX107-CG106)))</f>
        <v>312.39400000000012</v>
      </c>
      <c r="BZ107" s="13">
        <f>BY107*VLOOKUP('Données projet'!$B$12,Paramètres!$A$1:$I$89,3,0)*VLOOKUP('Données projet'!$B$12,Paramètres!$A$1:$I$89,5,0)</f>
        <v>297.27413040000016</v>
      </c>
      <c r="CA107" s="13">
        <f t="shared" si="93"/>
        <v>70.604713287138281</v>
      </c>
      <c r="CB107" s="20">
        <f t="shared" si="64"/>
        <v>640.72231942176609</v>
      </c>
      <c r="CC107" s="59">
        <f t="shared" si="65"/>
        <v>919.20329225282694</v>
      </c>
      <c r="CD107" s="59">
        <f ca="1">AVERAGE(OFFSET($CC$3,0,0,'Données projet'!$E$12+1,1))-AVERAGE(OFFSET($H$3,0,0,'Données projet'!$E$12+1,1))</f>
        <v>486.36097333679697</v>
      </c>
      <c r="CE107" s="59">
        <f t="shared" si="94"/>
        <v>308.47736602748159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26.192804779314596</v>
      </c>
      <c r="CL107" s="21">
        <f>EXP(-LN(2)/25)*CL106+(1-EXP(-LN(2)/25))/(LN(2)/25)*Calculateur!CG107*Calculateur!CI107*VLOOKUP('Données projet'!$B$12,Paramètres!$A$1:$I$89,3,0)*0.475*44/12</f>
        <v>24.825561472383288</v>
      </c>
      <c r="CM107" s="21">
        <f>EXP(-LN(2)/2)*CM106+(1-EXP(-LN(2)/2))/(LN(2)/2)*CG107*CJ107*VLOOKUP('Données projet'!$B$12,Paramètres!$A$1:$I$89,3,0)*0.475*44/12</f>
        <v>11.097718023833204</v>
      </c>
      <c r="CN107" s="22">
        <f t="shared" si="66"/>
        <v>62.116084275531087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278.73862808087961</v>
      </c>
      <c r="S108" s="59">
        <f ca="1">AVERAGE(OFFSET($R$3,0,0,'Données projet'!$E$9+1,1))-AVERAGE(OFFSET($H$3,0,0,'Données projet'!$E$9+1,1))</f>
        <v>407.05634973057056</v>
      </c>
      <c r="T108" s="59">
        <f t="shared" si="88"/>
        <v>375.32891954889965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10.840999999999998</v>
      </c>
      <c r="AI108" s="13">
        <f>IF('Données projet'!$A$62&gt;35,AI107+AH108-AQ107,IF(A108&lt;'Données projet'!$A$62,$AF$205^A108,IF(A108='Données projet'!$A$62,'Données projet'!$B$62,AI107+AH108-AQ107)))</f>
        <v>476.83500000000004</v>
      </c>
      <c r="AJ108" s="13">
        <f>AI108*VLOOKUP('Données projet'!$B$10,Paramètres!$A$1:$I$89,3,0)*VLOOKUP('Données projet'!$B$10,Paramètres!$A$1:$I$89,5,0)</f>
        <v>431.44030800000002</v>
      </c>
      <c r="AK108" s="13">
        <f t="shared" si="89"/>
        <v>98.122365773392104</v>
      </c>
      <c r="AL108" s="20">
        <f t="shared" si="58"/>
        <v>922.32165682199127</v>
      </c>
      <c r="AM108" s="59">
        <f t="shared" si="59"/>
        <v>1201.060284902863</v>
      </c>
      <c r="AN108" s="59">
        <f ca="1">AVERAGE(OFFSET($AM$3,0,0,'Données projet'!$E$10+1,1))-AVERAGE(OFFSET($H$3,0,0,'Données projet'!$E$10+1,1))</f>
        <v>737.40414421611001</v>
      </c>
      <c r="AO108" s="59">
        <f t="shared" si="90"/>
        <v>245.32893490531674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46.696117872799405</v>
      </c>
      <c r="AV108" s="21">
        <f>EXP(-LN(2)/25)*AV107+(1-EXP(-LN(2)/25))/(LN(2)/25)*Calculateur!AQ108*Calculateur!AS108*VLOOKUP('Données projet'!$B$10,Paramètres!$A$1:$I$89,3,0)*0.475*44/12</f>
        <v>30.435768468322667</v>
      </c>
      <c r="AW108" s="21">
        <f>EXP(-LN(2)/2)*AW107+(1-EXP(-LN(2)/2))/(LN(2)/2)*AQ108*AT108*VLOOKUP('Données projet'!$B$10,Paramètres!$A$1:$I$89,3,0)*0.475*44/12</f>
        <v>3.4185824372408011E-2</v>
      </c>
      <c r="AX108" s="21">
        <f t="shared" si="60"/>
        <v>77.166072165494484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3.3666666666666694</v>
      </c>
      <c r="BD108" s="12">
        <f>IF('Données projet'!$A$88&gt;35,BD107+BC108-BL107,IF(A108&lt;'Données projet'!$A$88,$BA$205^A108,IF(A108='Données projet'!$A$88,'Données projet'!$B$88,BD107+BC108-BL107)))</f>
        <v>128.09333333333339</v>
      </c>
      <c r="BE108" s="13">
        <f>BD108*VLOOKUP('Données projet'!$B$11,Paramètres!$A$1:$I$89,3,0)*VLOOKUP('Données projet'!$B$11,Paramètres!$A$1:$I$89,5,0)</f>
        <v>107.90582400000005</v>
      </c>
      <c r="BF108" s="13">
        <f t="shared" si="91"/>
        <v>28.837029763814225</v>
      </c>
      <c r="BG108" s="20">
        <f t="shared" si="61"/>
        <v>238.1604703053099</v>
      </c>
      <c r="BH108" s="59">
        <f t="shared" si="62"/>
        <v>516.89909838618166</v>
      </c>
      <c r="BI108" s="59">
        <f ca="1">AVERAGE(OFFSET($BH$3,0,0,'Données projet'!$E$11+1,1))-AVERAGE(OFFSET($H$3,0,0,'Données projet'!$E$11+1,1))</f>
        <v>456.35333554128226</v>
      </c>
      <c r="BJ108" s="59">
        <f t="shared" si="92"/>
        <v>296.4517290984877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100.62613970281126</v>
      </c>
      <c r="BQ108" s="21">
        <f>EXP(-LN(2)/25)*BQ107+(1-EXP(-LN(2)/25))/(LN(2)/25)*Calculateur!BL108*Calculateur!BN108*VLOOKUP('Données projet'!$B$11,Paramètres!$A$1:$I$89,3,0)*0.475*44/12</f>
        <v>26.071025561844319</v>
      </c>
      <c r="BR108" s="21">
        <f>EXP(-LN(2)/2)*BR107+(1-EXP(-LN(2)/2))/(LN(2)/2)*BL108*BO108*VLOOKUP('Données projet'!$B$11,Paramètres!$A$1:$I$89,3,0)*0.475*44/12</f>
        <v>3.1093255411008989</v>
      </c>
      <c r="BS108" s="22">
        <f t="shared" si="63"/>
        <v>129.80649080575648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8.7540000000000013</v>
      </c>
      <c r="BY108" s="12">
        <f>IF('Données projet'!$A$114&gt;35,BY107+BX108-CG107,IF(A108&lt;'Données projet'!$A$114,$BV$205^A108,IF(A108='Données projet'!$A$114,'Données projet'!$B$114,BY107+BX108-CG107)))</f>
        <v>321.14800000000014</v>
      </c>
      <c r="BZ108" s="13">
        <f>BY108*VLOOKUP('Données projet'!$B$12,Paramètres!$A$1:$I$89,3,0)*VLOOKUP('Données projet'!$B$12,Paramètres!$A$1:$I$89,5,0)</f>
        <v>305.60443680000009</v>
      </c>
      <c r="CA108" s="13">
        <f t="shared" si="93"/>
        <v>72.350100063341856</v>
      </c>
      <c r="CB108" s="20">
        <f t="shared" si="64"/>
        <v>658.27081837032063</v>
      </c>
      <c r="CC108" s="59">
        <f t="shared" si="65"/>
        <v>937.00944645119239</v>
      </c>
      <c r="CD108" s="59">
        <f ca="1">AVERAGE(OFFSET($CC$3,0,0,'Données projet'!$E$12+1,1))-AVERAGE(OFFSET($H$3,0,0,'Données projet'!$E$12+1,1))</f>
        <v>486.36097333679697</v>
      </c>
      <c r="CE108" s="59">
        <f t="shared" si="94"/>
        <v>308.47736602748159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25.679179853625648</v>
      </c>
      <c r="CL108" s="21">
        <f>EXP(-LN(2)/25)*CL107+(1-EXP(-LN(2)/25))/(LN(2)/25)*Calculateur!CG108*Calculateur!CI108*VLOOKUP('Données projet'!$B$12,Paramètres!$A$1:$I$89,3,0)*0.475*44/12</f>
        <v>24.14670518840143</v>
      </c>
      <c r="CM108" s="21">
        <f>EXP(-LN(2)/2)*CM107+(1-EXP(-LN(2)/2))/(LN(2)/2)*CG108*CJ108*VLOOKUP('Données projet'!$B$12,Paramètres!$A$1:$I$89,3,0)*0.475*44/12</f>
        <v>7.8472716703486309</v>
      </c>
      <c r="CN108" s="22">
        <f t="shared" si="66"/>
        <v>57.673156712375715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278.99181358813695</v>
      </c>
      <c r="S109" s="59">
        <f ca="1">AVERAGE(OFFSET($R$3,0,0,'Données projet'!$E$9+1,1))-AVERAGE(OFFSET($H$3,0,0,'Données projet'!$E$9+1,1))</f>
        <v>407.05634973057056</v>
      </c>
      <c r="T109" s="59">
        <f t="shared" si="88"/>
        <v>375.32891954889965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10.840999999999998</v>
      </c>
      <c r="AI109" s="13">
        <f>IF('Données projet'!$A$62&gt;35,AI108+AH109-AQ108,IF(A109&lt;'Données projet'!$A$62,$AF$205^A109,IF(A109='Données projet'!$A$62,'Données projet'!$B$62,AI108+AH109-AQ108)))</f>
        <v>487.67600000000004</v>
      </c>
      <c r="AJ109" s="13">
        <f>AI109*VLOOKUP('Données projet'!$B$10,Paramètres!$A$1:$I$89,3,0)*VLOOKUP('Données projet'!$B$10,Paramètres!$A$1:$I$89,5,0)</f>
        <v>441.24924480000004</v>
      </c>
      <c r="AK109" s="13">
        <f t="shared" si="89"/>
        <v>100.09095321491932</v>
      </c>
      <c r="AL109" s="20">
        <f t="shared" si="58"/>
        <v>942.83417820931766</v>
      </c>
      <c r="AM109" s="59">
        <f t="shared" si="59"/>
        <v>1221.8259917974467</v>
      </c>
      <c r="AN109" s="59">
        <f ca="1">AVERAGE(OFFSET($AM$3,0,0,'Données projet'!$E$10+1,1))-AVERAGE(OFFSET($H$3,0,0,'Données projet'!$E$10+1,1))</f>
        <v>737.40414421611001</v>
      </c>
      <c r="AO109" s="59">
        <f t="shared" si="90"/>
        <v>245.32893490531674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45.780435483133367</v>
      </c>
      <c r="AV109" s="21">
        <f>EXP(-LN(2)/25)*AV108+(1-EXP(-LN(2)/25))/(LN(2)/25)*Calculateur!AQ109*Calculateur!AS109*VLOOKUP('Données projet'!$B$10,Paramètres!$A$1:$I$89,3,0)*0.475*44/12</f>
        <v>29.603500779008883</v>
      </c>
      <c r="AW109" s="21">
        <f>EXP(-LN(2)/2)*AW108+(1-EXP(-LN(2)/2))/(LN(2)/2)*AQ109*AT109*VLOOKUP('Données projet'!$B$10,Paramètres!$A$1:$I$89,3,0)*0.475*44/12</f>
        <v>2.4173028234182055E-2</v>
      </c>
      <c r="AX109" s="21">
        <f t="shared" si="60"/>
        <v>75.40810929037643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>
        <f>VLOOKUP(A109,'Données projet'!$A$87:$I$107,2,0)</f>
        <v>131.46</v>
      </c>
      <c r="BB109" s="12">
        <f>VLOOKUP(A109,'Données projet'!$A$87:$I$107,9,0)</f>
        <v>3.3666666666666694</v>
      </c>
      <c r="BC109" s="12">
        <f t="array" ref="BC109">INDEX(BB:BB,MIN(IF(ISNUMBER(BB109:BB305),ROW(BB109:BB305),"")))</f>
        <v>3.3666666666666694</v>
      </c>
      <c r="BD109" s="12">
        <f>IF('Données projet'!$A$88&gt;35,BD108+BC109-BL108,IF(A109&lt;'Données projet'!$A$88,$BA$205^A109,IF(A109='Données projet'!$A$88,'Données projet'!$B$88,BD108+BC109-BL108)))</f>
        <v>131.46000000000006</v>
      </c>
      <c r="BE109" s="13">
        <f>BD109*VLOOKUP('Données projet'!$B$11,Paramètres!$A$1:$I$89,3,0)*VLOOKUP('Données projet'!$B$11,Paramètres!$A$1:$I$89,5,0)</f>
        <v>110.74190400000006</v>
      </c>
      <c r="BF109" s="13">
        <f t="shared" si="91"/>
        <v>29.505714498780094</v>
      </c>
      <c r="BG109" s="20">
        <f t="shared" si="61"/>
        <v>244.26460221870877</v>
      </c>
      <c r="BH109" s="59">
        <f t="shared" si="62"/>
        <v>523.25641580683782</v>
      </c>
      <c r="BI109" s="59">
        <f ca="1">AVERAGE(OFFSET($BH$3,0,0,'Données projet'!$E$11+1,1))-AVERAGE(OFFSET($H$3,0,0,'Données projet'!$E$11+1,1))</f>
        <v>456.35333554128226</v>
      </c>
      <c r="BJ109" s="59">
        <f t="shared" si="92"/>
        <v>296.4517290984877</v>
      </c>
      <c r="BK109" s="15">
        <f>IF(ISNA(VLOOKUP(A109,'Données projet'!$A$87:$I$107,3,0)),0,VLOOKUP(A109,'Données projet'!$A$87:$I$107,3,0))</f>
        <v>13</v>
      </c>
      <c r="BL109" s="15">
        <f>IF(ISNA(VLOOKUP(A109,'Données projet'!$A$87:$I$107,4,0)),0,VLOOKUP(A109,'Données projet'!$A$87:$I$107,4,0))</f>
        <v>131.46</v>
      </c>
      <c r="BM109" s="16">
        <f>IF(ISNA(VLOOKUP(A109,'Données projet'!$A$87:$I$107,5,0)),0%,VLOOKUP(A109,'Données projet'!$A$87:$I$107,5,0)*VLOOKUP('Données projet'!$B$11,Paramètres!$A$1:$I$89,7,0))</f>
        <v>0.19350000000000001</v>
      </c>
      <c r="BN109" s="16">
        <f>IF(ISNA(VLOOKUP(A109,'Données projet'!$A$87:$I$107,6,0)),0%,VLOOKUP(A109,'Données projet'!$A$87:$I$107,6,0)*VLOOKUP('Données projet'!$B$11,Paramètres!$A$1:$I$89,7,0))</f>
        <v>2.1500000000000002E-2</v>
      </c>
      <c r="BO109" s="16">
        <f>IF(ISNA(VLOOKUP(A109,'Données projet'!$A$87:$I$107,7,0)),0%,VLOOKUP(A109,'Données projet'!$A$87:$I$107,7,0))</f>
        <v>0.05</v>
      </c>
      <c r="BP109" s="21">
        <f>EXP(-LN(2)/35)*BP108+(1-EXP(-LN(2)/35))/(LN(2)/35)*BL109*BM109*VLOOKUP('Données projet'!$B$11,Paramètres!$A$1:$I$89,3,0)*0.475*44/12</f>
        <v>122.34155909294726</v>
      </c>
      <c r="BQ109" s="21">
        <f>EXP(-LN(2)/25)*BQ108+(1-EXP(-LN(2)/25))/(LN(2)/25)*Calculateur!BL109*Calculateur!BN109*VLOOKUP('Données projet'!$B$11,Paramètres!$A$1:$I$89,3,0)*0.475*44/12</f>
        <v>27.979819266328533</v>
      </c>
      <c r="BR109" s="21">
        <f>EXP(-LN(2)/2)*BR108+(1-EXP(-LN(2)/2))/(LN(2)/2)*BL109*BO109*VLOOKUP('Données projet'!$B$11,Paramètres!$A$1:$I$89,3,0)*0.475*44/12</f>
        <v>7.423023524961283</v>
      </c>
      <c r="BS109" s="22">
        <f t="shared" si="63"/>
        <v>157.74440188423708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8.7540000000000013</v>
      </c>
      <c r="BY109" s="12">
        <f>IF('Données projet'!$A$114&gt;35,BY108+BX109-CG108,IF(A109&lt;'Données projet'!$A$114,$BV$205^A109,IF(A109='Données projet'!$A$114,'Données projet'!$B$114,BY108+BX109-CG108)))</f>
        <v>329.90200000000016</v>
      </c>
      <c r="BZ109" s="13">
        <f>BY109*VLOOKUP('Données projet'!$B$12,Paramètres!$A$1:$I$89,3,0)*VLOOKUP('Données projet'!$B$12,Paramètres!$A$1:$I$89,5,0)</f>
        <v>313.93474320000013</v>
      </c>
      <c r="CA109" s="13">
        <f t="shared" si="93"/>
        <v>74.089956981068127</v>
      </c>
      <c r="CB109" s="20">
        <f t="shared" si="64"/>
        <v>675.80968614869391</v>
      </c>
      <c r="CC109" s="59">
        <f t="shared" si="65"/>
        <v>954.80149973682296</v>
      </c>
      <c r="CD109" s="59">
        <f ca="1">AVERAGE(OFFSET($CC$3,0,0,'Données projet'!$E$12+1,1))-AVERAGE(OFFSET($H$3,0,0,'Données projet'!$E$12+1,1))</f>
        <v>486.36097333679697</v>
      </c>
      <c r="CE109" s="59">
        <f t="shared" si="94"/>
        <v>308.47736602748159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25.175626799449191</v>
      </c>
      <c r="CL109" s="21">
        <f>EXP(-LN(2)/25)*CL108+(1-EXP(-LN(2)/25))/(LN(2)/25)*Calculateur!CG109*Calculateur!CI109*VLOOKUP('Données projet'!$B$12,Paramètres!$A$1:$I$89,3,0)*0.475*44/12</f>
        <v>23.486412265204557</v>
      </c>
      <c r="CM109" s="21">
        <f>EXP(-LN(2)/2)*CM108+(1-EXP(-LN(2)/2))/(LN(2)/2)*CG109*CJ109*VLOOKUP('Données projet'!$B$12,Paramètres!$A$1:$I$89,3,0)*0.475*44/12</f>
        <v>5.548859011916603</v>
      </c>
      <c r="CN109" s="22">
        <f t="shared" si="66"/>
        <v>54.210898076570352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279.24060689288149</v>
      </c>
      <c r="S110" s="59">
        <f ca="1">AVERAGE(OFFSET($R$3,0,0,'Données projet'!$E$9+1,1))-AVERAGE(OFFSET($H$3,0,0,'Données projet'!$E$9+1,1))</f>
        <v>407.05634973057056</v>
      </c>
      <c r="T110" s="59">
        <f t="shared" si="88"/>
        <v>375.32891954889965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10.840999999999998</v>
      </c>
      <c r="AI110" s="13">
        <f>IF('Données projet'!$A$62&gt;35,AI109+AH110-AQ109,IF(A110&lt;'Données projet'!$A$62,$AF$205^A110,IF(A110='Données projet'!$A$62,'Données projet'!$B$62,AI109+AH110-AQ109)))</f>
        <v>498.51700000000005</v>
      </c>
      <c r="AJ110" s="13">
        <f>AI110*VLOOKUP('Données projet'!$B$10,Paramètres!$A$1:$I$89,3,0)*VLOOKUP('Données projet'!$B$10,Paramètres!$A$1:$I$89,5,0)</f>
        <v>451.05818160000001</v>
      </c>
      <c r="AK110" s="13">
        <f t="shared" si="89"/>
        <v>102.05445295405619</v>
      </c>
      <c r="AL110" s="20">
        <f t="shared" si="58"/>
        <v>963.33783851498117</v>
      </c>
      <c r="AM110" s="59">
        <f t="shared" si="59"/>
        <v>1242.5784454078548</v>
      </c>
      <c r="AN110" s="59">
        <f ca="1">AVERAGE(OFFSET($AM$3,0,0,'Données projet'!$E$10+1,1))-AVERAGE(OFFSET($H$3,0,0,'Données projet'!$E$10+1,1))</f>
        <v>737.40414421611001</v>
      </c>
      <c r="AO110" s="59">
        <f t="shared" si="90"/>
        <v>245.32893490531674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44.882709066617572</v>
      </c>
      <c r="AV110" s="21">
        <f>EXP(-LN(2)/25)*AV109+(1-EXP(-LN(2)/25))/(LN(2)/25)*Calculateur!AQ110*Calculateur!AS110*VLOOKUP('Données projet'!$B$10,Paramètres!$A$1:$I$89,3,0)*0.475*44/12</f>
        <v>28.793991493426439</v>
      </c>
      <c r="AW110" s="21">
        <f>EXP(-LN(2)/2)*AW109+(1-EXP(-LN(2)/2))/(LN(2)/2)*AQ110*AT110*VLOOKUP('Données projet'!$B$10,Paramètres!$A$1:$I$89,3,0)*0.475*44/12</f>
        <v>1.7092912186204005E-2</v>
      </c>
      <c r="AX110" s="21">
        <f t="shared" si="60"/>
        <v>73.693793472230212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4.7884896048344674E-14</v>
      </c>
      <c r="BF110" s="13">
        <f t="shared" si="91"/>
        <v>7.8374629847779921E-13</v>
      </c>
      <c r="BG110" s="20">
        <f t="shared" si="61"/>
        <v>1.4484243304663672E-12</v>
      </c>
      <c r="BH110" s="59">
        <f t="shared" si="62"/>
        <v>279.24060689287506</v>
      </c>
      <c r="BI110" s="59">
        <f ca="1">AVERAGE(OFFSET($BH$3,0,0,'Données projet'!$E$11+1,1))-AVERAGE(OFFSET($H$3,0,0,'Données projet'!$E$11+1,1))</f>
        <v>456.35333554128226</v>
      </c>
      <c r="BJ110" s="59">
        <f t="shared" si="92"/>
        <v>296.4517290984877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119.9425157401174</v>
      </c>
      <c r="BQ110" s="21">
        <f>EXP(-LN(2)/25)*BQ109+(1-EXP(-LN(2)/25))/(LN(2)/25)*Calculateur!BL110*Calculateur!BN110*VLOOKUP('Données projet'!$B$11,Paramètres!$A$1:$I$89,3,0)*0.475*44/12</f>
        <v>27.214709637096032</v>
      </c>
      <c r="BR110" s="21">
        <f>EXP(-LN(2)/2)*BR109+(1-EXP(-LN(2)/2))/(LN(2)/2)*BL110*BO110*VLOOKUP('Données projet'!$B$11,Paramètres!$A$1:$I$89,3,0)*0.475*44/12</f>
        <v>5.2488702714073927</v>
      </c>
      <c r="BS110" s="22">
        <f t="shared" si="63"/>
        <v>152.40609564862081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8.7540000000000013</v>
      </c>
      <c r="BY110" s="12">
        <f>IF('Données projet'!$A$114&gt;35,BY109+BX110-CG109,IF(A110&lt;'Données projet'!$A$114,$BV$205^A110,IF(A110='Données projet'!$A$114,'Données projet'!$B$114,BY109+BX110-CG109)))</f>
        <v>338.65600000000018</v>
      </c>
      <c r="BZ110" s="13">
        <f>BY110*VLOOKUP('Données projet'!$B$12,Paramètres!$A$1:$I$89,3,0)*VLOOKUP('Données projet'!$B$12,Paramètres!$A$1:$I$89,5,0)</f>
        <v>322.26504960000017</v>
      </c>
      <c r="CA110" s="13">
        <f t="shared" si="93"/>
        <v>75.824447642126486</v>
      </c>
      <c r="CB110" s="20">
        <f t="shared" si="64"/>
        <v>693.33920769670385</v>
      </c>
      <c r="CC110" s="59">
        <f t="shared" si="65"/>
        <v>972.5798145895775</v>
      </c>
      <c r="CD110" s="59">
        <f ca="1">AVERAGE(OFFSET($CC$3,0,0,'Données projet'!$E$12+1,1))-AVERAGE(OFFSET($H$3,0,0,'Données projet'!$E$12+1,1))</f>
        <v>486.36097333679697</v>
      </c>
      <c r="CE110" s="59">
        <f t="shared" si="94"/>
        <v>308.47736602748159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24.681948113528097</v>
      </c>
      <c r="CL110" s="21">
        <f>EXP(-LN(2)/25)*CL109+(1-EXP(-LN(2)/25))/(LN(2)/25)*Calculateur!CG110*Calculateur!CI110*VLOOKUP('Données projet'!$B$12,Paramètres!$A$1:$I$89,3,0)*0.475*44/12</f>
        <v>22.844175086715797</v>
      </c>
      <c r="CM110" s="21">
        <f>EXP(-LN(2)/2)*CM109+(1-EXP(-LN(2)/2))/(LN(2)/2)*CG110*CJ110*VLOOKUP('Données projet'!$B$12,Paramètres!$A$1:$I$89,3,0)*0.475*44/12</f>
        <v>3.9236358351743159</v>
      </c>
      <c r="CN110" s="22">
        <f t="shared" si="66"/>
        <v>51.449759035418211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279.48508419000717</v>
      </c>
      <c r="S111" s="59">
        <f ca="1">AVERAGE(OFFSET($R$3,0,0,'Données projet'!$E$9+1,1))-AVERAGE(OFFSET($H$3,0,0,'Données projet'!$E$9+1,1))</f>
        <v>407.05634973057056</v>
      </c>
      <c r="T111" s="59">
        <f t="shared" si="88"/>
        <v>375.32891954889965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10.840999999999998</v>
      </c>
      <c r="AI111" s="13">
        <f>IF('Données projet'!$A$62&gt;35,AI110+AH111-AQ110,IF(A111&lt;'Données projet'!$A$62,$AF$205^A111,IF(A111='Données projet'!$A$62,'Données projet'!$B$62,AI110+AH111-AQ110)))</f>
        <v>509.35800000000006</v>
      </c>
      <c r="AJ111" s="13">
        <f>AI111*VLOOKUP('Données projet'!$B$10,Paramètres!$A$1:$I$89,3,0)*VLOOKUP('Données projet'!$B$10,Paramètres!$A$1:$I$89,5,0)</f>
        <v>460.86711840000004</v>
      </c>
      <c r="AK111" s="13">
        <f t="shared" si="89"/>
        <v>104.01298837243165</v>
      </c>
      <c r="AL111" s="20">
        <f t="shared" si="58"/>
        <v>983.83285262865172</v>
      </c>
      <c r="AM111" s="59">
        <f t="shared" si="59"/>
        <v>1263.3179368186511</v>
      </c>
      <c r="AN111" s="59">
        <f ca="1">AVERAGE(OFFSET($AM$3,0,0,'Données projet'!$E$10+1,1))-AVERAGE(OFFSET($H$3,0,0,'Données projet'!$E$10+1,1))</f>
        <v>737.40414421611001</v>
      </c>
      <c r="AO111" s="59">
        <f t="shared" si="90"/>
        <v>245.32893490531674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44.002586517570599</v>
      </c>
      <c r="AV111" s="21">
        <f>EXP(-LN(2)/25)*AV110+(1-EXP(-LN(2)/25))/(LN(2)/25)*Calculateur!AQ111*Calculateur!AS111*VLOOKUP('Données projet'!$B$10,Paramètres!$A$1:$I$89,3,0)*0.475*44/12</f>
        <v>28.006618281828491</v>
      </c>
      <c r="AW111" s="21">
        <f>EXP(-LN(2)/2)*AW110+(1-EXP(-LN(2)/2))/(LN(2)/2)*AQ111*AT111*VLOOKUP('Données projet'!$B$10,Paramètres!$A$1:$I$89,3,0)*0.475*44/12</f>
        <v>1.2086514117091027E-2</v>
      </c>
      <c r="AX111" s="21">
        <f t="shared" si="60"/>
        <v>72.021291313516173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4.7884896048344674E-14</v>
      </c>
      <c r="BF111" s="13">
        <f t="shared" si="91"/>
        <v>7.8374629847779921E-13</v>
      </c>
      <c r="BG111" s="20">
        <f t="shared" si="61"/>
        <v>1.4484243304663672E-12</v>
      </c>
      <c r="BH111" s="59">
        <f t="shared" si="62"/>
        <v>279.48508419000075</v>
      </c>
      <c r="BI111" s="59">
        <f ca="1">AVERAGE(OFFSET($BH$3,0,0,'Données projet'!$E$11+1,1))-AVERAGE(OFFSET($H$3,0,0,'Données projet'!$E$11+1,1))</f>
        <v>456.35333554128226</v>
      </c>
      <c r="BJ111" s="59">
        <f t="shared" si="92"/>
        <v>296.4517290984877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117.59051616416457</v>
      </c>
      <c r="BQ111" s="21">
        <f>EXP(-LN(2)/25)*BQ110+(1-EXP(-LN(2)/25))/(LN(2)/25)*Calculateur!BL111*Calculateur!BN111*VLOOKUP('Données projet'!$B$11,Paramètres!$A$1:$I$89,3,0)*0.475*44/12</f>
        <v>26.470521970910262</v>
      </c>
      <c r="BR111" s="21">
        <f>EXP(-LN(2)/2)*BR110+(1-EXP(-LN(2)/2))/(LN(2)/2)*BL111*BO111*VLOOKUP('Données projet'!$B$11,Paramètres!$A$1:$I$89,3,0)*0.475*44/12</f>
        <v>3.711511762480642</v>
      </c>
      <c r="BS111" s="22">
        <f t="shared" si="63"/>
        <v>147.77254989755548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8.7540000000000013</v>
      </c>
      <c r="BY111" s="12">
        <f>IF('Données projet'!$A$114&gt;35,BY110+BX111-CG110,IF(A111&lt;'Données projet'!$A$114,$BV$205^A111,IF(A111='Données projet'!$A$114,'Données projet'!$B$114,BY110+BX111-CG110)))</f>
        <v>347.4100000000002</v>
      </c>
      <c r="BZ111" s="13">
        <f>BY111*VLOOKUP('Données projet'!$B$12,Paramètres!$A$1:$I$89,3,0)*VLOOKUP('Données projet'!$B$12,Paramètres!$A$1:$I$89,5,0)</f>
        <v>330.59535600000015</v>
      </c>
      <c r="CA111" s="13">
        <f t="shared" si="93"/>
        <v>77.553726708555331</v>
      </c>
      <c r="CB111" s="20">
        <f t="shared" si="64"/>
        <v>710.85965238406754</v>
      </c>
      <c r="CC111" s="59">
        <f t="shared" si="65"/>
        <v>990.34473657406693</v>
      </c>
      <c r="CD111" s="59">
        <f ca="1">AVERAGE(OFFSET($CC$3,0,0,'Données projet'!$E$12+1,1))-AVERAGE(OFFSET($H$3,0,0,'Données projet'!$E$12+1,1))</f>
        <v>486.36097333679697</v>
      </c>
      <c r="CE111" s="59">
        <f t="shared" si="94"/>
        <v>308.47736602748159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24.19795016552365</v>
      </c>
      <c r="CL111" s="21">
        <f>EXP(-LN(2)/25)*CL110+(1-EXP(-LN(2)/25))/(LN(2)/25)*Calculateur!CG111*Calculateur!CI111*VLOOKUP('Données projet'!$B$12,Paramètres!$A$1:$I$89,3,0)*0.475*44/12</f>
        <v>22.219499917646598</v>
      </c>
      <c r="CM111" s="21">
        <f>EXP(-LN(2)/2)*CM110+(1-EXP(-LN(2)/2))/(LN(2)/2)*CG111*CJ111*VLOOKUP('Données projet'!$B$12,Paramètres!$A$1:$I$89,3,0)*0.475*44/12</f>
        <v>2.774429505958302</v>
      </c>
      <c r="CN111" s="22">
        <f t="shared" si="66"/>
        <v>49.191879589128554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279.72532035259712</v>
      </c>
      <c r="S112" s="59">
        <f ca="1">AVERAGE(OFFSET($R$3,0,0,'Données projet'!$E$9+1,1))-AVERAGE(OFFSET($H$3,0,0,'Données projet'!$E$9+1,1))</f>
        <v>407.05634973057056</v>
      </c>
      <c r="T112" s="59">
        <f t="shared" si="88"/>
        <v>375.32891954889965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10.840999999999998</v>
      </c>
      <c r="AI112" s="13">
        <f>IF('Données projet'!$A$62&gt;35,AI111+AH112-AQ111,IF(A112&lt;'Données projet'!$A$62,$AF$205^A112,IF(A112='Données projet'!$A$62,'Données projet'!$B$62,AI111+AH112-AQ111)))</f>
        <v>520.19900000000007</v>
      </c>
      <c r="AJ112" s="13">
        <f>AI112*VLOOKUP('Données projet'!$B$10,Paramètres!$A$1:$I$89,3,0)*VLOOKUP('Données projet'!$B$10,Paramètres!$A$1:$I$89,5,0)</f>
        <v>470.67605520000001</v>
      </c>
      <c r="AK112" s="13">
        <f t="shared" si="89"/>
        <v>105.96667729960197</v>
      </c>
      <c r="AL112" s="20">
        <f t="shared" si="58"/>
        <v>1004.3194257701401</v>
      </c>
      <c r="AM112" s="59">
        <f t="shared" si="59"/>
        <v>1284.0447461227295</v>
      </c>
      <c r="AN112" s="59">
        <f ca="1">AVERAGE(OFFSET($AM$3,0,0,'Données projet'!$E$10+1,1))-AVERAGE(OFFSET($H$3,0,0,'Données projet'!$E$10+1,1))</f>
        <v>737.40414421611001</v>
      </c>
      <c r="AO112" s="59">
        <f t="shared" si="90"/>
        <v>245.32893490531674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43.139722634888692</v>
      </c>
      <c r="AV112" s="21">
        <f>EXP(-LN(2)/25)*AV111+(1-EXP(-LN(2)/25))/(LN(2)/25)*Calculateur!AQ112*Calculateur!AS112*VLOOKUP('Données projet'!$B$10,Paramètres!$A$1:$I$89,3,0)*0.475*44/12</f>
        <v>27.240775832107847</v>
      </c>
      <c r="AW112" s="21">
        <f>EXP(-LN(2)/2)*AW111+(1-EXP(-LN(2)/2))/(LN(2)/2)*AQ112*AT112*VLOOKUP('Données projet'!$B$10,Paramètres!$A$1:$I$89,3,0)*0.475*44/12</f>
        <v>8.5464560931020027E-3</v>
      </c>
      <c r="AX112" s="21">
        <f t="shared" si="60"/>
        <v>70.389044923089642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4.7884896048344674E-14</v>
      </c>
      <c r="BF112" s="13">
        <f t="shared" si="91"/>
        <v>7.8374629847779921E-13</v>
      </c>
      <c r="BG112" s="20">
        <f t="shared" si="61"/>
        <v>1.4484243304663672E-12</v>
      </c>
      <c r="BH112" s="59">
        <f t="shared" si="62"/>
        <v>279.7253203525907</v>
      </c>
      <c r="BI112" s="59">
        <f ca="1">AVERAGE(OFFSET($BH$3,0,0,'Données projet'!$E$11+1,1))-AVERAGE(OFFSET($H$3,0,0,'Données projet'!$E$11+1,1))</f>
        <v>456.35333554128226</v>
      </c>
      <c r="BJ112" s="59">
        <f t="shared" si="92"/>
        <v>296.4517290984877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115.28463786531809</v>
      </c>
      <c r="BQ112" s="21">
        <f>EXP(-LN(2)/25)*BQ111+(1-EXP(-LN(2)/25))/(LN(2)/25)*Calculateur!BL112*Calculateur!BN112*VLOOKUP('Données projet'!$B$11,Paramètres!$A$1:$I$89,3,0)*0.475*44/12</f>
        <v>25.74668415559147</v>
      </c>
      <c r="BR112" s="21">
        <f>EXP(-LN(2)/2)*BR111+(1-EXP(-LN(2)/2))/(LN(2)/2)*BL112*BO112*VLOOKUP('Données projet'!$B$11,Paramètres!$A$1:$I$89,3,0)*0.475*44/12</f>
        <v>2.6244351357036968</v>
      </c>
      <c r="BS112" s="22">
        <f t="shared" si="63"/>
        <v>143.65575715661325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8.7540000000000013</v>
      </c>
      <c r="BY112" s="12">
        <f>IF('Données projet'!$A$114&gt;35,BY111+BX112-CG111,IF(A112&lt;'Données projet'!$A$114,$BV$205^A112,IF(A112='Données projet'!$A$114,'Données projet'!$B$114,BY111+BX112-CG111)))</f>
        <v>356.16400000000021</v>
      </c>
      <c r="BZ112" s="13">
        <f>BY112*VLOOKUP('Données projet'!$B$12,Paramètres!$A$1:$I$89,3,0)*VLOOKUP('Données projet'!$B$12,Paramètres!$A$1:$I$89,5,0)</f>
        <v>338.92566240000019</v>
      </c>
      <c r="CA112" s="13">
        <f t="shared" si="93"/>
        <v>79.27794060390417</v>
      </c>
      <c r="CB112" s="20">
        <f t="shared" si="64"/>
        <v>728.37127523180015</v>
      </c>
      <c r="CC112" s="59">
        <f t="shared" si="65"/>
        <v>1008.0965955843894</v>
      </c>
      <c r="CD112" s="59">
        <f ca="1">AVERAGE(OFFSET($CC$3,0,0,'Données projet'!$E$12+1,1))-AVERAGE(OFFSET($H$3,0,0,'Données projet'!$E$12+1,1))</f>
        <v>486.36097333679697</v>
      </c>
      <c r="CE112" s="59">
        <f t="shared" si="94"/>
        <v>308.47736602748159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23.723443122069973</v>
      </c>
      <c r="CL112" s="21">
        <f>EXP(-LN(2)/25)*CL111+(1-EXP(-LN(2)/25))/(LN(2)/25)*Calculateur!CG112*Calculateur!CI112*VLOOKUP('Données projet'!$B$12,Paramètres!$A$1:$I$89,3,0)*0.475*44/12</f>
        <v>21.611906523925835</v>
      </c>
      <c r="CM112" s="21">
        <f>EXP(-LN(2)/2)*CM111+(1-EXP(-LN(2)/2))/(LN(2)/2)*CG112*CJ112*VLOOKUP('Données projet'!$B$12,Paramètres!$A$1:$I$89,3,0)*0.475*44/12</f>
        <v>1.9618179175871584</v>
      </c>
      <c r="CN112" s="22">
        <f t="shared" si="66"/>
        <v>47.297167563582967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279.9613889548537</v>
      </c>
      <c r="S113" s="59">
        <f ca="1">AVERAGE(OFFSET($R$3,0,0,'Données projet'!$E$9+1,1))-AVERAGE(OFFSET($H$3,0,0,'Données projet'!$E$9+1,1))</f>
        <v>407.05634973057056</v>
      </c>
      <c r="T113" s="59">
        <f t="shared" si="88"/>
        <v>375.32891954889965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10.840999999999998</v>
      </c>
      <c r="AH113" s="12">
        <f t="array" ref="AH113">INDEX(AG:AG,MIN(IF(ISNUMBER(AG113:AG309),ROW(AG113:AG309),"")))</f>
        <v>10.840999999999998</v>
      </c>
      <c r="AI113" s="13">
        <f>IF('Données projet'!$A$62&gt;35,AI112+AH113-AQ112,IF(A113&lt;'Données projet'!$A$62,$AF$205^A113,IF(A113='Données projet'!$A$62,'Données projet'!$B$62,AI112+AH113-AQ112)))</f>
        <v>531.04000000000008</v>
      </c>
      <c r="AJ113" s="13">
        <f>AI113*VLOOKUP('Données projet'!$B$10,Paramètres!$A$1:$I$89,3,0)*VLOOKUP('Données projet'!$B$10,Paramètres!$A$1:$I$89,5,0)</f>
        <v>480.48499200000009</v>
      </c>
      <c r="AK113" s="13">
        <f t="shared" si="89"/>
        <v>107.9156323733046</v>
      </c>
      <c r="AL113" s="20">
        <f t="shared" si="58"/>
        <v>1024.7977541168391</v>
      </c>
      <c r="AM113" s="59">
        <f t="shared" si="59"/>
        <v>1304.759143071685</v>
      </c>
      <c r="AN113" s="59">
        <f ca="1">AVERAGE(OFFSET($AM$3,0,0,'Données projet'!$E$10+1,1))-AVERAGE(OFFSET($H$3,0,0,'Données projet'!$E$10+1,1))</f>
        <v>737.40414421611001</v>
      </c>
      <c r="AO113" s="59">
        <f t="shared" si="90"/>
        <v>245.32893490531674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73.299999999999955</v>
      </c>
      <c r="AR113" s="16">
        <f>IF(ISNA(VLOOKUP(A113,'Données projet'!$A$61:$I$81,5,0)),0%,VLOOKUP(A113,'Données projet'!$A$61:$I$81,5,0)*VLOOKUP('Données projet'!$B$10,Paramètres!$A$1:$I$89,7,0))</f>
        <v>0.215</v>
      </c>
      <c r="AS113" s="16">
        <f>IF(ISNA(VLOOKUP(A113,'Données projet'!$A$61:$I$81,6,0)),0%,VLOOKUP(A113,'Données projet'!$A$61:$I$81,6,0)*VLOOKUP('Données projet'!$B$10,Paramètres!$A$1:$I$89,7,0))</f>
        <v>8.6000000000000007E-2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58.056897358417743</v>
      </c>
      <c r="AV113" s="21">
        <f>EXP(-LN(2)/25)*AV112+(1-EXP(-LN(2)/25))/(LN(2)/25)*Calculateur!AQ113*Calculateur!AS113*VLOOKUP('Données projet'!$B$10,Paramètres!$A$1:$I$89,3,0)*0.475*44/12</f>
        <v>32.776296571855895</v>
      </c>
      <c r="AW113" s="21">
        <f>EXP(-LN(2)/2)*AW112+(1-EXP(-LN(2)/2))/(LN(2)/2)*AQ113*AT113*VLOOKUP('Données projet'!$B$10,Paramètres!$A$1:$I$89,3,0)*0.475*44/12</f>
        <v>6.0432570585455137E-3</v>
      </c>
      <c r="AX113" s="21">
        <f t="shared" si="60"/>
        <v>90.839237187332188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4.7884896048344674E-14</v>
      </c>
      <c r="BF113" s="13">
        <f t="shared" si="91"/>
        <v>7.8374629847779921E-13</v>
      </c>
      <c r="BG113" s="20">
        <f t="shared" si="61"/>
        <v>1.4484243304663672E-12</v>
      </c>
      <c r="BH113" s="59">
        <f t="shared" si="62"/>
        <v>279.96138895484728</v>
      </c>
      <c r="BI113" s="59">
        <f ca="1">AVERAGE(OFFSET($BH$3,0,0,'Données projet'!$E$11+1,1))-AVERAGE(OFFSET($H$3,0,0,'Données projet'!$E$11+1,1))</f>
        <v>456.35333554128226</v>
      </c>
      <c r="BJ113" s="59">
        <f t="shared" si="92"/>
        <v>296.4517290984877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113.02397643346511</v>
      </c>
      <c r="BQ113" s="21">
        <f>EXP(-LN(2)/25)*BQ112+(1-EXP(-LN(2)/25))/(LN(2)/25)*Calculateur!BL113*Calculateur!BN113*VLOOKUP('Données projet'!$B$11,Paramètres!$A$1:$I$89,3,0)*0.475*44/12</f>
        <v>25.042639723397546</v>
      </c>
      <c r="BR113" s="21">
        <f>EXP(-LN(2)/2)*BR112+(1-EXP(-LN(2)/2))/(LN(2)/2)*BL113*BO113*VLOOKUP('Données projet'!$B$11,Paramètres!$A$1:$I$89,3,0)*0.475*44/12</f>
        <v>1.8557558812403212</v>
      </c>
      <c r="BS113" s="22">
        <f t="shared" si="63"/>
        <v>139.92237203810299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8.7540000000000013</v>
      </c>
      <c r="BY113" s="12">
        <f>IF('Données projet'!$A$114&gt;35,BY112+BX113-CG112,IF(A113&lt;'Données projet'!$A$114,$BV$205^A113,IF(A113='Données projet'!$A$114,'Données projet'!$B$114,BY112+BX113-CG112)))</f>
        <v>364.91800000000023</v>
      </c>
      <c r="BZ113" s="13">
        <f>BY113*VLOOKUP('Données projet'!$B$12,Paramètres!$A$1:$I$89,3,0)*VLOOKUP('Données projet'!$B$12,Paramètres!$A$1:$I$89,5,0)</f>
        <v>347.25596880000023</v>
      </c>
      <c r="CA113" s="13">
        <f t="shared" si="93"/>
        <v>80.997228143628277</v>
      </c>
      <c r="CB113" s="20">
        <f t="shared" si="64"/>
        <v>745.87431801015293</v>
      </c>
      <c r="CC113" s="59">
        <f t="shared" si="65"/>
        <v>1025.8357069649987</v>
      </c>
      <c r="CD113" s="59">
        <f ca="1">AVERAGE(OFFSET($CC$3,0,0,'Données projet'!$E$12+1,1))-AVERAGE(OFFSET($H$3,0,0,'Données projet'!$E$12+1,1))</f>
        <v>486.36097333679697</v>
      </c>
      <c r="CE113" s="59">
        <f t="shared" si="94"/>
        <v>308.47736602748159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23.258240872317703</v>
      </c>
      <c r="CL113" s="21">
        <f>EXP(-LN(2)/25)*CL112+(1-EXP(-LN(2)/25))/(LN(2)/25)*Calculateur!CG113*Calculateur!CI113*VLOOKUP('Données projet'!$B$12,Paramètres!$A$1:$I$89,3,0)*0.475*44/12</f>
        <v>21.020927803508314</v>
      </c>
      <c r="CM113" s="21">
        <f>EXP(-LN(2)/2)*CM112+(1-EXP(-LN(2)/2))/(LN(2)/2)*CG113*CJ113*VLOOKUP('Données projet'!$B$12,Paramètres!$A$1:$I$89,3,0)*0.475*44/12</f>
        <v>1.3872147529791512</v>
      </c>
      <c r="CN113" s="22">
        <f t="shared" si="66"/>
        <v>45.666383428805162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280.19336229463141</v>
      </c>
      <c r="S114" s="59">
        <f ca="1">AVERAGE(OFFSET($R$3,0,0,'Données projet'!$E$9+1,1))-AVERAGE(OFFSET($H$3,0,0,'Données projet'!$E$9+1,1))</f>
        <v>407.05634973057056</v>
      </c>
      <c r="T114" s="59">
        <f t="shared" si="88"/>
        <v>375.32891954889965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10.725999999999999</v>
      </c>
      <c r="AI114" s="13">
        <f>IF('Données projet'!$A$62&gt;35,AI113+AH114-AQ113,IF(A114&lt;'Données projet'!$A$62,$AF$205^A114,IF(A114='Données projet'!$A$62,'Données projet'!$B$62,AI113+AH114-AQ113)))</f>
        <v>468.46600000000012</v>
      </c>
      <c r="AJ114" s="13">
        <f>AI114*VLOOKUP('Données projet'!$B$10,Paramètres!$A$1:$I$89,3,0)*VLOOKUP('Données projet'!$B$10,Paramètres!$A$1:$I$89,5,0)</f>
        <v>423.86803680000014</v>
      </c>
      <c r="AK114" s="13">
        <f t="shared" si="89"/>
        <v>96.59910072492606</v>
      </c>
      <c r="AL114" s="20">
        <f t="shared" si="58"/>
        <v>906.48026452257966</v>
      </c>
      <c r="AM114" s="59">
        <f t="shared" si="59"/>
        <v>1186.6736268172033</v>
      </c>
      <c r="AN114" s="59">
        <f ca="1">AVERAGE(OFFSET($AM$3,0,0,'Données projet'!$E$10+1,1))-AVERAGE(OFFSET($H$3,0,0,'Données projet'!$E$10+1,1))</f>
        <v>737.40414421611001</v>
      </c>
      <c r="AO114" s="59">
        <f t="shared" si="90"/>
        <v>245.32893490531674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56.91843701242999</v>
      </c>
      <c r="AV114" s="21">
        <f>EXP(-LN(2)/25)*AV113+(1-EXP(-LN(2)/25))/(LN(2)/25)*Calculateur!AQ114*Calculateur!AS114*VLOOKUP('Données projet'!$B$10,Paramètres!$A$1:$I$89,3,0)*0.475*44/12</f>
        <v>31.88002701846797</v>
      </c>
      <c r="AW114" s="21">
        <f>EXP(-LN(2)/2)*AW113+(1-EXP(-LN(2)/2))/(LN(2)/2)*AQ114*AT114*VLOOKUP('Données projet'!$B$10,Paramètres!$A$1:$I$89,3,0)*0.475*44/12</f>
        <v>4.2732280465510013E-3</v>
      </c>
      <c r="AX114" s="21">
        <f t="shared" si="60"/>
        <v>88.802737258944518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4.7884896048344674E-14</v>
      </c>
      <c r="BF114" s="13">
        <f t="shared" si="91"/>
        <v>7.8374629847779921E-13</v>
      </c>
      <c r="BG114" s="20">
        <f t="shared" si="61"/>
        <v>1.4484243304663672E-12</v>
      </c>
      <c r="BH114" s="59">
        <f t="shared" si="62"/>
        <v>280.19336229462499</v>
      </c>
      <c r="BI114" s="59">
        <f ca="1">AVERAGE(OFFSET($BH$3,0,0,'Données projet'!$E$11+1,1))-AVERAGE(OFFSET($H$3,0,0,'Données projet'!$E$11+1,1))</f>
        <v>456.35333554128226</v>
      </c>
      <c r="BJ114" s="59">
        <f t="shared" si="92"/>
        <v>296.4517290984877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110.80764519342344</v>
      </c>
      <c r="BQ114" s="21">
        <f>EXP(-LN(2)/25)*BQ113+(1-EXP(-LN(2)/25))/(LN(2)/25)*Calculateur!BL114*Calculateur!BN114*VLOOKUP('Données projet'!$B$11,Paramètres!$A$1:$I$89,3,0)*0.475*44/12</f>
        <v>24.357847423226051</v>
      </c>
      <c r="BR114" s="21">
        <f>EXP(-LN(2)/2)*BR113+(1-EXP(-LN(2)/2))/(LN(2)/2)*BL114*BO114*VLOOKUP('Données projet'!$B$11,Paramètres!$A$1:$I$89,3,0)*0.475*44/12</f>
        <v>1.3122175678518486</v>
      </c>
      <c r="BS114" s="22">
        <f t="shared" si="63"/>
        <v>136.47771018450135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8.7540000000000013</v>
      </c>
      <c r="BY114" s="12">
        <f>IF('Données projet'!$A$114&gt;35,BY113+BX114-CG113,IF(A114&lt;'Données projet'!$A$114,$BV$205^A114,IF(A114='Données projet'!$A$114,'Données projet'!$B$114,BY113+BX114-CG113)))</f>
        <v>373.67200000000025</v>
      </c>
      <c r="BZ114" s="13">
        <f>BY114*VLOOKUP('Données projet'!$B$12,Paramètres!$A$1:$I$89,3,0)*VLOOKUP('Données projet'!$B$12,Paramètres!$A$1:$I$89,5,0)</f>
        <v>355.58627520000022</v>
      </c>
      <c r="CA114" s="13">
        <f t="shared" si="93"/>
        <v>82.711721103289179</v>
      </c>
      <c r="CB114" s="20">
        <f t="shared" si="64"/>
        <v>763.36901022822894</v>
      </c>
      <c r="CC114" s="59">
        <f t="shared" si="65"/>
        <v>1043.5623725228525</v>
      </c>
      <c r="CD114" s="59">
        <f ca="1">AVERAGE(OFFSET($CC$3,0,0,'Données projet'!$E$12+1,1))-AVERAGE(OFFSET($H$3,0,0,'Données projet'!$E$12+1,1))</f>
        <v>486.36097333679697</v>
      </c>
      <c r="CE114" s="59">
        <f t="shared" si="94"/>
        <v>308.47736602748159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22.802160954937722</v>
      </c>
      <c r="CL114" s="21">
        <f>EXP(-LN(2)/25)*CL113+(1-EXP(-LN(2)/25))/(LN(2)/25)*Calculateur!CG114*Calculateur!CI114*VLOOKUP('Données projet'!$B$12,Paramètres!$A$1:$I$89,3,0)*0.475*44/12</f>
        <v>20.446109427278831</v>
      </c>
      <c r="CM114" s="21">
        <f>EXP(-LN(2)/2)*CM113+(1-EXP(-LN(2)/2))/(LN(2)/2)*CG114*CJ114*VLOOKUP('Données projet'!$B$12,Paramètres!$A$1:$I$89,3,0)*0.475*44/12</f>
        <v>0.98090895879357931</v>
      </c>
      <c r="CN114" s="22">
        <f t="shared" si="66"/>
        <v>44.229179341010131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280.42131141557871</v>
      </c>
      <c r="S115" s="59">
        <f ca="1">AVERAGE(OFFSET($R$3,0,0,'Données projet'!$E$9+1,1))-AVERAGE(OFFSET($H$3,0,0,'Données projet'!$E$9+1,1))</f>
        <v>407.05634973057056</v>
      </c>
      <c r="T115" s="59">
        <f t="shared" si="88"/>
        <v>375.32891954889965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10.725999999999999</v>
      </c>
      <c r="AI115" s="13">
        <f>IF('Données projet'!$A$62&gt;35,AI114+AH115-AQ114,IF(A115&lt;'Données projet'!$A$62,$AF$205^A115,IF(A115='Données projet'!$A$62,'Données projet'!$B$62,AI114+AH115-AQ114)))</f>
        <v>479.19200000000012</v>
      </c>
      <c r="AJ115" s="13">
        <f>AI115*VLOOKUP('Données projet'!$B$10,Paramètres!$A$1:$I$89,3,0)*VLOOKUP('Données projet'!$B$10,Paramètres!$A$1:$I$89,5,0)</f>
        <v>433.57292160000009</v>
      </c>
      <c r="AK115" s="13">
        <f t="shared" si="89"/>
        <v>98.550806203987747</v>
      </c>
      <c r="AL115" s="20">
        <f t="shared" si="58"/>
        <v>926.78215925861196</v>
      </c>
      <c r="AM115" s="59">
        <f t="shared" si="59"/>
        <v>1207.2034706741829</v>
      </c>
      <c r="AN115" s="59">
        <f ca="1">AVERAGE(OFFSET($AM$3,0,0,'Données projet'!$E$10+1,1))-AVERAGE(OFFSET($H$3,0,0,'Données projet'!$E$10+1,1))</f>
        <v>737.40414421611001</v>
      </c>
      <c r="AO115" s="59">
        <f t="shared" si="90"/>
        <v>245.32893490531674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55.802301179434814</v>
      </c>
      <c r="AV115" s="21">
        <f>EXP(-LN(2)/25)*AV114+(1-EXP(-LN(2)/25))/(LN(2)/25)*Calculateur!AQ115*Calculateur!AS115*VLOOKUP('Données projet'!$B$10,Paramètres!$A$1:$I$89,3,0)*0.475*44/12</f>
        <v>31.008266003150204</v>
      </c>
      <c r="AW115" s="21">
        <f>EXP(-LN(2)/2)*AW114+(1-EXP(-LN(2)/2))/(LN(2)/2)*AQ115*AT115*VLOOKUP('Données projet'!$B$10,Paramètres!$A$1:$I$89,3,0)*0.475*44/12</f>
        <v>3.0216285292727569E-3</v>
      </c>
      <c r="AX115" s="21">
        <f t="shared" si="60"/>
        <v>86.813588811114286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4.7884896048344674E-14</v>
      </c>
      <c r="BF115" s="13">
        <f t="shared" si="91"/>
        <v>7.8374629847779921E-13</v>
      </c>
      <c r="BG115" s="20">
        <f t="shared" si="61"/>
        <v>1.4484243304663672E-12</v>
      </c>
      <c r="BH115" s="59">
        <f t="shared" si="62"/>
        <v>280.42131141557229</v>
      </c>
      <c r="BI115" s="59">
        <f ca="1">AVERAGE(OFFSET($BH$3,0,0,'Données projet'!$E$11+1,1))-AVERAGE(OFFSET($H$3,0,0,'Données projet'!$E$11+1,1))</f>
        <v>456.35333554128226</v>
      </c>
      <c r="BJ115" s="59">
        <f t="shared" si="92"/>
        <v>296.4517290984877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108.63477485717041</v>
      </c>
      <c r="BQ115" s="21">
        <f>EXP(-LN(2)/25)*BQ114+(1-EXP(-LN(2)/25))/(LN(2)/25)*Calculateur!BL115*Calculateur!BN115*VLOOKUP('Données projet'!$B$11,Paramètres!$A$1:$I$89,3,0)*0.475*44/12</f>
        <v>23.691780804514408</v>
      </c>
      <c r="BR115" s="21">
        <f>EXP(-LN(2)/2)*BR114+(1-EXP(-LN(2)/2))/(LN(2)/2)*BL115*BO115*VLOOKUP('Données projet'!$B$11,Paramètres!$A$1:$I$89,3,0)*0.475*44/12</f>
        <v>0.92787794062016071</v>
      </c>
      <c r="BS115" s="22">
        <f t="shared" si="63"/>
        <v>133.254433602305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8.7540000000000013</v>
      </c>
      <c r="BY115" s="12">
        <f>IF('Données projet'!$A$114&gt;35,BY114+BX115-CG114,IF(A115&lt;'Données projet'!$A$114,$BV$205^A115,IF(A115='Données projet'!$A$114,'Données projet'!$B$114,BY114+BX115-CG114)))</f>
        <v>382.42600000000027</v>
      </c>
      <c r="BZ115" s="13">
        <f>BY115*VLOOKUP('Données projet'!$B$12,Paramètres!$A$1:$I$89,3,0)*VLOOKUP('Données projet'!$B$12,Paramètres!$A$1:$I$89,5,0)</f>
        <v>363.91658160000026</v>
      </c>
      <c r="CA115" s="13">
        <f t="shared" si="93"/>
        <v>84.421544732010858</v>
      </c>
      <c r="CB115" s="20">
        <f t="shared" si="64"/>
        <v>780.85557002825271</v>
      </c>
      <c r="CC115" s="59">
        <f t="shared" si="65"/>
        <v>1061.2768814438236</v>
      </c>
      <c r="CD115" s="59">
        <f ca="1">AVERAGE(OFFSET($CC$3,0,0,'Données projet'!$E$12+1,1))-AVERAGE(OFFSET($H$3,0,0,'Données projet'!$E$12+1,1))</f>
        <v>486.36097333679697</v>
      </c>
      <c r="CE115" s="59">
        <f t="shared" si="94"/>
        <v>308.47736602748159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22.355024486556282</v>
      </c>
      <c r="CL115" s="21">
        <f>EXP(-LN(2)/25)*CL114+(1-EXP(-LN(2)/25))/(LN(2)/25)*Calculateur!CG115*Calculateur!CI115*VLOOKUP('Données projet'!$B$12,Paramètres!$A$1:$I$89,3,0)*0.475*44/12</f>
        <v>19.887009489775728</v>
      </c>
      <c r="CM115" s="21">
        <f>EXP(-LN(2)/2)*CM114+(1-EXP(-LN(2)/2))/(LN(2)/2)*CG115*CJ115*VLOOKUP('Données projet'!$B$12,Paramètres!$A$1:$I$89,3,0)*0.475*44/12</f>
        <v>0.69360737648957571</v>
      </c>
      <c r="CN115" s="22">
        <f t="shared" si="66"/>
        <v>42.935641352821584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280.64530612889547</v>
      </c>
      <c r="S116" s="59">
        <f ca="1">AVERAGE(OFFSET($R$3,0,0,'Données projet'!$E$9+1,1))-AVERAGE(OFFSET($H$3,0,0,'Données projet'!$E$9+1,1))</f>
        <v>407.05634973057056</v>
      </c>
      <c r="T116" s="59">
        <f t="shared" si="88"/>
        <v>375.32891954889965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10.725999999999999</v>
      </c>
      <c r="AI116" s="13">
        <f>IF('Données projet'!$A$62&gt;35,AI115+AH116-AQ115,IF(A116&lt;'Données projet'!$A$62,$AF$205^A116,IF(A116='Données projet'!$A$62,'Données projet'!$B$62,AI115+AH116-AQ115)))</f>
        <v>489.91800000000012</v>
      </c>
      <c r="AJ116" s="13">
        <f>AI116*VLOOKUP('Données projet'!$B$10,Paramètres!$A$1:$I$89,3,0)*VLOOKUP('Données projet'!$B$10,Paramètres!$A$1:$I$89,5,0)</f>
        <v>443.27780640000015</v>
      </c>
      <c r="AK116" s="13">
        <f t="shared" si="89"/>
        <v>100.49743280031032</v>
      </c>
      <c r="AL116" s="20">
        <f t="shared" si="58"/>
        <v>947.07520827387407</v>
      </c>
      <c r="AM116" s="59">
        <f t="shared" si="59"/>
        <v>1227.7205144027616</v>
      </c>
      <c r="AN116" s="59">
        <f ca="1">AVERAGE(OFFSET($AM$3,0,0,'Données projet'!$E$10+1,1))-AVERAGE(OFFSET($H$3,0,0,'Données projet'!$E$10+1,1))</f>
        <v>737.40414421611001</v>
      </c>
      <c r="AO116" s="59">
        <f t="shared" si="90"/>
        <v>245.32893490531674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54.708052089349039</v>
      </c>
      <c r="AV116" s="21">
        <f>EXP(-LN(2)/25)*AV115+(1-EXP(-LN(2)/25))/(LN(2)/25)*Calculateur!AQ116*Calculateur!AS116*VLOOKUP('Données projet'!$B$10,Paramètres!$A$1:$I$89,3,0)*0.475*44/12</f>
        <v>30.160343338640224</v>
      </c>
      <c r="AW116" s="21">
        <f>EXP(-LN(2)/2)*AW115+(1-EXP(-LN(2)/2))/(LN(2)/2)*AQ116*AT116*VLOOKUP('Données projet'!$B$10,Paramètres!$A$1:$I$89,3,0)*0.475*44/12</f>
        <v>2.1366140232755007E-3</v>
      </c>
      <c r="AX116" s="21">
        <f t="shared" si="60"/>
        <v>84.870532042012542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4.7884896048344674E-14</v>
      </c>
      <c r="BF116" s="13">
        <f t="shared" si="91"/>
        <v>7.8374629847779921E-13</v>
      </c>
      <c r="BG116" s="20">
        <f t="shared" si="61"/>
        <v>1.4484243304663672E-12</v>
      </c>
      <c r="BH116" s="59">
        <f t="shared" si="62"/>
        <v>280.64530612888905</v>
      </c>
      <c r="BI116" s="59">
        <f ca="1">AVERAGE(OFFSET($BH$3,0,0,'Données projet'!$E$11+1,1))-AVERAGE(OFFSET($H$3,0,0,'Données projet'!$E$11+1,1))</f>
        <v>456.35333554128226</v>
      </c>
      <c r="BJ116" s="59">
        <f t="shared" si="92"/>
        <v>296.4517290984877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106.50451318289127</v>
      </c>
      <c r="BQ116" s="21">
        <f>EXP(-LN(2)/25)*BQ115+(1-EXP(-LN(2)/25))/(LN(2)/25)*Calculateur!BL116*Calculateur!BN116*VLOOKUP('Données projet'!$B$11,Paramètres!$A$1:$I$89,3,0)*0.475*44/12</f>
        <v>23.043927812518358</v>
      </c>
      <c r="BR116" s="21">
        <f>EXP(-LN(2)/2)*BR115+(1-EXP(-LN(2)/2))/(LN(2)/2)*BL116*BO116*VLOOKUP('Données projet'!$B$11,Paramètres!$A$1:$I$89,3,0)*0.475*44/12</f>
        <v>0.65610878392592431</v>
      </c>
      <c r="BS116" s="22">
        <f t="shared" si="63"/>
        <v>130.20454977933557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391.18</v>
      </c>
      <c r="BW116" s="12">
        <f>VLOOKUP(A116,'Données projet'!$A$113:$I$133,9,0)</f>
        <v>8.7540000000000013</v>
      </c>
      <c r="BX116" s="12">
        <f t="array" ref="BX116">INDEX(BW:BW,MIN(IF(ISNUMBER(BW116:BW312),ROW(BW116:BW312),"")))</f>
        <v>8.7540000000000013</v>
      </c>
      <c r="BY116" s="12">
        <f>IF('Données projet'!$A$114&gt;35,BY115+BX116-CG115,IF(A116&lt;'Données projet'!$A$114,$BV$205^A116,IF(A116='Données projet'!$A$114,'Données projet'!$B$114,BY115+BX116-CG115)))</f>
        <v>391.18000000000029</v>
      </c>
      <c r="BZ116" s="13">
        <f>BY116*VLOOKUP('Données projet'!$B$12,Paramètres!$A$1:$I$89,3,0)*VLOOKUP('Données projet'!$B$12,Paramètres!$A$1:$I$89,5,0)</f>
        <v>372.2468880000003</v>
      </c>
      <c r="CA116" s="13">
        <f t="shared" si="93"/>
        <v>86.126818217596863</v>
      </c>
      <c r="CB116" s="20">
        <f t="shared" si="64"/>
        <v>798.33420499564829</v>
      </c>
      <c r="CC116" s="59">
        <f t="shared" si="65"/>
        <v>1078.979511124536</v>
      </c>
      <c r="CD116" s="59">
        <f ca="1">AVERAGE(OFFSET($CC$3,0,0,'Données projet'!$E$12+1,1))-AVERAGE(OFFSET($H$3,0,0,'Données projet'!$E$12+1,1))</f>
        <v>486.36097333679697</v>
      </c>
      <c r="CE116" s="59">
        <f t="shared" si="94"/>
        <v>308.47736602748159</v>
      </c>
      <c r="CF116" s="15">
        <f>IF(ISNA(VLOOKUP(A116,'Données projet'!$A$113:$I$133,3,0)),0,VLOOKUP(A116,'Données projet'!$A$113:$I$133,3,0))</f>
        <v>10</v>
      </c>
      <c r="CG116" s="15">
        <f>IF(ISNA(VLOOKUP(A116,'Données projet'!$A$113:$I$133,4,0)),0,VLOOKUP(A116,'Données projet'!$A$113:$I$133,4,0))</f>
        <v>68.670000000000016</v>
      </c>
      <c r="CH116" s="16">
        <f>IF(ISNA(VLOOKUP(A116,'Données projet'!$A$113:$I$133,5,0)),0%,VLOOKUP(A116,'Données projet'!$A$113:$I$133,5,0)*VLOOKUP('Données projet'!$B$12,Paramètres!$A$1:$I$89,7,0))</f>
        <v>0.1075</v>
      </c>
      <c r="CI116" s="16">
        <f>IF(ISNA(VLOOKUP(A116,'Données projet'!$A$113:$I$133,6,0)),0%,VLOOKUP(A116,'Données projet'!$A$113:$I$133,6,0)*VLOOKUP('Données projet'!$B$12,Paramètres!$A$1:$I$89,7,0))</f>
        <v>0.1075</v>
      </c>
      <c r="CJ116" s="16">
        <f>IF(ISNA(VLOOKUP(A116,'Données projet'!$A$113:$I$133,7,0)),0%,VLOOKUP(A116,'Données projet'!$A$113:$I$133,7,0))</f>
        <v>0.25</v>
      </c>
      <c r="CK116" s="21">
        <f>EXP(-LN(2)/35)*CK115+(1-EXP(-LN(2)/35))/(LN(2)/35)*CG116*CH116*VLOOKUP('Données projet'!$B$12,Paramètres!$A$1:$I$89,3,0)*0.475*44/12</f>
        <v>29.682292547107181</v>
      </c>
      <c r="CL116" s="21">
        <f>EXP(-LN(2)/25)*CL115+(1-EXP(-LN(2)/25))/(LN(2)/25)*Calculateur!CG116*Calculateur!CI116*VLOOKUP('Données projet'!$B$12,Paramètres!$A$1:$I$89,3,0)*0.475*44/12</f>
        <v>27.078258355314308</v>
      </c>
      <c r="CM116" s="21">
        <f>EXP(-LN(2)/2)*CM115+(1-EXP(-LN(2)/2))/(LN(2)/2)*CG116*CJ116*VLOOKUP('Données projet'!$B$12,Paramètres!$A$1:$I$89,3,0)*0.475*44/12</f>
        <v>15.904469667850778</v>
      </c>
      <c r="CN116" s="22">
        <f t="shared" si="66"/>
        <v>72.665020570272262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280.86541503471329</v>
      </c>
      <c r="S117" s="59">
        <f ca="1">AVERAGE(OFFSET($R$3,0,0,'Données projet'!$E$9+1,1))-AVERAGE(OFFSET($H$3,0,0,'Données projet'!$E$9+1,1))</f>
        <v>407.05634973057056</v>
      </c>
      <c r="T117" s="59">
        <f t="shared" si="88"/>
        <v>375.32891954889965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10.725999999999999</v>
      </c>
      <c r="AI117" s="13">
        <f>IF('Données projet'!$A$62&gt;35,AI116+AH117-AQ116,IF(A117&lt;'Données projet'!$A$62,$AF$205^A117,IF(A117='Données projet'!$A$62,'Données projet'!$B$62,AI116+AH117-AQ116)))</f>
        <v>500.64400000000012</v>
      </c>
      <c r="AJ117" s="13">
        <f>AI117*VLOOKUP('Données projet'!$B$10,Paramètres!$A$1:$I$89,3,0)*VLOOKUP('Données projet'!$B$10,Paramètres!$A$1:$I$89,5,0)</f>
        <v>452.98269120000009</v>
      </c>
      <c r="AK117" s="13">
        <f t="shared" si="89"/>
        <v>102.43910451319562</v>
      </c>
      <c r="AL117" s="20">
        <f t="shared" si="58"/>
        <v>967.35962753381591</v>
      </c>
      <c r="AM117" s="59">
        <f t="shared" si="59"/>
        <v>1248.2250425685213</v>
      </c>
      <c r="AN117" s="59">
        <f ca="1">AVERAGE(OFFSET($AM$3,0,0,'Données projet'!$E$10+1,1))-AVERAGE(OFFSET($H$3,0,0,'Données projet'!$E$10+1,1))</f>
        <v>737.40414421611001</v>
      </c>
      <c r="AO117" s="59">
        <f t="shared" si="90"/>
        <v>245.32893490531674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53.635260556493805</v>
      </c>
      <c r="AV117" s="21">
        <f>EXP(-LN(2)/25)*AV116+(1-EXP(-LN(2)/25))/(LN(2)/25)*Calculateur!AQ117*Calculateur!AS117*VLOOKUP('Données projet'!$B$10,Paramètres!$A$1:$I$89,3,0)*0.475*44/12</f>
        <v>29.335607163981585</v>
      </c>
      <c r="AW117" s="21">
        <f>EXP(-LN(2)/2)*AW116+(1-EXP(-LN(2)/2))/(LN(2)/2)*AQ117*AT117*VLOOKUP('Données projet'!$B$10,Paramètres!$A$1:$I$89,3,0)*0.475*44/12</f>
        <v>1.5108142646363784E-3</v>
      </c>
      <c r="AX117" s="21">
        <f t="shared" si="60"/>
        <v>82.972378534740017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4.7884896048344674E-14</v>
      </c>
      <c r="BF117" s="13">
        <f t="shared" si="91"/>
        <v>7.8374629847779921E-13</v>
      </c>
      <c r="BG117" s="20">
        <f t="shared" si="61"/>
        <v>1.4484243304663672E-12</v>
      </c>
      <c r="BH117" s="59">
        <f t="shared" si="62"/>
        <v>280.86541503470687</v>
      </c>
      <c r="BI117" s="59">
        <f ca="1">AVERAGE(OFFSET($BH$3,0,0,'Données projet'!$E$11+1,1))-AVERAGE(OFFSET($H$3,0,0,'Données projet'!$E$11+1,1))</f>
        <v>456.35333554128226</v>
      </c>
      <c r="BJ117" s="59">
        <f t="shared" si="92"/>
        <v>296.4517290984877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104.41602464071342</v>
      </c>
      <c r="BQ117" s="21">
        <f>EXP(-LN(2)/25)*BQ116+(1-EXP(-LN(2)/25))/(LN(2)/25)*Calculateur!BL117*Calculateur!BN117*VLOOKUP('Données projet'!$B$11,Paramètres!$A$1:$I$89,3,0)*0.475*44/12</f>
        <v>22.413790394657546</v>
      </c>
      <c r="BR117" s="21">
        <f>EXP(-LN(2)/2)*BR116+(1-EXP(-LN(2)/2))/(LN(2)/2)*BL117*BO117*VLOOKUP('Données projet'!$B$11,Paramètres!$A$1:$I$89,3,0)*0.475*44/12</f>
        <v>0.46393897031008036</v>
      </c>
      <c r="BS117" s="22">
        <f t="shared" si="63"/>
        <v>127.29375400568104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8.7019999999999982</v>
      </c>
      <c r="BY117" s="12">
        <f>IF('Données projet'!$A$114&gt;35,BY116+BX117-CG116,IF(A117&lt;'Données projet'!$A$114,$BV$205^A117,IF(A117='Données projet'!$A$114,'Données projet'!$B$114,BY116+BX117-CG116)))</f>
        <v>331.21200000000027</v>
      </c>
      <c r="BZ117" s="13">
        <f>BY117*VLOOKUP('Données projet'!$B$12,Paramètres!$A$1:$I$89,3,0)*VLOOKUP('Données projet'!$B$12,Paramètres!$A$1:$I$89,5,0)</f>
        <v>315.18133920000031</v>
      </c>
      <c r="CA117" s="13">
        <f t="shared" si="93"/>
        <v>74.349853920870757</v>
      </c>
      <c r="CB117" s="20">
        <f t="shared" si="64"/>
        <v>678.43349468551708</v>
      </c>
      <c r="CC117" s="59">
        <f t="shared" si="65"/>
        <v>959.29890972022258</v>
      </c>
      <c r="CD117" s="59">
        <f ca="1">AVERAGE(OFFSET($CC$3,0,0,'Données projet'!$E$12+1,1))-AVERAGE(OFFSET($H$3,0,0,'Données projet'!$E$12+1,1))</f>
        <v>486.36097333679697</v>
      </c>
      <c r="CE117" s="59">
        <f t="shared" si="94"/>
        <v>308.47736602748159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29.100240894669202</v>
      </c>
      <c r="CL117" s="21">
        <f>EXP(-LN(2)/25)*CL116+(1-EXP(-LN(2)/25))/(LN(2)/25)*Calculateur!CG117*Calculateur!CI117*VLOOKUP('Données projet'!$B$12,Paramètres!$A$1:$I$89,3,0)*0.475*44/12</f>
        <v>26.337801956604519</v>
      </c>
      <c r="CM117" s="21">
        <f>EXP(-LN(2)/2)*CM116+(1-EXP(-LN(2)/2))/(LN(2)/2)*CG117*CJ117*VLOOKUP('Données projet'!$B$12,Paramètres!$A$1:$I$89,3,0)*0.475*44/12</f>
        <v>11.246158353313042</v>
      </c>
      <c r="CN117" s="22">
        <f t="shared" si="66"/>
        <v>66.68420120458677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281.0817055431051</v>
      </c>
      <c r="S118" s="59">
        <f ca="1">AVERAGE(OFFSET($R$3,0,0,'Données projet'!$E$9+1,1))-AVERAGE(OFFSET($H$3,0,0,'Données projet'!$E$9+1,1))</f>
        <v>407.05634973057056</v>
      </c>
      <c r="T118" s="59">
        <f t="shared" si="88"/>
        <v>375.32891954889965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10.725999999999999</v>
      </c>
      <c r="AI118" s="13">
        <f>IF('Données projet'!$A$62&gt;35,AI117+AH118-AQ117,IF(A118&lt;'Données projet'!$A$62,$AF$205^A118,IF(A118='Données projet'!$A$62,'Données projet'!$B$62,AI117+AH118-AQ117)))</f>
        <v>511.37000000000012</v>
      </c>
      <c r="AJ118" s="13">
        <f>AI118*VLOOKUP('Données projet'!$B$10,Paramètres!$A$1:$I$89,3,0)*VLOOKUP('Données projet'!$B$10,Paramètres!$A$1:$I$89,5,0)</f>
        <v>462.68757600000015</v>
      </c>
      <c r="AK118" s="13">
        <f t="shared" si="89"/>
        <v>104.37593972520772</v>
      </c>
      <c r="AL118" s="20">
        <f t="shared" si="58"/>
        <v>987.63562322140353</v>
      </c>
      <c r="AM118" s="59">
        <f t="shared" si="59"/>
        <v>1268.7173287645007</v>
      </c>
      <c r="AN118" s="59">
        <f ca="1">AVERAGE(OFFSET($AM$3,0,0,'Données projet'!$E$10+1,1))-AVERAGE(OFFSET($H$3,0,0,'Données projet'!$E$10+1,1))</f>
        <v>737.40414421611001</v>
      </c>
      <c r="AO118" s="59">
        <f t="shared" si="90"/>
        <v>245.32893490531674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52.583505811259634</v>
      </c>
      <c r="AV118" s="21">
        <f>EXP(-LN(2)/25)*AV117+(1-EXP(-LN(2)/25))/(LN(2)/25)*Calculateur!AQ118*Calculateur!AS118*VLOOKUP('Données projet'!$B$10,Paramètres!$A$1:$I$89,3,0)*0.475*44/12</f>
        <v>28.533423443389974</v>
      </c>
      <c r="AW118" s="21">
        <f>EXP(-LN(2)/2)*AW117+(1-EXP(-LN(2)/2))/(LN(2)/2)*AQ118*AT118*VLOOKUP('Données projet'!$B$10,Paramètres!$A$1:$I$89,3,0)*0.475*44/12</f>
        <v>1.0683070116377503E-3</v>
      </c>
      <c r="AX118" s="21">
        <f t="shared" si="60"/>
        <v>81.117997561661241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4.7884896048344674E-14</v>
      </c>
      <c r="BF118" s="13">
        <f t="shared" si="91"/>
        <v>7.8374629847779921E-13</v>
      </c>
      <c r="BG118" s="20">
        <f t="shared" si="61"/>
        <v>1.4484243304663672E-12</v>
      </c>
      <c r="BH118" s="59">
        <f t="shared" si="62"/>
        <v>281.08170554309868</v>
      </c>
      <c r="BI118" s="59">
        <f ca="1">AVERAGE(OFFSET($BH$3,0,0,'Données projet'!$E$11+1,1))-AVERAGE(OFFSET($H$3,0,0,'Données projet'!$E$11+1,1))</f>
        <v>456.35333554128226</v>
      </c>
      <c r="BJ118" s="59">
        <f t="shared" si="92"/>
        <v>296.4517290984877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102.36849008499544</v>
      </c>
      <c r="BQ118" s="21">
        <f>EXP(-LN(2)/25)*BQ117+(1-EXP(-LN(2)/25))/(LN(2)/25)*Calculateur!BL118*Calculateur!BN118*VLOOKUP('Données projet'!$B$11,Paramètres!$A$1:$I$89,3,0)*0.475*44/12</f>
        <v>21.800884117625625</v>
      </c>
      <c r="BR118" s="21">
        <f>EXP(-LN(2)/2)*BR117+(1-EXP(-LN(2)/2))/(LN(2)/2)*BL118*BO118*VLOOKUP('Données projet'!$B$11,Paramètres!$A$1:$I$89,3,0)*0.475*44/12</f>
        <v>0.32805439196296216</v>
      </c>
      <c r="BS118" s="22">
        <f t="shared" si="63"/>
        <v>124.49742859458404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8.7019999999999982</v>
      </c>
      <c r="BY118" s="12">
        <f>IF('Données projet'!$A$114&gt;35,BY117+BX118-CG117,IF(A118&lt;'Données projet'!$A$114,$BV$205^A118,IF(A118='Données projet'!$A$114,'Données projet'!$B$114,BY117+BX118-CG117)))</f>
        <v>339.91400000000027</v>
      </c>
      <c r="BZ118" s="13">
        <f>BY118*VLOOKUP('Données projet'!$B$12,Paramètres!$A$1:$I$89,3,0)*VLOOKUP('Données projet'!$B$12,Paramètres!$A$1:$I$89,5,0)</f>
        <v>323.46216240000024</v>
      </c>
      <c r="CA118" s="13">
        <f t="shared" si="93"/>
        <v>76.073272094226141</v>
      </c>
      <c r="CB118" s="20">
        <f t="shared" si="64"/>
        <v>695.85754841077744</v>
      </c>
      <c r="CC118" s="59">
        <f t="shared" si="65"/>
        <v>976.93925395387464</v>
      </c>
      <c r="CD118" s="59">
        <f ca="1">AVERAGE(OFFSET($CC$3,0,0,'Données projet'!$E$12+1,1))-AVERAGE(OFFSET($H$3,0,0,'Données projet'!$E$12+1,1))</f>
        <v>486.36097333679697</v>
      </c>
      <c r="CE118" s="59">
        <f t="shared" si="94"/>
        <v>308.47736602748159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28.529602920119078</v>
      </c>
      <c r="CL118" s="21">
        <f>EXP(-LN(2)/25)*CL117+(1-EXP(-LN(2)/25))/(LN(2)/25)*Calculateur!CG118*Calculateur!CI118*VLOOKUP('Données projet'!$B$12,Paramètres!$A$1:$I$89,3,0)*0.475*44/12</f>
        <v>25.617593377056359</v>
      </c>
      <c r="CM118" s="21">
        <f>EXP(-LN(2)/2)*CM117+(1-EXP(-LN(2)/2))/(LN(2)/2)*CG118*CJ118*VLOOKUP('Données projet'!$B$12,Paramètres!$A$1:$I$89,3,0)*0.475*44/12</f>
        <v>7.9522348339253899</v>
      </c>
      <c r="CN118" s="22">
        <f t="shared" si="66"/>
        <v>62.099431131100829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281.29424389472933</v>
      </c>
      <c r="S119" s="59">
        <f ca="1">AVERAGE(OFFSET($R$3,0,0,'Données projet'!$E$9+1,1))-AVERAGE(OFFSET($H$3,0,0,'Données projet'!$E$9+1,1))</f>
        <v>407.05634973057056</v>
      </c>
      <c r="T119" s="59">
        <f t="shared" si="88"/>
        <v>375.32891954889965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10.725999999999999</v>
      </c>
      <c r="AI119" s="13">
        <f>IF('Données projet'!$A$62&gt;35,AI118+AH119-AQ118,IF(A119&lt;'Données projet'!$A$62,$AF$205^A119,IF(A119='Données projet'!$A$62,'Données projet'!$B$62,AI118+AH119-AQ118)))</f>
        <v>522.09600000000012</v>
      </c>
      <c r="AJ119" s="13">
        <f>AI119*VLOOKUP('Données projet'!$B$10,Paramètres!$A$1:$I$89,3,0)*VLOOKUP('Données projet'!$B$10,Paramètres!$A$1:$I$89,5,0)</f>
        <v>472.39246080000009</v>
      </c>
      <c r="AK119" s="13">
        <f t="shared" si="89"/>
        <v>106.30805156897928</v>
      </c>
      <c r="AL119" s="20">
        <f t="shared" si="58"/>
        <v>1007.9033923759724</v>
      </c>
      <c r="AM119" s="59">
        <f t="shared" si="59"/>
        <v>1289.1976362706939</v>
      </c>
      <c r="AN119" s="59">
        <f ca="1">AVERAGE(OFFSET($AM$3,0,0,'Données projet'!$E$10+1,1))-AVERAGE(OFFSET($H$3,0,0,'Données projet'!$E$10+1,1))</f>
        <v>737.40414421611001</v>
      </c>
      <c r="AO119" s="59">
        <f t="shared" si="90"/>
        <v>245.32893490531674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51.552375335072455</v>
      </c>
      <c r="AV119" s="21">
        <f>EXP(-LN(2)/25)*AV118+(1-EXP(-LN(2)/25))/(LN(2)/25)*Calculateur!AQ119*Calculateur!AS119*VLOOKUP('Données projet'!$B$10,Paramètres!$A$1:$I$89,3,0)*0.475*44/12</f>
        <v>27.75317547882295</v>
      </c>
      <c r="AW119" s="21">
        <f>EXP(-LN(2)/2)*AW118+(1-EXP(-LN(2)/2))/(LN(2)/2)*AQ119*AT119*VLOOKUP('Données projet'!$B$10,Paramètres!$A$1:$I$89,3,0)*0.475*44/12</f>
        <v>7.5540713231818921E-4</v>
      </c>
      <c r="AX119" s="21">
        <f t="shared" si="60"/>
        <v>79.306306221027725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4.7884896048344674E-14</v>
      </c>
      <c r="BF119" s="13">
        <f t="shared" si="91"/>
        <v>7.8374629847779921E-13</v>
      </c>
      <c r="BG119" s="20">
        <f t="shared" si="61"/>
        <v>1.4484243304663672E-12</v>
      </c>
      <c r="BH119" s="59">
        <f t="shared" si="62"/>
        <v>281.29424389472291</v>
      </c>
      <c r="BI119" s="59">
        <f ca="1">AVERAGE(OFFSET($BH$3,0,0,'Données projet'!$E$11+1,1))-AVERAGE(OFFSET($H$3,0,0,'Données projet'!$E$11+1,1))</f>
        <v>456.35333554128226</v>
      </c>
      <c r="BJ119" s="59">
        <f t="shared" si="92"/>
        <v>296.4517290984877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100.36110643304234</v>
      </c>
      <c r="BQ119" s="21">
        <f>EXP(-LN(2)/25)*BQ118+(1-EXP(-LN(2)/25))/(LN(2)/25)*Calculateur!BL119*Calculateur!BN119*VLOOKUP('Données projet'!$B$11,Paramètres!$A$1:$I$89,3,0)*0.475*44/12</f>
        <v>21.204737794970484</v>
      </c>
      <c r="BR119" s="21">
        <f>EXP(-LN(2)/2)*BR118+(1-EXP(-LN(2)/2))/(LN(2)/2)*BL119*BO119*VLOOKUP('Données projet'!$B$11,Paramètres!$A$1:$I$89,3,0)*0.475*44/12</f>
        <v>0.23196948515504018</v>
      </c>
      <c r="BS119" s="22">
        <f t="shared" si="63"/>
        <v>121.79781371316786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8.7019999999999982</v>
      </c>
      <c r="BY119" s="12">
        <f>IF('Données projet'!$A$114&gt;35,BY118+BX119-CG118,IF(A119&lt;'Données projet'!$A$114,$BV$205^A119,IF(A119='Données projet'!$A$114,'Données projet'!$B$114,BY118+BX119-CG118)))</f>
        <v>348.61600000000027</v>
      </c>
      <c r="BZ119" s="13">
        <f>BY119*VLOOKUP('Données projet'!$B$12,Paramètres!$A$1:$I$89,3,0)*VLOOKUP('Données projet'!$B$12,Paramètres!$A$1:$I$89,5,0)</f>
        <v>331.74298560000028</v>
      </c>
      <c r="CA119" s="13">
        <f t="shared" si="93"/>
        <v>77.791561690435074</v>
      </c>
      <c r="CB119" s="20">
        <f t="shared" si="64"/>
        <v>713.27266986417487</v>
      </c>
      <c r="CC119" s="59">
        <f t="shared" si="65"/>
        <v>994.56691375889636</v>
      </c>
      <c r="CD119" s="59">
        <f ca="1">AVERAGE(OFFSET($CC$3,0,0,'Données projet'!$E$12+1,1))-AVERAGE(OFFSET($H$3,0,0,'Données projet'!$E$12+1,1))</f>
        <v>486.36097333679697</v>
      </c>
      <c r="CE119" s="59">
        <f t="shared" si="94"/>
        <v>308.47736602748159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27.970154808195083</v>
      </c>
      <c r="CL119" s="21">
        <f>EXP(-LN(2)/25)*CL118+(1-EXP(-LN(2)/25))/(LN(2)/25)*Calculateur!CG119*Calculateur!CI119*VLOOKUP('Données projet'!$B$12,Paramètres!$A$1:$I$89,3,0)*0.475*44/12</f>
        <v>24.917078938990066</v>
      </c>
      <c r="CM119" s="21">
        <f>EXP(-LN(2)/2)*CM118+(1-EXP(-LN(2)/2))/(LN(2)/2)*CG119*CJ119*VLOOKUP('Données projet'!$B$12,Paramètres!$A$1:$I$89,3,0)*0.475*44/12</f>
        <v>5.623079176656522</v>
      </c>
      <c r="CN119" s="22">
        <f t="shared" si="66"/>
        <v>58.510312923841674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281.50309518111749</v>
      </c>
      <c r="S120" s="59">
        <f ca="1">AVERAGE(OFFSET($R$3,0,0,'Données projet'!$E$9+1,1))-AVERAGE(OFFSET($H$3,0,0,'Données projet'!$E$9+1,1))</f>
        <v>407.05634973057056</v>
      </c>
      <c r="T120" s="59">
        <f t="shared" si="88"/>
        <v>375.32891954889965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10.725999999999999</v>
      </c>
      <c r="AI120" s="13">
        <f>IF('Données projet'!$A$62&gt;35,AI119+AH120-AQ119,IF(A120&lt;'Données projet'!$A$62,$AF$205^A120,IF(A120='Données projet'!$A$62,'Données projet'!$B$62,AI119+AH120-AQ119)))</f>
        <v>532.82200000000012</v>
      </c>
      <c r="AJ120" s="13">
        <f>AI120*VLOOKUP('Données projet'!$B$10,Paramètres!$A$1:$I$89,3,0)*VLOOKUP('Données projet'!$B$10,Paramètres!$A$1:$I$89,5,0)</f>
        <v>482.09734560000015</v>
      </c>
      <c r="AK120" s="13">
        <f t="shared" si="89"/>
        <v>108.23554826302497</v>
      </c>
      <c r="AL120" s="20">
        <f t="shared" si="58"/>
        <v>1028.1631234781019</v>
      </c>
      <c r="AM120" s="59">
        <f t="shared" si="59"/>
        <v>1309.6662186592116</v>
      </c>
      <c r="AN120" s="59">
        <f ca="1">AVERAGE(OFFSET($AM$3,0,0,'Données projet'!$E$10+1,1))-AVERAGE(OFFSET($H$3,0,0,'Données projet'!$E$10+1,1))</f>
        <v>737.40414421611001</v>
      </c>
      <c r="AO120" s="59">
        <f t="shared" si="90"/>
        <v>245.32893490531674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50.541464698595817</v>
      </c>
      <c r="AV120" s="21">
        <f>EXP(-LN(2)/25)*AV119+(1-EXP(-LN(2)/25))/(LN(2)/25)*Calculateur!AQ120*Calculateur!AS120*VLOOKUP('Données projet'!$B$10,Paramètres!$A$1:$I$89,3,0)*0.475*44/12</f>
        <v>26.994263435878469</v>
      </c>
      <c r="AW120" s="21">
        <f>EXP(-LN(2)/2)*AW119+(1-EXP(-LN(2)/2))/(LN(2)/2)*AQ120*AT120*VLOOKUP('Données projet'!$B$10,Paramètres!$A$1:$I$89,3,0)*0.475*44/12</f>
        <v>5.3415350581887517E-4</v>
      </c>
      <c r="AX120" s="21">
        <f t="shared" si="60"/>
        <v>77.536262287980108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4.7884896048344674E-14</v>
      </c>
      <c r="BF120" s="13">
        <f t="shared" si="91"/>
        <v>7.8374629847779921E-13</v>
      </c>
      <c r="BG120" s="20">
        <f t="shared" si="61"/>
        <v>1.4484243304663672E-12</v>
      </c>
      <c r="BH120" s="59">
        <f t="shared" si="62"/>
        <v>281.50309518111106</v>
      </c>
      <c r="BI120" s="59">
        <f ca="1">AVERAGE(OFFSET($BH$3,0,0,'Données projet'!$E$11+1,1))-AVERAGE(OFFSET($H$3,0,0,'Données projet'!$E$11+1,1))</f>
        <v>456.35333554128226</v>
      </c>
      <c r="BJ120" s="59">
        <f t="shared" si="92"/>
        <v>296.4517290984877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98.393086350120896</v>
      </c>
      <c r="BQ120" s="21">
        <f>EXP(-LN(2)/25)*BQ119+(1-EXP(-LN(2)/25))/(LN(2)/25)*Calculateur!BL120*Calculateur!BN120*VLOOKUP('Données projet'!$B$11,Paramètres!$A$1:$I$89,3,0)*0.475*44/12</f>
        <v>20.624893124858321</v>
      </c>
      <c r="BR120" s="21">
        <f>EXP(-LN(2)/2)*BR119+(1-EXP(-LN(2)/2))/(LN(2)/2)*BL120*BO120*VLOOKUP('Données projet'!$B$11,Paramètres!$A$1:$I$89,3,0)*0.475*44/12</f>
        <v>0.16402719598148108</v>
      </c>
      <c r="BS120" s="22">
        <f t="shared" si="63"/>
        <v>119.18200667096069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8.7019999999999982</v>
      </c>
      <c r="BY120" s="12">
        <f>IF('Données projet'!$A$114&gt;35,BY119+BX120-CG119,IF(A120&lt;'Données projet'!$A$114,$BV$205^A120,IF(A120='Données projet'!$A$114,'Données projet'!$B$114,BY119+BX120-CG119)))</f>
        <v>357.31800000000027</v>
      </c>
      <c r="BZ120" s="13">
        <f>BY120*VLOOKUP('Données projet'!$B$12,Paramètres!$A$1:$I$89,3,0)*VLOOKUP('Données projet'!$B$12,Paramètres!$A$1:$I$89,5,0)</f>
        <v>340.02380880000027</v>
      </c>
      <c r="CA120" s="13">
        <f t="shared" si="93"/>
        <v>79.504865450570179</v>
      </c>
      <c r="CB120" s="20">
        <f t="shared" si="64"/>
        <v>730.67910765307681</v>
      </c>
      <c r="CC120" s="59">
        <f t="shared" si="65"/>
        <v>1012.1822028341865</v>
      </c>
      <c r="CD120" s="59">
        <f ca="1">AVERAGE(OFFSET($CC$3,0,0,'Données projet'!$E$12+1,1))-AVERAGE(OFFSET($H$3,0,0,'Données projet'!$E$12+1,1))</f>
        <v>486.36097333679697</v>
      </c>
      <c r="CE120" s="59">
        <f t="shared" si="94"/>
        <v>308.47736602748159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27.421677132516265</v>
      </c>
      <c r="CL120" s="21">
        <f>EXP(-LN(2)/25)*CL119+(1-EXP(-LN(2)/25))/(LN(2)/25)*Calculateur!CG120*Calculateur!CI120*VLOOKUP('Données projet'!$B$12,Paramètres!$A$1:$I$89,3,0)*0.475*44/12</f>
        <v>24.235720105071149</v>
      </c>
      <c r="CM120" s="21">
        <f>EXP(-LN(2)/2)*CM119+(1-EXP(-LN(2)/2))/(LN(2)/2)*CG120*CJ120*VLOOKUP('Données projet'!$B$12,Paramètres!$A$1:$I$89,3,0)*0.475*44/12</f>
        <v>3.9761174169626954</v>
      </c>
      <c r="CN120" s="22">
        <f t="shared" si="66"/>
        <v>55.633514654550112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281.70832336460825</v>
      </c>
      <c r="S121" s="59">
        <f ca="1">AVERAGE(OFFSET($R$3,0,0,'Données projet'!$E$9+1,1))-AVERAGE(OFFSET($H$3,0,0,'Données projet'!$E$9+1,1))</f>
        <v>407.05634973057056</v>
      </c>
      <c r="T121" s="59">
        <f t="shared" si="88"/>
        <v>375.32891954889965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10.725999999999999</v>
      </c>
      <c r="AI121" s="13">
        <f>IF('Données projet'!$A$62&gt;35,AI120+AH121-AQ120,IF(A121&lt;'Données projet'!$A$62,$AF$205^A121,IF(A121='Données projet'!$A$62,'Données projet'!$B$62,AI120+AH121-AQ120)))</f>
        <v>543.54800000000012</v>
      </c>
      <c r="AJ121" s="13">
        <f>AI121*VLOOKUP('Données projet'!$B$10,Paramètres!$A$1:$I$89,3,0)*VLOOKUP('Données projet'!$B$10,Paramètres!$A$1:$I$89,5,0)</f>
        <v>491.8022304000001</v>
      </c>
      <c r="AK121" s="13">
        <f t="shared" si="89"/>
        <v>110.1585334197499</v>
      </c>
      <c r="AL121" s="20">
        <f t="shared" si="58"/>
        <v>1048.4149969860646</v>
      </c>
      <c r="AM121" s="59">
        <f t="shared" si="59"/>
        <v>1330.1233203506649</v>
      </c>
      <c r="AN121" s="59">
        <f ca="1">AVERAGE(OFFSET($AM$3,0,0,'Données projet'!$E$10+1,1))-AVERAGE(OFFSET($H$3,0,0,'Données projet'!$E$10+1,1))</f>
        <v>737.40414421611001</v>
      </c>
      <c r="AO121" s="59">
        <f t="shared" si="90"/>
        <v>245.32893490531674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49.550377403105884</v>
      </c>
      <c r="AV121" s="21">
        <f>EXP(-LN(2)/25)*AV120+(1-EXP(-LN(2)/25))/(LN(2)/25)*Calculateur!AQ121*Calculateur!AS121*VLOOKUP('Données projet'!$B$10,Paramètres!$A$1:$I$89,3,0)*0.475*44/12</f>
        <v>26.256103882657754</v>
      </c>
      <c r="AW121" s="21">
        <f>EXP(-LN(2)/2)*AW120+(1-EXP(-LN(2)/2))/(LN(2)/2)*AQ121*AT121*VLOOKUP('Données projet'!$B$10,Paramètres!$A$1:$I$89,3,0)*0.475*44/12</f>
        <v>3.7770356615909461E-4</v>
      </c>
      <c r="AX121" s="21">
        <f t="shared" si="60"/>
        <v>75.806858989329797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4.7884896048344674E-14</v>
      </c>
      <c r="BF121" s="13">
        <f t="shared" si="91"/>
        <v>7.8374629847779921E-13</v>
      </c>
      <c r="BG121" s="20">
        <f t="shared" si="61"/>
        <v>1.4484243304663672E-12</v>
      </c>
      <c r="BH121" s="59">
        <f t="shared" si="62"/>
        <v>281.70832336460182</v>
      </c>
      <c r="BI121" s="59">
        <f ca="1">AVERAGE(OFFSET($BH$3,0,0,'Données projet'!$E$11+1,1))-AVERAGE(OFFSET($H$3,0,0,'Données projet'!$E$11+1,1))</f>
        <v>456.35333554128226</v>
      </c>
      <c r="BJ121" s="59">
        <f t="shared" si="92"/>
        <v>296.4517290984877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96.463657940651828</v>
      </c>
      <c r="BQ121" s="21">
        <f>EXP(-LN(2)/25)*BQ120+(1-EXP(-LN(2)/25))/(LN(2)/25)*Calculateur!BL121*Calculateur!BN121*VLOOKUP('Données projet'!$B$11,Paramètres!$A$1:$I$89,3,0)*0.475*44/12</f>
        <v>20.060904337743079</v>
      </c>
      <c r="BR121" s="21">
        <f>EXP(-LN(2)/2)*BR120+(1-EXP(-LN(2)/2))/(LN(2)/2)*BL121*BO121*VLOOKUP('Données projet'!$B$11,Paramètres!$A$1:$I$89,3,0)*0.475*44/12</f>
        <v>0.11598474257752009</v>
      </c>
      <c r="BS121" s="22">
        <f t="shared" si="63"/>
        <v>116.64054702097243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8.7019999999999982</v>
      </c>
      <c r="BY121" s="12">
        <f>IF('Données projet'!$A$114&gt;35,BY120+BX121-CG120,IF(A121&lt;'Données projet'!$A$114,$BV$205^A121,IF(A121='Données projet'!$A$114,'Données projet'!$B$114,BY120+BX121-CG120)))</f>
        <v>366.02000000000027</v>
      </c>
      <c r="BZ121" s="13">
        <f>BY121*VLOOKUP('Données projet'!$B$12,Paramètres!$A$1:$I$89,3,0)*VLOOKUP('Données projet'!$B$12,Paramètres!$A$1:$I$89,5,0)</f>
        <v>348.30463200000025</v>
      </c>
      <c r="CA121" s="13">
        <f t="shared" si="93"/>
        <v>81.213318766761901</v>
      </c>
      <c r="CB121" s="20">
        <f t="shared" si="64"/>
        <v>748.07709758544399</v>
      </c>
      <c r="CC121" s="59">
        <f t="shared" si="65"/>
        <v>1029.7854209500445</v>
      </c>
      <c r="CD121" s="59">
        <f ca="1">AVERAGE(OFFSET($CC$3,0,0,'Données projet'!$E$12+1,1))-AVERAGE(OFFSET($H$3,0,0,'Données projet'!$E$12+1,1))</f>
        <v>486.36097333679697</v>
      </c>
      <c r="CE121" s="59">
        <f t="shared" si="94"/>
        <v>308.47736602748159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26.883954769519161</v>
      </c>
      <c r="CL121" s="21">
        <f>EXP(-LN(2)/25)*CL120+(1-EXP(-LN(2)/25))/(LN(2)/25)*Calculateur!CG121*Calculateur!CI121*VLOOKUP('Données projet'!$B$12,Paramètres!$A$1:$I$89,3,0)*0.475*44/12</f>
        <v>23.572993064296849</v>
      </c>
      <c r="CM121" s="21">
        <f>EXP(-LN(2)/2)*CM120+(1-EXP(-LN(2)/2))/(LN(2)/2)*CG121*CJ121*VLOOKUP('Données projet'!$B$12,Paramètres!$A$1:$I$89,3,0)*0.475*44/12</f>
        <v>2.8115395883282615</v>
      </c>
      <c r="CN121" s="22">
        <f t="shared" si="66"/>
        <v>53.268487422144268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281.90999129793698</v>
      </c>
      <c r="S122" s="59">
        <f ca="1">AVERAGE(OFFSET($R$3,0,0,'Données projet'!$E$9+1,1))-AVERAGE(OFFSET($H$3,0,0,'Données projet'!$E$9+1,1))</f>
        <v>407.05634973057056</v>
      </c>
      <c r="T122" s="59">
        <f t="shared" si="88"/>
        <v>375.32891954889965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10.725999999999999</v>
      </c>
      <c r="AI122" s="13">
        <f>IF('Données projet'!$A$62&gt;35,AI121+AH122-AQ121,IF(A122&lt;'Données projet'!$A$62,$AF$205^A122,IF(A122='Données projet'!$A$62,'Données projet'!$B$62,AI121+AH122-AQ121)))</f>
        <v>554.27400000000011</v>
      </c>
      <c r="AJ122" s="13">
        <f>AI122*VLOOKUP('Données projet'!$B$10,Paramètres!$A$1:$I$89,3,0)*VLOOKUP('Données projet'!$B$10,Paramètres!$A$1:$I$89,5,0)</f>
        <v>501.50711520000004</v>
      </c>
      <c r="AK122" s="13">
        <f t="shared" si="89"/>
        <v>112.07710632845966</v>
      </c>
      <c r="AL122" s="20">
        <f t="shared" si="58"/>
        <v>1068.6591858287338</v>
      </c>
      <c r="AM122" s="59">
        <f t="shared" si="59"/>
        <v>1350.5691771266629</v>
      </c>
      <c r="AN122" s="59">
        <f ca="1">AVERAGE(OFFSET($AM$3,0,0,'Données projet'!$E$10+1,1))-AVERAGE(OFFSET($H$3,0,0,'Données projet'!$E$10+1,1))</f>
        <v>737.40414421611001</v>
      </c>
      <c r="AO122" s="59">
        <f t="shared" si="90"/>
        <v>245.32893490531674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48.578724724976944</v>
      </c>
      <c r="AV122" s="21">
        <f>EXP(-LN(2)/25)*AV121+(1-EXP(-LN(2)/25))/(LN(2)/25)*Calculateur!AQ122*Calculateur!AS122*VLOOKUP('Données projet'!$B$10,Paramètres!$A$1:$I$89,3,0)*0.475*44/12</f>
        <v>25.538129341237983</v>
      </c>
      <c r="AW122" s="21">
        <f>EXP(-LN(2)/2)*AW121+(1-EXP(-LN(2)/2))/(LN(2)/2)*AQ122*AT122*VLOOKUP('Données projet'!$B$10,Paramètres!$A$1:$I$89,3,0)*0.475*44/12</f>
        <v>2.6707675290943758E-4</v>
      </c>
      <c r="AX122" s="21">
        <f t="shared" si="60"/>
        <v>74.117121142967832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4.7884896048344674E-14</v>
      </c>
      <c r="BF122" s="13">
        <f t="shared" si="91"/>
        <v>7.8374629847779921E-13</v>
      </c>
      <c r="BG122" s="20">
        <f t="shared" si="61"/>
        <v>1.4484243304663672E-12</v>
      </c>
      <c r="BH122" s="59">
        <f t="shared" si="62"/>
        <v>281.90999129793056</v>
      </c>
      <c r="BI122" s="59">
        <f ca="1">AVERAGE(OFFSET($BH$3,0,0,'Données projet'!$E$11+1,1))-AVERAGE(OFFSET($H$3,0,0,'Données projet'!$E$11+1,1))</f>
        <v>456.35333554128226</v>
      </c>
      <c r="BJ122" s="59">
        <f t="shared" si="92"/>
        <v>296.4517290984877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94.572064445457315</v>
      </c>
      <c r="BQ122" s="21">
        <f>EXP(-LN(2)/25)*BQ121+(1-EXP(-LN(2)/25))/(LN(2)/25)*Calculateur!BL122*Calculateur!BN122*VLOOKUP('Données projet'!$B$11,Paramètres!$A$1:$I$89,3,0)*0.475*44/12</f>
        <v>19.512337853670385</v>
      </c>
      <c r="BR122" s="21">
        <f>EXP(-LN(2)/2)*BR121+(1-EXP(-LN(2)/2))/(LN(2)/2)*BL122*BO122*VLOOKUP('Données projet'!$B$11,Paramètres!$A$1:$I$89,3,0)*0.475*44/12</f>
        <v>8.2013597990740539E-2</v>
      </c>
      <c r="BS122" s="22">
        <f t="shared" si="63"/>
        <v>114.16641589711844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8.7019999999999982</v>
      </c>
      <c r="BY122" s="12">
        <f>IF('Données projet'!$A$114&gt;35,BY121+BX122-CG121,IF(A122&lt;'Données projet'!$A$114,$BV$205^A122,IF(A122='Données projet'!$A$114,'Données projet'!$B$114,BY121+BX122-CG121)))</f>
        <v>374.72200000000026</v>
      </c>
      <c r="BZ122" s="13">
        <f>BY122*VLOOKUP('Données projet'!$B$12,Paramètres!$A$1:$I$89,3,0)*VLOOKUP('Données projet'!$B$12,Paramètres!$A$1:$I$89,5,0)</f>
        <v>356.58545520000024</v>
      </c>
      <c r="CA122" s="13">
        <f t="shared" si="93"/>
        <v>82.917050226144909</v>
      </c>
      <c r="CB122" s="20">
        <f t="shared" si="64"/>
        <v>765.46686361720276</v>
      </c>
      <c r="CC122" s="59">
        <f t="shared" si="65"/>
        <v>1047.3768549151318</v>
      </c>
      <c r="CD122" s="59">
        <f ca="1">AVERAGE(OFFSET($CC$3,0,0,'Données projet'!$E$12+1,1))-AVERAGE(OFFSET($H$3,0,0,'Données projet'!$E$12+1,1))</f>
        <v>486.36097333679697</v>
      </c>
      <c r="CE122" s="59">
        <f t="shared" si="94"/>
        <v>308.47736602748159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26.356776814082171</v>
      </c>
      <c r="CL122" s="21">
        <f>EXP(-LN(2)/25)*CL121+(1-EXP(-LN(2)/25))/(LN(2)/25)*Calculateur!CG122*Calculateur!CI122*VLOOKUP('Données projet'!$B$12,Paramètres!$A$1:$I$89,3,0)*0.475*44/12</f>
        <v>22.928388329303822</v>
      </c>
      <c r="CM122" s="21">
        <f>EXP(-LN(2)/2)*CM121+(1-EXP(-LN(2)/2))/(LN(2)/2)*CG122*CJ122*VLOOKUP('Données projet'!$B$12,Paramètres!$A$1:$I$89,3,0)*0.475*44/12</f>
        <v>1.9880587084813479</v>
      </c>
      <c r="CN122" s="22">
        <f t="shared" si="66"/>
        <v>51.273223851867343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282.10816074348446</v>
      </c>
      <c r="S123" s="59">
        <f ca="1">AVERAGE(OFFSET($R$3,0,0,'Données projet'!$E$9+1,1))-AVERAGE(OFFSET($H$3,0,0,'Données projet'!$E$9+1,1))</f>
        <v>407.05634973057056</v>
      </c>
      <c r="T123" s="59">
        <f t="shared" si="88"/>
        <v>375.32891954889965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10.725999999999999</v>
      </c>
      <c r="AH123" s="12">
        <f t="array" ref="AH123">INDEX(AG:AG,MIN(IF(ISNUMBER(AG123:AG319),ROW(AG123:AG319),"")))</f>
        <v>10.725999999999999</v>
      </c>
      <c r="AI123" s="13">
        <f>IF('Données projet'!$A$62&gt;35,AI122+AH123-AQ122,IF(A123&lt;'Données projet'!$A$62,$AF$205^A123,IF(A123='Données projet'!$A$62,'Données projet'!$B$62,AI122+AH123-AQ122)))</f>
        <v>565.00000000000011</v>
      </c>
      <c r="AJ123" s="13">
        <f>AI123*VLOOKUP('Données projet'!$B$10,Paramètres!$A$1:$I$89,3,0)*VLOOKUP('Données projet'!$B$10,Paramètres!$A$1:$I$89,5,0)</f>
        <v>511.2120000000001</v>
      </c>
      <c r="AK123" s="13">
        <f t="shared" si="89"/>
        <v>113.9913622158443</v>
      </c>
      <c r="AL123" s="20">
        <f t="shared" si="58"/>
        <v>1088.8958558592624</v>
      </c>
      <c r="AM123" s="59">
        <f t="shared" si="59"/>
        <v>1371.0040166027391</v>
      </c>
      <c r="AN123" s="59">
        <f ca="1">AVERAGE(OFFSET($AM$3,0,0,'Données projet'!$E$10+1,1))-AVERAGE(OFFSET($H$3,0,0,'Données projet'!$E$10+1,1))</f>
        <v>737.40414421611001</v>
      </c>
      <c r="AO123" s="59">
        <f t="shared" si="90"/>
        <v>245.32893490531674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66.050000000000011</v>
      </c>
      <c r="AR123" s="16">
        <f>IF(ISNA(VLOOKUP(A123,'Données projet'!$A$61:$I$81,5,0)),0%,VLOOKUP(A123,'Données projet'!$A$61:$I$81,5,0)*VLOOKUP('Données projet'!$B$10,Paramètres!$A$1:$I$89,7,0))</f>
        <v>0.215</v>
      </c>
      <c r="AS123" s="16">
        <f>IF(ISNA(VLOOKUP(A123,'Données projet'!$A$61:$I$81,6,0)),0%,VLOOKUP(A123,'Données projet'!$A$61:$I$81,6,0)*VLOOKUP('Données projet'!$B$10,Paramètres!$A$1:$I$89,7,0))</f>
        <v>8.6000000000000007E-2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61.830136046916117</v>
      </c>
      <c r="AV123" s="21">
        <f>EXP(-LN(2)/25)*AV122+(1-EXP(-LN(2)/25))/(LN(2)/25)*Calculateur!AQ123*Calculateur!AS123*VLOOKUP('Données projet'!$B$10,Paramètres!$A$1:$I$89,3,0)*0.475*44/12</f>
        <v>30.499021404319176</v>
      </c>
      <c r="AW123" s="21">
        <f>EXP(-LN(2)/2)*AW122+(1-EXP(-LN(2)/2))/(LN(2)/2)*AQ123*AT123*VLOOKUP('Données projet'!$B$10,Paramètres!$A$1:$I$89,3,0)*0.475*44/12</f>
        <v>1.888517830795473E-4</v>
      </c>
      <c r="AX123" s="21">
        <f t="shared" si="60"/>
        <v>92.329346303018369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4.7884896048344674E-14</v>
      </c>
      <c r="BF123" s="13">
        <f t="shared" si="91"/>
        <v>7.8374629847779921E-13</v>
      </c>
      <c r="BG123" s="20">
        <f t="shared" si="61"/>
        <v>1.4484243304663672E-12</v>
      </c>
      <c r="BH123" s="59">
        <f t="shared" si="62"/>
        <v>282.10816074347804</v>
      </c>
      <c r="BI123" s="59">
        <f ca="1">AVERAGE(OFFSET($BH$3,0,0,'Données projet'!$E$11+1,1))-AVERAGE(OFFSET($H$3,0,0,'Données projet'!$E$11+1,1))</f>
        <v>456.35333554128226</v>
      </c>
      <c r="BJ123" s="59">
        <f t="shared" si="92"/>
        <v>296.4517290984877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92.717563944945454</v>
      </c>
      <c r="BQ123" s="21">
        <f>EXP(-LN(2)/25)*BQ122+(1-EXP(-LN(2)/25))/(LN(2)/25)*Calculateur!BL123*Calculateur!BN123*VLOOKUP('Données projet'!$B$11,Paramètres!$A$1:$I$89,3,0)*0.475*44/12</f>
        <v>18.978771948952517</v>
      </c>
      <c r="BR123" s="21">
        <f>EXP(-LN(2)/2)*BR122+(1-EXP(-LN(2)/2))/(LN(2)/2)*BL123*BO123*VLOOKUP('Données projet'!$B$11,Paramètres!$A$1:$I$89,3,0)*0.475*44/12</f>
        <v>5.7992371288760045E-2</v>
      </c>
      <c r="BS123" s="22">
        <f t="shared" si="63"/>
        <v>111.75432826518673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8.7019999999999982</v>
      </c>
      <c r="BY123" s="12">
        <f>IF('Données projet'!$A$114&gt;35,BY122+BX123-CG122,IF(A123&lt;'Données projet'!$A$114,$BV$205^A123,IF(A123='Données projet'!$A$114,'Données projet'!$B$114,BY122+BX123-CG122)))</f>
        <v>383.42400000000026</v>
      </c>
      <c r="BZ123" s="13">
        <f>BY123*VLOOKUP('Données projet'!$B$12,Paramètres!$A$1:$I$89,3,0)*VLOOKUP('Données projet'!$B$12,Paramètres!$A$1:$I$89,5,0)</f>
        <v>364.86627840000023</v>
      </c>
      <c r="CA123" s="13">
        <f t="shared" si="93"/>
        <v>84.61618210285377</v>
      </c>
      <c r="CB123" s="20">
        <f t="shared" si="64"/>
        <v>782.84861870913744</v>
      </c>
      <c r="CC123" s="59">
        <f t="shared" si="65"/>
        <v>1064.956779452614</v>
      </c>
      <c r="CD123" s="59">
        <f ca="1">AVERAGE(OFFSET($CC$3,0,0,'Données projet'!$E$12+1,1))-AVERAGE(OFFSET($H$3,0,0,'Données projet'!$E$12+1,1))</f>
        <v>486.36097333679697</v>
      </c>
      <c r="CE123" s="59">
        <f t="shared" si="94"/>
        <v>308.47736602748159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25.839936496804498</v>
      </c>
      <c r="CL123" s="21">
        <f>EXP(-LN(2)/25)*CL122+(1-EXP(-LN(2)/25))/(LN(2)/25)*Calculateur!CG123*Calculateur!CI123*VLOOKUP('Données projet'!$B$12,Paramètres!$A$1:$I$89,3,0)*0.475*44/12</f>
        <v>22.301410344687469</v>
      </c>
      <c r="CM123" s="21">
        <f>EXP(-LN(2)/2)*CM122+(1-EXP(-LN(2)/2))/(LN(2)/2)*CG123*CJ123*VLOOKUP('Données projet'!$B$12,Paramètres!$A$1:$I$89,3,0)*0.475*44/12</f>
        <v>1.4057697941641309</v>
      </c>
      <c r="CN123" s="22">
        <f t="shared" si="66"/>
        <v>49.547116635656096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282.30289239219223</v>
      </c>
      <c r="S124" s="59">
        <f ca="1">AVERAGE(OFFSET($R$3,0,0,'Données projet'!$E$9+1,1))-AVERAGE(OFFSET($H$3,0,0,'Données projet'!$E$9+1,1))</f>
        <v>407.05634973057056</v>
      </c>
      <c r="T124" s="59">
        <f t="shared" si="88"/>
        <v>375.32891954889965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10.745999999999999</v>
      </c>
      <c r="AI124" s="13">
        <f>IF('Données projet'!$A$62&gt;35,AI123+AH124-AQ123,IF(A124&lt;'Données projet'!$A$62,$AF$205^A124,IF(A124='Données projet'!$A$62,'Données projet'!$B$62,AI123+AH124-AQ123)))</f>
        <v>509.69600000000008</v>
      </c>
      <c r="AJ124" s="13">
        <f>AI124*VLOOKUP('Données projet'!$B$10,Paramètres!$A$1:$I$89,3,0)*VLOOKUP('Données projet'!$B$10,Paramètres!$A$1:$I$89,5,0)</f>
        <v>461.17294080000005</v>
      </c>
      <c r="AK124" s="13">
        <f t="shared" si="89"/>
        <v>104.07397295861892</v>
      </c>
      <c r="AL124" s="20">
        <f t="shared" si="58"/>
        <v>984.47170812959484</v>
      </c>
      <c r="AM124" s="59">
        <f t="shared" si="59"/>
        <v>1266.7746005217791</v>
      </c>
      <c r="AN124" s="59">
        <f ca="1">AVERAGE(OFFSET($AM$3,0,0,'Données projet'!$E$10+1,1))-AVERAGE(OFFSET($H$3,0,0,'Données projet'!$E$10+1,1))</f>
        <v>737.40414421611001</v>
      </c>
      <c r="AO124" s="59">
        <f t="shared" si="90"/>
        <v>245.32893490531674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60.617684791695261</v>
      </c>
      <c r="AV124" s="21">
        <f>EXP(-LN(2)/25)*AV123+(1-EXP(-LN(2)/25))/(LN(2)/25)*Calculateur!AQ124*Calculateur!AS124*VLOOKUP('Données projet'!$B$10,Paramètres!$A$1:$I$89,3,0)*0.475*44/12</f>
        <v>29.665024060144241</v>
      </c>
      <c r="AW124" s="21">
        <f>EXP(-LN(2)/2)*AW123+(1-EXP(-LN(2)/2))/(LN(2)/2)*AQ124*AT124*VLOOKUP('Données projet'!$B$10,Paramètres!$A$1:$I$89,3,0)*0.475*44/12</f>
        <v>1.3353837645471879E-4</v>
      </c>
      <c r="AX124" s="21">
        <f t="shared" si="60"/>
        <v>90.282842390215961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4.7884896048344674E-14</v>
      </c>
      <c r="BF124" s="13">
        <f t="shared" si="91"/>
        <v>7.8374629847779921E-13</v>
      </c>
      <c r="BG124" s="20">
        <f t="shared" si="61"/>
        <v>1.4484243304663672E-12</v>
      </c>
      <c r="BH124" s="59">
        <f t="shared" si="62"/>
        <v>282.30289239218581</v>
      </c>
      <c r="BI124" s="59">
        <f ca="1">AVERAGE(OFFSET($BH$3,0,0,'Données projet'!$E$11+1,1))-AVERAGE(OFFSET($H$3,0,0,'Données projet'!$E$11+1,1))</f>
        <v>456.35333554128226</v>
      </c>
      <c r="BJ124" s="59">
        <f t="shared" si="92"/>
        <v>296.4517290984877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90.899429068115026</v>
      </c>
      <c r="BQ124" s="21">
        <f>EXP(-LN(2)/25)*BQ123+(1-EXP(-LN(2)/25))/(LN(2)/25)*Calculateur!BL124*Calculateur!BN124*VLOOKUP('Données projet'!$B$11,Paramètres!$A$1:$I$89,3,0)*0.475*44/12</f>
        <v>18.459796431958171</v>
      </c>
      <c r="BR124" s="21">
        <f>EXP(-LN(2)/2)*BR123+(1-EXP(-LN(2)/2))/(LN(2)/2)*BL124*BO124*VLOOKUP('Données projet'!$B$11,Paramètres!$A$1:$I$89,3,0)*0.475*44/12</f>
        <v>4.1006798995370269E-2</v>
      </c>
      <c r="BS124" s="22">
        <f t="shared" si="63"/>
        <v>109.40023229906856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8.7019999999999982</v>
      </c>
      <c r="BY124" s="12">
        <f>IF('Données projet'!$A$114&gt;35,BY123+BX124-CG123,IF(A124&lt;'Données projet'!$A$114,$BV$205^A124,IF(A124='Données projet'!$A$114,'Données projet'!$B$114,BY123+BX124-CG123)))</f>
        <v>392.12600000000026</v>
      </c>
      <c r="BZ124" s="13">
        <f>BY124*VLOOKUP('Données projet'!$B$12,Paramètres!$A$1:$I$89,3,0)*VLOOKUP('Données projet'!$B$12,Paramètres!$A$1:$I$89,5,0)</f>
        <v>373.14710160000027</v>
      </c>
      <c r="CA124" s="13">
        <f t="shared" si="93"/>
        <v>86.310830804095133</v>
      </c>
      <c r="CB124" s="20">
        <f t="shared" si="64"/>
        <v>800.22256560379947</v>
      </c>
      <c r="CC124" s="59">
        <f t="shared" si="65"/>
        <v>1082.5254579959837</v>
      </c>
      <c r="CD124" s="59">
        <f ca="1">AVERAGE(OFFSET($CC$3,0,0,'Données projet'!$E$12+1,1))-AVERAGE(OFFSET($H$3,0,0,'Données projet'!$E$12+1,1))</f>
        <v>486.36097333679697</v>
      </c>
      <c r="CE124" s="59">
        <f t="shared" si="94"/>
        <v>308.47736602748159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25.333231102907174</v>
      </c>
      <c r="CL124" s="21">
        <f>EXP(-LN(2)/25)*CL123+(1-EXP(-LN(2)/25))/(LN(2)/25)*Calculateur!CG124*Calculateur!CI124*VLOOKUP('Données projet'!$B$12,Paramètres!$A$1:$I$89,3,0)*0.475*44/12</f>
        <v>21.69157710603179</v>
      </c>
      <c r="CM124" s="21">
        <f>EXP(-LN(2)/2)*CM123+(1-EXP(-LN(2)/2))/(LN(2)/2)*CG124*CJ124*VLOOKUP('Données projet'!$B$12,Paramètres!$A$1:$I$89,3,0)*0.475*44/12</f>
        <v>0.99402935424067418</v>
      </c>
      <c r="CN124" s="22">
        <f t="shared" si="66"/>
        <v>48.018837563179638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282.49424588214964</v>
      </c>
      <c r="S125" s="59">
        <f ca="1">AVERAGE(OFFSET($R$3,0,0,'Données projet'!$E$9+1,1))-AVERAGE(OFFSET($H$3,0,0,'Données projet'!$E$9+1,1))</f>
        <v>407.05634973057056</v>
      </c>
      <c r="T125" s="59">
        <f t="shared" si="88"/>
        <v>375.32891954889965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10.745999999999999</v>
      </c>
      <c r="AI125" s="13">
        <f>IF('Données projet'!$A$62&gt;35,AI124+AH125-AQ124,IF(A125&lt;'Données projet'!$A$62,$AF$205^A125,IF(A125='Données projet'!$A$62,'Données projet'!$B$62,AI124+AH125-AQ124)))</f>
        <v>520.44200000000012</v>
      </c>
      <c r="AJ125" s="13">
        <f>AI125*VLOOKUP('Données projet'!$B$10,Paramètres!$A$1:$I$89,3,0)*VLOOKUP('Données projet'!$B$10,Paramètres!$A$1:$I$89,5,0)</f>
        <v>470.89592160000012</v>
      </c>
      <c r="AK125" s="13">
        <f t="shared" si="89"/>
        <v>106.0104143991686</v>
      </c>
      <c r="AL125" s="20">
        <f t="shared" si="58"/>
        <v>1004.7785351985522</v>
      </c>
      <c r="AM125" s="59">
        <f t="shared" si="59"/>
        <v>1287.2727810806939</v>
      </c>
      <c r="AN125" s="59">
        <f ca="1">AVERAGE(OFFSET($AM$3,0,0,'Données projet'!$E$10+1,1))-AVERAGE(OFFSET($H$3,0,0,'Données projet'!$E$10+1,1))</f>
        <v>737.40414421611001</v>
      </c>
      <c r="AO125" s="59">
        <f t="shared" si="90"/>
        <v>245.32893490531674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59.429008966067045</v>
      </c>
      <c r="AV125" s="21">
        <f>EXP(-LN(2)/25)*AV124+(1-EXP(-LN(2)/25))/(LN(2)/25)*Calculateur!AQ125*Calculateur!AS125*VLOOKUP('Données projet'!$B$10,Paramètres!$A$1:$I$89,3,0)*0.475*44/12</f>
        <v>28.85383241720378</v>
      </c>
      <c r="AW125" s="21">
        <f>EXP(-LN(2)/2)*AW124+(1-EXP(-LN(2)/2))/(LN(2)/2)*AQ125*AT125*VLOOKUP('Données projet'!$B$10,Paramètres!$A$1:$I$89,3,0)*0.475*44/12</f>
        <v>9.4425891539773652E-5</v>
      </c>
      <c r="AX125" s="21">
        <f t="shared" si="60"/>
        <v>88.282935809162367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4.7884896048344674E-14</v>
      </c>
      <c r="BF125" s="13">
        <f t="shared" si="91"/>
        <v>7.8374629847779921E-13</v>
      </c>
      <c r="BG125" s="20">
        <f t="shared" si="61"/>
        <v>1.4484243304663672E-12</v>
      </c>
      <c r="BH125" s="59">
        <f t="shared" si="62"/>
        <v>282.49424588214322</v>
      </c>
      <c r="BI125" s="59">
        <f ca="1">AVERAGE(OFFSET($BH$3,0,0,'Données projet'!$E$11+1,1))-AVERAGE(OFFSET($H$3,0,0,'Données projet'!$E$11+1,1))</f>
        <v>456.35333554128226</v>
      </c>
      <c r="BJ125" s="59">
        <f t="shared" si="92"/>
        <v>296.4517290984877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89.116946707266465</v>
      </c>
      <c r="BQ125" s="21">
        <f>EXP(-LN(2)/25)*BQ124+(1-EXP(-LN(2)/25))/(LN(2)/25)*Calculateur!BL125*Calculateur!BN125*VLOOKUP('Données projet'!$B$11,Paramètres!$A$1:$I$89,3,0)*0.475*44/12</f>
        <v>17.955012327767772</v>
      </c>
      <c r="BR125" s="21">
        <f>EXP(-LN(2)/2)*BR124+(1-EXP(-LN(2)/2))/(LN(2)/2)*BL125*BO125*VLOOKUP('Données projet'!$B$11,Paramètres!$A$1:$I$89,3,0)*0.475*44/12</f>
        <v>2.8996185644380022E-2</v>
      </c>
      <c r="BS125" s="22">
        <f t="shared" si="63"/>
        <v>107.10095522067861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8.7019999999999982</v>
      </c>
      <c r="BY125" s="12">
        <f>IF('Données projet'!$A$114&gt;35,BY124+BX125-CG124,IF(A125&lt;'Données projet'!$A$114,$BV$205^A125,IF(A125='Données projet'!$A$114,'Données projet'!$B$114,BY124+BX125-CG124)))</f>
        <v>400.82800000000026</v>
      </c>
      <c r="BZ125" s="13">
        <f>BY125*VLOOKUP('Données projet'!$B$12,Paramètres!$A$1:$I$89,3,0)*VLOOKUP('Données projet'!$B$12,Paramètres!$A$1:$I$89,5,0)</f>
        <v>381.42792480000026</v>
      </c>
      <c r="CA125" s="13">
        <f t="shared" si="93"/>
        <v>88.001107275506357</v>
      </c>
      <c r="CB125" s="20">
        <f t="shared" si="64"/>
        <v>817.58889753150731</v>
      </c>
      <c r="CC125" s="59">
        <f t="shared" si="65"/>
        <v>1100.0831434136492</v>
      </c>
      <c r="CD125" s="59">
        <f ca="1">AVERAGE(OFFSET($CC$3,0,0,'Données projet'!$E$12+1,1))-AVERAGE(OFFSET($H$3,0,0,'Données projet'!$E$12+1,1))</f>
        <v>486.36097333679697</v>
      </c>
      <c r="CE125" s="59">
        <f t="shared" si="94"/>
        <v>308.47736602748159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24.836461892724405</v>
      </c>
      <c r="CL125" s="21">
        <f>EXP(-LN(2)/25)*CL124+(1-EXP(-LN(2)/25))/(LN(2)/25)*Calculateur!CG125*Calculateur!CI125*VLOOKUP('Données projet'!$B$12,Paramètres!$A$1:$I$89,3,0)*0.475*44/12</f>
        <v>21.098419789356889</v>
      </c>
      <c r="CM125" s="21">
        <f>EXP(-LN(2)/2)*CM124+(1-EXP(-LN(2)/2))/(LN(2)/2)*CG125*CJ125*VLOOKUP('Données projet'!$B$12,Paramètres!$A$1:$I$89,3,0)*0.475*44/12</f>
        <v>0.70288489708206559</v>
      </c>
      <c r="CN125" s="22">
        <f t="shared" si="66"/>
        <v>46.637766579163362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282.68227981685851</v>
      </c>
      <c r="S126" s="59">
        <f ca="1">AVERAGE(OFFSET($R$3,0,0,'Données projet'!$E$9+1,1))-AVERAGE(OFFSET($H$3,0,0,'Données projet'!$E$9+1,1))</f>
        <v>407.05634973057056</v>
      </c>
      <c r="T126" s="59">
        <f t="shared" si="88"/>
        <v>375.32891954889965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10.745999999999999</v>
      </c>
      <c r="AI126" s="13">
        <f>IF('Données projet'!$A$62&gt;35,AI125+AH126-AQ125,IF(A126&lt;'Données projet'!$A$62,$AF$205^A126,IF(A126='Données projet'!$A$62,'Données projet'!$B$62,AI125+AH126-AQ125)))</f>
        <v>531.1880000000001</v>
      </c>
      <c r="AJ126" s="13">
        <f>AI126*VLOOKUP('Données projet'!$B$10,Paramètres!$A$1:$I$89,3,0)*VLOOKUP('Données projet'!$B$10,Paramètres!$A$1:$I$89,5,0)</f>
        <v>480.61890240000002</v>
      </c>
      <c r="AK126" s="13">
        <f t="shared" si="89"/>
        <v>107.9422070202726</v>
      </c>
      <c r="AL126" s="20">
        <f t="shared" si="58"/>
        <v>1025.0772655736414</v>
      </c>
      <c r="AM126" s="59">
        <f t="shared" si="59"/>
        <v>1307.7595453904921</v>
      </c>
      <c r="AN126" s="59">
        <f ca="1">AVERAGE(OFFSET($AM$3,0,0,'Données projet'!$E$10+1,1))-AVERAGE(OFFSET($H$3,0,0,'Données projet'!$E$10+1,1))</f>
        <v>737.40414421611001</v>
      </c>
      <c r="AO126" s="59">
        <f t="shared" si="90"/>
        <v>245.32893490531674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58.263642348358736</v>
      </c>
      <c r="AV126" s="21">
        <f>EXP(-LN(2)/25)*AV125+(1-EXP(-LN(2)/25))/(LN(2)/25)*Calculateur!AQ126*Calculateur!AS126*VLOOKUP('Données projet'!$B$10,Paramètres!$A$1:$I$89,3,0)*0.475*44/12</f>
        <v>28.06482285239824</v>
      </c>
      <c r="AW126" s="21">
        <f>EXP(-LN(2)/2)*AW125+(1-EXP(-LN(2)/2))/(LN(2)/2)*AQ126*AT126*VLOOKUP('Données projet'!$B$10,Paramètres!$A$1:$I$89,3,0)*0.475*44/12</f>
        <v>6.6769188227359396E-5</v>
      </c>
      <c r="AX126" s="21">
        <f t="shared" si="60"/>
        <v>86.328531969945203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4.7884896048344674E-14</v>
      </c>
      <c r="BF126" s="13">
        <f t="shared" si="91"/>
        <v>7.8374629847779921E-13</v>
      </c>
      <c r="BG126" s="20">
        <f t="shared" si="61"/>
        <v>1.4484243304663672E-12</v>
      </c>
      <c r="BH126" s="59">
        <f t="shared" si="62"/>
        <v>282.68227981685209</v>
      </c>
      <c r="BI126" s="59">
        <f ca="1">AVERAGE(OFFSET($BH$3,0,0,'Données projet'!$E$11+1,1))-AVERAGE(OFFSET($H$3,0,0,'Données projet'!$E$11+1,1))</f>
        <v>456.35333554128226</v>
      </c>
      <c r="BJ126" s="59">
        <f t="shared" si="92"/>
        <v>296.4517290984877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87.369417738307249</v>
      </c>
      <c r="BQ126" s="21">
        <f>EXP(-LN(2)/25)*BQ125+(1-EXP(-LN(2)/25))/(LN(2)/25)*Calculateur!BL126*Calculateur!BN126*VLOOKUP('Données projet'!$B$11,Paramètres!$A$1:$I$89,3,0)*0.475*44/12</f>
        <v>17.464031571451901</v>
      </c>
      <c r="BR126" s="21">
        <f>EXP(-LN(2)/2)*BR125+(1-EXP(-LN(2)/2))/(LN(2)/2)*BL126*BO126*VLOOKUP('Données projet'!$B$11,Paramètres!$A$1:$I$89,3,0)*0.475*44/12</f>
        <v>2.0503399497685135E-2</v>
      </c>
      <c r="BS126" s="22">
        <f t="shared" si="63"/>
        <v>104.85395270925683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409.53</v>
      </c>
      <c r="BW126" s="12">
        <f>VLOOKUP(A126,'Données projet'!$A$113:$I$133,9,0)</f>
        <v>8.7019999999999982</v>
      </c>
      <c r="BX126" s="12">
        <f t="array" ref="BX126">INDEX(BW:BW,MIN(IF(ISNUMBER(BW126:BW322),ROW(BW126:BW322),"")))</f>
        <v>8.7019999999999982</v>
      </c>
      <c r="BY126" s="12">
        <f>IF('Données projet'!$A$114&gt;35,BY125+BX126-CG125,IF(A126&lt;'Données projet'!$A$114,$BV$205^A126,IF(A126='Données projet'!$A$114,'Données projet'!$B$114,BY125+BX126-CG125)))</f>
        <v>409.53000000000026</v>
      </c>
      <c r="BZ126" s="13">
        <f>BY126*VLOOKUP('Données projet'!$B$12,Paramètres!$A$1:$I$89,3,0)*VLOOKUP('Données projet'!$B$12,Paramètres!$A$1:$I$89,5,0)</f>
        <v>389.70874800000024</v>
      </c>
      <c r="CA126" s="13">
        <f t="shared" si="93"/>
        <v>89.687117370320195</v>
      </c>
      <c r="CB126" s="20">
        <f t="shared" si="64"/>
        <v>834.94779885330809</v>
      </c>
      <c r="CC126" s="59">
        <f t="shared" si="65"/>
        <v>1117.6300786701588</v>
      </c>
      <c r="CD126" s="59">
        <f ca="1">AVERAGE(OFFSET($CC$3,0,0,'Données projet'!$E$12+1,1))-AVERAGE(OFFSET($H$3,0,0,'Données projet'!$E$12+1,1))</f>
        <v>486.36097333679697</v>
      </c>
      <c r="CE126" s="59">
        <f t="shared" si="94"/>
        <v>308.47736602748159</v>
      </c>
      <c r="CF126" s="15">
        <f>IF(ISNA(VLOOKUP(A126,'Données projet'!$A$113:$I$133,3,0)),0,VLOOKUP(A126,'Données projet'!$A$113:$I$133,3,0))</f>
        <v>11</v>
      </c>
      <c r="CG126" s="15">
        <f>IF(ISNA(VLOOKUP(A126,'Données projet'!$A$113:$I$133,4,0)),0,VLOOKUP(A126,'Données projet'!$A$113:$I$133,4,0))</f>
        <v>203.78999999999996</v>
      </c>
      <c r="CH126" s="16">
        <f>IF(ISNA(VLOOKUP(A126,'Données projet'!$A$113:$I$133,5,0)),0%,VLOOKUP(A126,'Données projet'!$A$113:$I$133,5,0)*VLOOKUP('Données projet'!$B$12,Paramètres!$A$1:$I$89,7,0))</f>
        <v>0.1075</v>
      </c>
      <c r="CI126" s="16">
        <f>IF(ISNA(VLOOKUP(A126,'Données projet'!$A$113:$I$133,6,0)),0%,VLOOKUP(A126,'Données projet'!$A$113:$I$133,6,0)*VLOOKUP('Données projet'!$B$12,Paramètres!$A$1:$I$89,7,0))</f>
        <v>0.1075</v>
      </c>
      <c r="CJ126" s="16">
        <f>IF(ISNA(VLOOKUP(A126,'Données projet'!$A$113:$I$133,7,0)),0%,VLOOKUP(A126,'Données projet'!$A$113:$I$133,7,0))</f>
        <v>0.25</v>
      </c>
      <c r="CK126" s="21">
        <f>EXP(-LN(2)/35)*CK125+(1-EXP(-LN(2)/35))/(LN(2)/35)*CG126*CH126*VLOOKUP('Données projet'!$B$12,Paramètres!$A$1:$I$89,3,0)*0.475*44/12</f>
        <v>47.395291796713614</v>
      </c>
      <c r="CL126" s="21">
        <f>EXP(-LN(2)/25)*CL125+(1-EXP(-LN(2)/25))/(LN(2)/25)*Calculateur!CG126*Calculateur!CI126*VLOOKUP('Données projet'!$B$12,Paramètres!$A$1:$I$89,3,0)*0.475*44/12</f>
        <v>43.476599840446454</v>
      </c>
      <c r="CM126" s="21">
        <f>EXP(-LN(2)/2)*CM125+(1-EXP(-LN(2)/2))/(LN(2)/2)*CG126*CJ126*VLOOKUP('Données projet'!$B$12,Paramètres!$A$1:$I$89,3,0)*0.475*44/12</f>
        <v>46.240747824856413</v>
      </c>
      <c r="CN126" s="22">
        <f t="shared" si="66"/>
        <v>137.11263946201649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282.86705178318118</v>
      </c>
      <c r="S127" s="59">
        <f ca="1">AVERAGE(OFFSET($R$3,0,0,'Données projet'!$E$9+1,1))-AVERAGE(OFFSET($H$3,0,0,'Données projet'!$E$9+1,1))</f>
        <v>407.05634973057056</v>
      </c>
      <c r="T127" s="59">
        <f t="shared" si="88"/>
        <v>375.32891954889965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10.745999999999999</v>
      </c>
      <c r="AI127" s="13">
        <f>IF('Données projet'!$A$62&gt;35,AI126+AH127-AQ126,IF(A127&lt;'Données projet'!$A$62,$AF$205^A127,IF(A127='Données projet'!$A$62,'Données projet'!$B$62,AI126+AH127-AQ126)))</f>
        <v>541.93400000000008</v>
      </c>
      <c r="AJ127" s="13">
        <f>AI127*VLOOKUP('Données projet'!$B$10,Paramètres!$A$1:$I$89,3,0)*VLOOKUP('Données projet'!$B$10,Paramètres!$A$1:$I$89,5,0)</f>
        <v>490.34188320000004</v>
      </c>
      <c r="AK127" s="13">
        <f t="shared" si="89"/>
        <v>109.86945570602957</v>
      </c>
      <c r="AL127" s="20">
        <f t="shared" si="58"/>
        <v>1045.3680819280014</v>
      </c>
      <c r="AM127" s="59">
        <f t="shared" si="59"/>
        <v>1328.2351337111747</v>
      </c>
      <c r="AN127" s="59">
        <f ca="1">AVERAGE(OFFSET($AM$3,0,0,'Données projet'!$E$10+1,1))-AVERAGE(OFFSET($H$3,0,0,'Données projet'!$E$10+1,1))</f>
        <v>737.40414421611001</v>
      </c>
      <c r="AO127" s="59">
        <f t="shared" si="90"/>
        <v>245.32893490531674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57.121127859220238</v>
      </c>
      <c r="AV127" s="21">
        <f>EXP(-LN(2)/25)*AV126+(1-EXP(-LN(2)/25))/(LN(2)/25)*Calculateur!AQ127*Calculateur!AS127*VLOOKUP('Données projet'!$B$10,Paramètres!$A$1:$I$89,3,0)*0.475*44/12</f>
        <v>27.297388795634518</v>
      </c>
      <c r="AW127" s="21">
        <f>EXP(-LN(2)/2)*AW126+(1-EXP(-LN(2)/2))/(LN(2)/2)*AQ127*AT127*VLOOKUP('Données projet'!$B$10,Paramètres!$A$1:$I$89,3,0)*0.475*44/12</f>
        <v>4.7212945769886826E-5</v>
      </c>
      <c r="AX127" s="21">
        <f t="shared" si="60"/>
        <v>84.418563867800529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4.7884896048344674E-14</v>
      </c>
      <c r="BF127" s="13">
        <f t="shared" si="91"/>
        <v>7.8374629847779921E-13</v>
      </c>
      <c r="BG127" s="20">
        <f t="shared" si="61"/>
        <v>1.4484243304663672E-12</v>
      </c>
      <c r="BH127" s="59">
        <f t="shared" si="62"/>
        <v>282.86705178317476</v>
      </c>
      <c r="BI127" s="59">
        <f ca="1">AVERAGE(OFFSET($BH$3,0,0,'Données projet'!$E$11+1,1))-AVERAGE(OFFSET($H$3,0,0,'Données projet'!$E$11+1,1))</f>
        <v>456.35333554128226</v>
      </c>
      <c r="BJ127" s="59">
        <f t="shared" si="92"/>
        <v>296.4517290984877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85.65615674654191</v>
      </c>
      <c r="BQ127" s="21">
        <f>EXP(-LN(2)/25)*BQ126+(1-EXP(-LN(2)/25))/(LN(2)/25)*Calculateur!BL127*Calculateur!BN127*VLOOKUP('Données projet'!$B$11,Paramètres!$A$1:$I$89,3,0)*0.475*44/12</f>
        <v>16.986476709737044</v>
      </c>
      <c r="BR127" s="21">
        <f>EXP(-LN(2)/2)*BR126+(1-EXP(-LN(2)/2))/(LN(2)/2)*BL127*BO127*VLOOKUP('Données projet'!$B$11,Paramètres!$A$1:$I$89,3,0)*0.475*44/12</f>
        <v>1.4498092822190011E-2</v>
      </c>
      <c r="BS127" s="22">
        <f t="shared" si="63"/>
        <v>102.65713154910115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4.8499999999999943</v>
      </c>
      <c r="BY127" s="12">
        <f>IF('Données projet'!$A$114&gt;35,BY126+BX127-CG126,IF(A127&lt;'Données projet'!$A$114,$BV$205^A127,IF(A127='Données projet'!$A$114,'Données projet'!$B$114,BY126+BX127-CG126)))</f>
        <v>210.59000000000026</v>
      </c>
      <c r="BZ127" s="13">
        <f>BY127*VLOOKUP('Données projet'!$B$12,Paramètres!$A$1:$I$89,3,0)*VLOOKUP('Données projet'!$B$12,Paramètres!$A$1:$I$89,5,0)</f>
        <v>200.39744400000023</v>
      </c>
      <c r="CA127" s="13">
        <f t="shared" si="93"/>
        <v>49.831503792487226</v>
      </c>
      <c r="CB127" s="20">
        <f t="shared" si="64"/>
        <v>435.81541740524904</v>
      </c>
      <c r="CC127" s="59">
        <f t="shared" si="65"/>
        <v>718.68246918842237</v>
      </c>
      <c r="CD127" s="59">
        <f ca="1">AVERAGE(OFFSET($CC$3,0,0,'Données projet'!$E$12+1,1))-AVERAGE(OFFSET($H$3,0,0,'Données projet'!$E$12+1,1))</f>
        <v>486.36097333679697</v>
      </c>
      <c r="CE127" s="59">
        <f t="shared" si="94"/>
        <v>308.47736602748159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46.465899032853599</v>
      </c>
      <c r="CL127" s="21">
        <f>EXP(-LN(2)/25)*CL126+(1-EXP(-LN(2)/25))/(LN(2)/25)*Calculateur!CG127*Calculateur!CI127*VLOOKUP('Données projet'!$B$12,Paramètres!$A$1:$I$89,3,0)*0.475*44/12</f>
        <v>42.287729931474431</v>
      </c>
      <c r="CM127" s="21">
        <f>EXP(-LN(2)/2)*CM126+(1-EXP(-LN(2)/2))/(LN(2)/2)*CG127*CJ127*VLOOKUP('Données projet'!$B$12,Paramètres!$A$1:$I$89,3,0)*0.475*44/12</f>
        <v>32.697146354093071</v>
      </c>
      <c r="CN127" s="22">
        <f t="shared" si="66"/>
        <v>121.45077531842111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283.04861836897635</v>
      </c>
      <c r="S128" s="59">
        <f ca="1">AVERAGE(OFFSET($R$3,0,0,'Données projet'!$E$9+1,1))-AVERAGE(OFFSET($H$3,0,0,'Données projet'!$E$9+1,1))</f>
        <v>407.05634973057056</v>
      </c>
      <c r="T128" s="59">
        <f t="shared" si="88"/>
        <v>375.32891954889965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10.745999999999999</v>
      </c>
      <c r="AI128" s="13">
        <f>IF('Données projet'!$A$62&gt;35,AI127+AH128-AQ127,IF(A128&lt;'Données projet'!$A$62,$AF$205^A128,IF(A128='Données projet'!$A$62,'Données projet'!$B$62,AI127+AH128-AQ127)))</f>
        <v>552.68000000000006</v>
      </c>
      <c r="AJ128" s="13">
        <f>AI128*VLOOKUP('Données projet'!$B$10,Paramètres!$A$1:$I$89,3,0)*VLOOKUP('Données projet'!$B$10,Paramètres!$A$1:$I$89,5,0)</f>
        <v>500.064864</v>
      </c>
      <c r="AK128" s="13">
        <f t="shared" si="89"/>
        <v>111.7922609431773</v>
      </c>
      <c r="AL128" s="20">
        <f t="shared" si="58"/>
        <v>1065.6511592760337</v>
      </c>
      <c r="AM128" s="59">
        <f t="shared" si="59"/>
        <v>1348.6997776450021</v>
      </c>
      <c r="AN128" s="59">
        <f ca="1">AVERAGE(OFFSET($AM$3,0,0,'Données projet'!$E$10+1,1))-AVERAGE(OFFSET($H$3,0,0,'Données projet'!$E$10+1,1))</f>
        <v>737.40414421611001</v>
      </c>
      <c r="AO128" s="59">
        <f t="shared" si="90"/>
        <v>245.32893490531674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56.001017382348714</v>
      </c>
      <c r="AV128" s="21">
        <f>EXP(-LN(2)/25)*AV127+(1-EXP(-LN(2)/25))/(LN(2)/25)*Calculateur!AQ128*Calculateur!AS128*VLOOKUP('Données projet'!$B$10,Paramètres!$A$1:$I$89,3,0)*0.475*44/12</f>
        <v>26.550940263510604</v>
      </c>
      <c r="AW128" s="21">
        <f>EXP(-LN(2)/2)*AW127+(1-EXP(-LN(2)/2))/(LN(2)/2)*AQ128*AT128*VLOOKUP('Données projet'!$B$10,Paramètres!$A$1:$I$89,3,0)*0.475*44/12</f>
        <v>3.3384594113679698E-5</v>
      </c>
      <c r="AX128" s="21">
        <f t="shared" si="60"/>
        <v>82.551991030453436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4.7884896048344674E-14</v>
      </c>
      <c r="BF128" s="13">
        <f t="shared" si="91"/>
        <v>7.8374629847779921E-13</v>
      </c>
      <c r="BG128" s="20">
        <f t="shared" si="61"/>
        <v>1.4484243304663672E-12</v>
      </c>
      <c r="BH128" s="59">
        <f t="shared" si="62"/>
        <v>283.04861836896993</v>
      </c>
      <c r="BI128" s="59">
        <f ca="1">AVERAGE(OFFSET($BH$3,0,0,'Données projet'!$E$11+1,1))-AVERAGE(OFFSET($H$3,0,0,'Données projet'!$E$11+1,1))</f>
        <v>456.35333554128226</v>
      </c>
      <c r="BJ128" s="59">
        <f t="shared" si="92"/>
        <v>296.4517290984877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83.976491757839071</v>
      </c>
      <c r="BQ128" s="21">
        <f>EXP(-LN(2)/25)*BQ127+(1-EXP(-LN(2)/25))/(LN(2)/25)*Calculateur!BL128*Calculateur!BN128*VLOOKUP('Données projet'!$B$11,Paramètres!$A$1:$I$89,3,0)*0.475*44/12</f>
        <v>16.521980610829296</v>
      </c>
      <c r="BR128" s="21">
        <f>EXP(-LN(2)/2)*BR127+(1-EXP(-LN(2)/2))/(LN(2)/2)*BL128*BO128*VLOOKUP('Données projet'!$B$11,Paramètres!$A$1:$I$89,3,0)*0.475*44/12</f>
        <v>1.0251699748842567E-2</v>
      </c>
      <c r="BS128" s="22">
        <f t="shared" si="63"/>
        <v>100.50872406841721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215.44</v>
      </c>
      <c r="BW128" s="12">
        <f>VLOOKUP(A128,'Données projet'!$A$113:$I$133,9,0)</f>
        <v>4.8499999999999943</v>
      </c>
      <c r="BX128" s="12">
        <f t="array" ref="BX128">INDEX(BW:BW,MIN(IF(ISNUMBER(BW128:BW324),ROW(BW128:BW324),"")))</f>
        <v>4.8499999999999943</v>
      </c>
      <c r="BY128" s="12">
        <f>IF('Données projet'!$A$114&gt;35,BY127+BX128-CG127,IF(A128&lt;'Données projet'!$A$114,$BV$205^A128,IF(A128='Données projet'!$A$114,'Données projet'!$B$114,BY127+BX128-CG127)))</f>
        <v>215.44000000000025</v>
      </c>
      <c r="BZ128" s="13">
        <f>BY128*VLOOKUP('Données projet'!$B$12,Paramètres!$A$1:$I$89,3,0)*VLOOKUP('Données projet'!$B$12,Paramètres!$A$1:$I$89,5,0)</f>
        <v>205.01270400000027</v>
      </c>
      <c r="CA128" s="13">
        <f t="shared" si="93"/>
        <v>50.844216177769056</v>
      </c>
      <c r="CB128" s="20">
        <f t="shared" si="64"/>
        <v>445.61746930961482</v>
      </c>
      <c r="CC128" s="59">
        <f t="shared" si="65"/>
        <v>728.66608767858338</v>
      </c>
      <c r="CD128" s="59">
        <f ca="1">AVERAGE(OFFSET($CC$3,0,0,'Données projet'!$E$12+1,1))-AVERAGE(OFFSET($H$3,0,0,'Données projet'!$E$12+1,1))</f>
        <v>486.36097333679697</v>
      </c>
      <c r="CE128" s="59">
        <f t="shared" si="94"/>
        <v>308.47736602748159</v>
      </c>
      <c r="CF128" s="15">
        <f>IF(ISNA(VLOOKUP(A128,'Données projet'!$A$113:$I$133,3,0)),0,VLOOKUP(A128,'Données projet'!$A$113:$I$133,3,0))</f>
        <v>12</v>
      </c>
      <c r="CG128" s="15">
        <f>IF(ISNA(VLOOKUP(A128,'Données projet'!$A$113:$I$133,4,0)),0,VLOOKUP(A128,'Données projet'!$A$113:$I$133,4,0))</f>
        <v>70.609999999999985</v>
      </c>
      <c r="CH128" s="16">
        <f>IF(ISNA(VLOOKUP(A128,'Données projet'!$A$113:$I$133,5,0)),0%,VLOOKUP(A128,'Données projet'!$A$113:$I$133,5,0)*VLOOKUP('Données projet'!$B$12,Paramètres!$A$1:$I$89,7,0))</f>
        <v>0.1075</v>
      </c>
      <c r="CI128" s="16">
        <f>IF(ISNA(VLOOKUP(A128,'Données projet'!$A$113:$I$133,6,0)),0%,VLOOKUP(A128,'Données projet'!$A$113:$I$133,6,0)*VLOOKUP('Données projet'!$B$12,Paramètres!$A$1:$I$89,7,0))</f>
        <v>0.1075</v>
      </c>
      <c r="CJ128" s="16">
        <f>IF(ISNA(VLOOKUP(A128,'Données projet'!$A$113:$I$133,7,0)),0%,VLOOKUP(A128,'Données projet'!$A$113:$I$133,7,0))</f>
        <v>0.25</v>
      </c>
      <c r="CK128" s="21">
        <f>EXP(-LN(2)/35)*CK127+(1-EXP(-LN(2)/35))/(LN(2)/35)*CG128*CH128*VLOOKUP('Données projet'!$B$12,Paramètres!$A$1:$I$89,3,0)*0.475*44/12</f>
        <v>53.539754978358225</v>
      </c>
      <c r="CL128" s="21">
        <f>EXP(-LN(2)/25)*CL127+(1-EXP(-LN(2)/25))/(LN(2)/25)*Calculateur!CG128*Calculateur!CI128*VLOOKUP('Données projet'!$B$12,Paramètres!$A$1:$I$89,3,0)*0.475*44/12</f>
        <v>49.084953535257661</v>
      </c>
      <c r="CM128" s="21">
        <f>EXP(-LN(2)/2)*CM127+(1-EXP(-LN(2)/2))/(LN(2)/2)*CG128*CJ128*VLOOKUP('Données projet'!$B$12,Paramètres!$A$1:$I$89,3,0)*0.475*44/12</f>
        <v>38.969851303672357</v>
      </c>
      <c r="CN128" s="22">
        <f t="shared" si="66"/>
        <v>141.59455981728826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283.22703518043005</v>
      </c>
      <c r="S129" s="59">
        <f ca="1">AVERAGE(OFFSET($R$3,0,0,'Données projet'!$E$9+1,1))-AVERAGE(OFFSET($H$3,0,0,'Données projet'!$E$9+1,1))</f>
        <v>407.05634973057056</v>
      </c>
      <c r="T129" s="59">
        <f t="shared" si="88"/>
        <v>375.32891954889965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10.745999999999999</v>
      </c>
      <c r="AI129" s="13">
        <f>IF('Données projet'!$A$62&gt;35,AI128+AH129-AQ128,IF(A129&lt;'Données projet'!$A$62,$AF$205^A129,IF(A129='Données projet'!$A$62,'Données projet'!$B$62,AI128+AH129-AQ128)))</f>
        <v>563.42600000000004</v>
      </c>
      <c r="AJ129" s="13">
        <f>AI129*VLOOKUP('Données projet'!$B$10,Paramètres!$A$1:$I$89,3,0)*VLOOKUP('Données projet'!$B$10,Paramètres!$A$1:$I$89,5,0)</f>
        <v>509.78784480000002</v>
      </c>
      <c r="AK129" s="13">
        <f t="shared" si="89"/>
        <v>113.71071908731024</v>
      </c>
      <c r="AL129" s="20">
        <f t="shared" si="58"/>
        <v>1085.9266654370654</v>
      </c>
      <c r="AM129" s="59">
        <f t="shared" si="59"/>
        <v>1369.1537006174876</v>
      </c>
      <c r="AN129" s="59">
        <f ca="1">AVERAGE(OFFSET($AM$3,0,0,'Données projet'!$E$10+1,1))-AVERAGE(OFFSET($H$3,0,0,'Données projet'!$E$10+1,1))</f>
        <v>737.40414421611001</v>
      </c>
      <c r="AO129" s="59">
        <f t="shared" si="90"/>
        <v>245.32893490531674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54.902871588728708</v>
      </c>
      <c r="AV129" s="21">
        <f>EXP(-LN(2)/25)*AV128+(1-EXP(-LN(2)/25))/(LN(2)/25)*Calculateur!AQ129*Calculateur!AS129*VLOOKUP('Données projet'!$B$10,Paramètres!$A$1:$I$89,3,0)*0.475*44/12</f>
        <v>25.824903405751641</v>
      </c>
      <c r="AW129" s="21">
        <f>EXP(-LN(2)/2)*AW128+(1-EXP(-LN(2)/2))/(LN(2)/2)*AQ129*AT129*VLOOKUP('Données projet'!$B$10,Paramètres!$A$1:$I$89,3,0)*0.475*44/12</f>
        <v>2.3606472884943413E-5</v>
      </c>
      <c r="AX129" s="21">
        <f t="shared" si="60"/>
        <v>80.727798600953221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4.7884896048344674E-14</v>
      </c>
      <c r="BF129" s="13">
        <f t="shared" si="91"/>
        <v>7.8374629847779921E-13</v>
      </c>
      <c r="BG129" s="20">
        <f t="shared" si="61"/>
        <v>1.4484243304663672E-12</v>
      </c>
      <c r="BH129" s="59">
        <f t="shared" si="62"/>
        <v>283.22703518042363</v>
      </c>
      <c r="BI129" s="59">
        <f ca="1">AVERAGE(OFFSET($BH$3,0,0,'Données projet'!$E$11+1,1))-AVERAGE(OFFSET($H$3,0,0,'Données projet'!$E$11+1,1))</f>
        <v>456.35333554128226</v>
      </c>
      <c r="BJ129" s="59">
        <f t="shared" si="92"/>
        <v>296.4517290984877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82.329763975070207</v>
      </c>
      <c r="BQ129" s="21">
        <f>EXP(-LN(2)/25)*BQ128+(1-EXP(-LN(2)/25))/(LN(2)/25)*Calculateur!BL129*Calculateur!BN129*VLOOKUP('Données projet'!$B$11,Paramètres!$A$1:$I$89,3,0)*0.475*44/12</f>
        <v>16.070186182172971</v>
      </c>
      <c r="BR129" s="21">
        <f>EXP(-LN(2)/2)*BR128+(1-EXP(-LN(2)/2))/(LN(2)/2)*BL129*BO129*VLOOKUP('Données projet'!$B$11,Paramètres!$A$1:$I$89,3,0)*0.475*44/12</f>
        <v>7.2490464110950056E-3</v>
      </c>
      <c r="BS129" s="22">
        <f t="shared" si="63"/>
        <v>98.407199203654272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3.3249999999999886</v>
      </c>
      <c r="BY129" s="12">
        <f>IF('Données projet'!$A$114&gt;35,BY128+BX129-CG128,IF(A129&lt;'Données projet'!$A$114,$BV$205^A129,IF(A129='Données projet'!$A$114,'Données projet'!$B$114,BY128+BX129-CG128)))</f>
        <v>148.15500000000026</v>
      </c>
      <c r="BZ129" s="13">
        <f>BY129*VLOOKUP('Données projet'!$B$12,Paramètres!$A$1:$I$89,3,0)*VLOOKUP('Données projet'!$B$12,Paramètres!$A$1:$I$89,5,0)</f>
        <v>140.98429800000025</v>
      </c>
      <c r="CA129" s="13">
        <f t="shared" si="93"/>
        <v>36.522402318303413</v>
      </c>
      <c r="CB129" s="20">
        <f t="shared" si="64"/>
        <v>309.15750305437888</v>
      </c>
      <c r="CC129" s="59">
        <f t="shared" si="65"/>
        <v>592.38453823480108</v>
      </c>
      <c r="CD129" s="59">
        <f ca="1">AVERAGE(OFFSET($CC$3,0,0,'Données projet'!$E$12+1,1))-AVERAGE(OFFSET($H$3,0,0,'Données projet'!$E$12+1,1))</f>
        <v>486.36097333679697</v>
      </c>
      <c r="CE129" s="59">
        <f t="shared" si="94"/>
        <v>308.47736602748159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52.48987303925864</v>
      </c>
      <c r="CL129" s="21">
        <f>EXP(-LN(2)/25)*CL128+(1-EXP(-LN(2)/25))/(LN(2)/25)*Calculateur!CG129*Calculateur!CI129*VLOOKUP('Données projet'!$B$12,Paramètres!$A$1:$I$89,3,0)*0.475*44/12</f>
        <v>47.742722899570516</v>
      </c>
      <c r="CM129" s="21">
        <f>EXP(-LN(2)/2)*CM128+(1-EXP(-LN(2)/2))/(LN(2)/2)*CG129*CJ129*VLOOKUP('Données projet'!$B$12,Paramètres!$A$1:$I$89,3,0)*0.475*44/12</f>
        <v>27.555846118658145</v>
      </c>
      <c r="CN129" s="22">
        <f t="shared" si="66"/>
        <v>127.78844205748729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283.40235685908527</v>
      </c>
      <c r="S130" s="59">
        <f ca="1">AVERAGE(OFFSET($R$3,0,0,'Données projet'!$E$9+1,1))-AVERAGE(OFFSET($H$3,0,0,'Données projet'!$E$9+1,1))</f>
        <v>407.05634973057056</v>
      </c>
      <c r="T130" s="59">
        <f t="shared" si="88"/>
        <v>375.32891954889965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10.745999999999999</v>
      </c>
      <c r="AI130" s="13">
        <f>IF('Données projet'!$A$62&gt;35,AI129+AH130-AQ129,IF(A130&lt;'Données projet'!$A$62,$AF$205^A130,IF(A130='Données projet'!$A$62,'Données projet'!$B$62,AI129+AH130-AQ129)))</f>
        <v>574.17200000000003</v>
      </c>
      <c r="AJ130" s="13">
        <f>AI130*VLOOKUP('Données projet'!$B$10,Paramètres!$A$1:$I$89,3,0)*VLOOKUP('Données projet'!$B$10,Paramètres!$A$1:$I$89,5,0)</f>
        <v>519.51082560000009</v>
      </c>
      <c r="AK130" s="13">
        <f t="shared" si="89"/>
        <v>115.62492260821269</v>
      </c>
      <c r="AL130" s="20">
        <f t="shared" si="58"/>
        <v>1106.1947614626372</v>
      </c>
      <c r="AM130" s="59">
        <f t="shared" si="59"/>
        <v>1389.5971183217146</v>
      </c>
      <c r="AN130" s="59">
        <f ca="1">AVERAGE(OFFSET($AM$3,0,0,'Données projet'!$E$10+1,1))-AVERAGE(OFFSET($H$3,0,0,'Données projet'!$E$10+1,1))</f>
        <v>737.40414421611001</v>
      </c>
      <c r="AO130" s="59">
        <f t="shared" si="90"/>
        <v>245.32893490531674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53.826259764318799</v>
      </c>
      <c r="AV130" s="21">
        <f>EXP(-LN(2)/25)*AV129+(1-EXP(-LN(2)/25))/(LN(2)/25)*Calculateur!AQ130*Calculateur!AS130*VLOOKUP('Données projet'!$B$10,Paramètres!$A$1:$I$89,3,0)*0.475*44/12</f>
        <v>25.118720064048716</v>
      </c>
      <c r="AW130" s="21">
        <f>EXP(-LN(2)/2)*AW129+(1-EXP(-LN(2)/2))/(LN(2)/2)*AQ130*AT130*VLOOKUP('Données projet'!$B$10,Paramètres!$A$1:$I$89,3,0)*0.475*44/12</f>
        <v>1.6692297056839849E-5</v>
      </c>
      <c r="AX130" s="21">
        <f t="shared" si="60"/>
        <v>78.94499652066456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4.7884896048344674E-14</v>
      </c>
      <c r="BF130" s="13">
        <f t="shared" si="91"/>
        <v>7.8374629847779921E-13</v>
      </c>
      <c r="BG130" s="20">
        <f t="shared" si="61"/>
        <v>1.4484243304663672E-12</v>
      </c>
      <c r="BH130" s="59">
        <f t="shared" si="62"/>
        <v>283.40235685907885</v>
      </c>
      <c r="BI130" s="59">
        <f ca="1">AVERAGE(OFFSET($BH$3,0,0,'Données projet'!$E$11+1,1))-AVERAGE(OFFSET($H$3,0,0,'Données projet'!$E$11+1,1))</f>
        <v>456.35333554128226</v>
      </c>
      <c r="BJ130" s="59">
        <f t="shared" si="92"/>
        <v>296.4517290984877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80.715327519716666</v>
      </c>
      <c r="BQ130" s="21">
        <f>EXP(-LN(2)/25)*BQ129+(1-EXP(-LN(2)/25))/(LN(2)/25)*Calculateur!BL130*Calculateur!BN130*VLOOKUP('Données projet'!$B$11,Paramètres!$A$1:$I$89,3,0)*0.475*44/12</f>
        <v>15.630746095927089</v>
      </c>
      <c r="BR130" s="21">
        <f>EXP(-LN(2)/2)*BR129+(1-EXP(-LN(2)/2))/(LN(2)/2)*BL130*BO130*VLOOKUP('Données projet'!$B$11,Paramètres!$A$1:$I$89,3,0)*0.475*44/12</f>
        <v>5.1258498744212837E-3</v>
      </c>
      <c r="BS130" s="22">
        <f t="shared" si="63"/>
        <v>96.351199465518178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151.47999999999999</v>
      </c>
      <c r="BW130" s="12">
        <f>VLOOKUP(A130,'Données projet'!$A$113:$I$133,9,0)</f>
        <v>3.3249999999999886</v>
      </c>
      <c r="BX130" s="12">
        <f t="array" ref="BX130">INDEX(BW:BW,MIN(IF(ISNUMBER(BW130:BW326),ROW(BW130:BW326),"")))</f>
        <v>3.3249999999999886</v>
      </c>
      <c r="BY130" s="12">
        <f>IF('Données projet'!$A$114&gt;35,BY129+BX130-CG129,IF(A130&lt;'Données projet'!$A$114,$BV$205^A130,IF(A130='Données projet'!$A$114,'Données projet'!$B$114,BY129+BX130-CG129)))</f>
        <v>151.48000000000025</v>
      </c>
      <c r="BZ130" s="13">
        <f>BY130*VLOOKUP('Données projet'!$B$12,Paramètres!$A$1:$I$89,3,0)*VLOOKUP('Données projet'!$B$12,Paramètres!$A$1:$I$89,5,0)</f>
        <v>144.14836800000023</v>
      </c>
      <c r="CA130" s="13">
        <f t="shared" si="93"/>
        <v>37.245717260811411</v>
      </c>
      <c r="CB130" s="20">
        <f t="shared" si="64"/>
        <v>315.92803182924689</v>
      </c>
      <c r="CC130" s="59">
        <f t="shared" si="65"/>
        <v>599.33038868832432</v>
      </c>
      <c r="CD130" s="59">
        <f ca="1">AVERAGE(OFFSET($CC$3,0,0,'Données projet'!$E$12+1,1))-AVERAGE(OFFSET($H$3,0,0,'Données projet'!$E$12+1,1))</f>
        <v>486.36097333679697</v>
      </c>
      <c r="CE130" s="59">
        <f t="shared" si="94"/>
        <v>308.47736602748159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46.039999999999992</v>
      </c>
      <c r="CH130" s="16">
        <f>IF(ISNA(VLOOKUP(A130,'Données projet'!$A$113:$I$133,5,0)),0%,VLOOKUP(A130,'Données projet'!$A$113:$I$133,5,0)*VLOOKUP('Données projet'!$B$12,Paramètres!$A$1:$I$89,7,0))</f>
        <v>0.1075</v>
      </c>
      <c r="CI130" s="16">
        <f>IF(ISNA(VLOOKUP(A130,'Données projet'!$A$113:$I$133,6,0)),0%,VLOOKUP(A130,'Données projet'!$A$113:$I$133,6,0)*VLOOKUP('Données projet'!$B$12,Paramètres!$A$1:$I$89,7,0))</f>
        <v>0.1075</v>
      </c>
      <c r="CJ130" s="16">
        <f>IF(ISNA(VLOOKUP(A130,'Données projet'!$A$113:$I$133,7,0)),0%,VLOOKUP(A130,'Données projet'!$A$113:$I$133,7,0))</f>
        <v>0.25</v>
      </c>
      <c r="CK130" s="21">
        <f>EXP(-LN(2)/35)*CK129+(1-EXP(-LN(2)/35))/(LN(2)/35)*CG130*CH130*VLOOKUP('Données projet'!$B$12,Paramètres!$A$1:$I$89,3,0)*0.475*44/12</f>
        <v>56.667072053850433</v>
      </c>
      <c r="CL130" s="21">
        <f>EXP(-LN(2)/25)*CL129+(1-EXP(-LN(2)/25))/(LN(2)/25)*Calculateur!CG130*Calculateur!CI130*VLOOKUP('Données projet'!$B$12,Paramètres!$A$1:$I$89,3,0)*0.475*44/12</f>
        <v>51.623189092049806</v>
      </c>
      <c r="CM130" s="21">
        <f>EXP(-LN(2)/2)*CM129+(1-EXP(-LN(2)/2))/(LN(2)/2)*CG130*CJ130*VLOOKUP('Données projet'!$B$12,Paramètres!$A$1:$I$89,3,0)*0.475*44/12</f>
        <v>29.819296691248169</v>
      </c>
      <c r="CN130" s="22">
        <f t="shared" si="66"/>
        <v>138.10955783714843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283.57463709857637</v>
      </c>
      <c r="S131" s="59">
        <f ca="1">AVERAGE(OFFSET($R$3,0,0,'Données projet'!$E$9+1,1))-AVERAGE(OFFSET($H$3,0,0,'Données projet'!$E$9+1,1))</f>
        <v>407.05634973057056</v>
      </c>
      <c r="T131" s="59">
        <f t="shared" si="88"/>
        <v>375.32891954889965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10.745999999999999</v>
      </c>
      <c r="AI131" s="13">
        <f>IF('Données projet'!$A$62&gt;35,AI130+AH131-AQ130,IF(A131&lt;'Données projet'!$A$62,$AF$205^A131,IF(A131='Données projet'!$A$62,'Données projet'!$B$62,AI130+AH131-AQ130)))</f>
        <v>584.91800000000001</v>
      </c>
      <c r="AJ131" s="13">
        <f>AI131*VLOOKUP('Données projet'!$B$10,Paramètres!$A$1:$I$89,3,0)*VLOOKUP('Données projet'!$B$10,Paramètres!$A$1:$I$89,5,0)</f>
        <v>529.23380639999993</v>
      </c>
      <c r="AK131" s="13">
        <f t="shared" si="89"/>
        <v>117.53496031630661</v>
      </c>
      <c r="AL131" s="20">
        <f t="shared" si="58"/>
        <v>1126.4556020309005</v>
      </c>
      <c r="AM131" s="59">
        <f t="shared" si="59"/>
        <v>1410.030239129469</v>
      </c>
      <c r="AN131" s="59">
        <f ca="1">AVERAGE(OFFSET($AM$3,0,0,'Données projet'!$E$10+1,1))-AVERAGE(OFFSET($H$3,0,0,'Données projet'!$E$10+1,1))</f>
        <v>737.40414421611001</v>
      </c>
      <c r="AO131" s="59">
        <f t="shared" si="90"/>
        <v>245.32893490531674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52.770759641117195</v>
      </c>
      <c r="AV131" s="21">
        <f>EXP(-LN(2)/25)*AV130+(1-EXP(-LN(2)/25))/(LN(2)/25)*Calculateur!AQ131*Calculateur!AS131*VLOOKUP('Données projet'!$B$10,Paramètres!$A$1:$I$89,3,0)*0.475*44/12</f>
        <v>24.431847342961227</v>
      </c>
      <c r="AW131" s="21">
        <f>EXP(-LN(2)/2)*AW130+(1-EXP(-LN(2)/2))/(LN(2)/2)*AQ131*AT131*VLOOKUP('Données projet'!$B$10,Paramètres!$A$1:$I$89,3,0)*0.475*44/12</f>
        <v>1.1803236442471706E-5</v>
      </c>
      <c r="AX131" s="21">
        <f t="shared" si="60"/>
        <v>77.202618787314861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4.7884896048344674E-14</v>
      </c>
      <c r="BF131" s="13">
        <f t="shared" si="91"/>
        <v>7.8374629847779921E-13</v>
      </c>
      <c r="BG131" s="20">
        <f t="shared" si="61"/>
        <v>1.4484243304663672E-12</v>
      </c>
      <c r="BH131" s="59">
        <f t="shared" si="62"/>
        <v>283.57463709856995</v>
      </c>
      <c r="BI131" s="59">
        <f ca="1">AVERAGE(OFFSET($BH$3,0,0,'Données projet'!$E$11+1,1))-AVERAGE(OFFSET($H$3,0,0,'Données projet'!$E$11+1,1))</f>
        <v>456.35333554128226</v>
      </c>
      <c r="BJ131" s="59">
        <f t="shared" si="92"/>
        <v>296.4517290984877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79.132549178543599</v>
      </c>
      <c r="BQ131" s="21">
        <f>EXP(-LN(2)/25)*BQ130+(1-EXP(-LN(2)/25))/(LN(2)/25)*Calculateur!BL131*Calculateur!BN131*VLOOKUP('Données projet'!$B$11,Paramètres!$A$1:$I$89,3,0)*0.475*44/12</f>
        <v>15.203322521948749</v>
      </c>
      <c r="BR131" s="21">
        <f>EXP(-LN(2)/2)*BR130+(1-EXP(-LN(2)/2))/(LN(2)/2)*BL131*BO131*VLOOKUP('Données projet'!$B$11,Paramètres!$A$1:$I$89,3,0)*0.475*44/12</f>
        <v>3.6245232055475028E-3</v>
      </c>
      <c r="BS131" s="22">
        <f t="shared" si="63"/>
        <v>94.339496223697893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2.4366666666666674</v>
      </c>
      <c r="BY131" s="12">
        <f>IF('Données projet'!$A$114&gt;35,BY130+BX131-CG130,IF(A131&lt;'Données projet'!$A$114,$BV$205^A131,IF(A131='Données projet'!$A$114,'Données projet'!$B$114,BY130+BX131-CG130)))</f>
        <v>107.87666666666692</v>
      </c>
      <c r="BZ131" s="13">
        <f>BY131*VLOOKUP('Données projet'!$B$12,Paramètres!$A$1:$I$89,3,0)*VLOOKUP('Données projet'!$B$12,Paramètres!$A$1:$I$89,5,0)</f>
        <v>102.65543600000025</v>
      </c>
      <c r="CA131" s="13">
        <f t="shared" si="93"/>
        <v>27.593650392739352</v>
      </c>
      <c r="CB131" s="20">
        <f t="shared" si="64"/>
        <v>226.85049213402147</v>
      </c>
      <c r="CC131" s="59">
        <f t="shared" si="65"/>
        <v>510.42512923259</v>
      </c>
      <c r="CD131" s="59">
        <f ca="1">AVERAGE(OFFSET($CC$3,0,0,'Données projet'!$E$12+1,1))-AVERAGE(OFFSET($H$3,0,0,'Données projet'!$E$12+1,1))</f>
        <v>486.36097333679697</v>
      </c>
      <c r="CE131" s="59">
        <f t="shared" si="94"/>
        <v>308.47736602748159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55.555865334375518</v>
      </c>
      <c r="CL131" s="21">
        <f>EXP(-LN(2)/25)*CL130+(1-EXP(-LN(2)/25))/(LN(2)/25)*Calculateur!CG131*Calculateur!CI131*VLOOKUP('Données projet'!$B$12,Paramètres!$A$1:$I$89,3,0)*0.475*44/12</f>
        <v>50.211550271582176</v>
      </c>
      <c r="CM131" s="21">
        <f>EXP(-LN(2)/2)*CM130+(1-EXP(-LN(2)/2))/(LN(2)/2)*CG131*CJ131*VLOOKUP('Données projet'!$B$12,Paramètres!$A$1:$I$89,3,0)*0.475*44/12</f>
        <v>21.085426900595163</v>
      </c>
      <c r="CN131" s="22">
        <f t="shared" si="66"/>
        <v>126.85284250655286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283.7439286610732</v>
      </c>
      <c r="S132" s="59">
        <f ca="1">AVERAGE(OFFSET($R$3,0,0,'Données projet'!$E$9+1,1))-AVERAGE(OFFSET($H$3,0,0,'Données projet'!$E$9+1,1))</f>
        <v>407.05634973057056</v>
      </c>
      <c r="T132" s="59">
        <f t="shared" si="88"/>
        <v>375.32891954889965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10.745999999999999</v>
      </c>
      <c r="AI132" s="13">
        <f>IF('Données projet'!$A$62&gt;35,AI131+AH132-AQ131,IF(A132&lt;'Données projet'!$A$62,$AF$205^A132,IF(A132='Données projet'!$A$62,'Données projet'!$B$62,AI131+AH132-AQ131)))</f>
        <v>595.66399999999999</v>
      </c>
      <c r="AJ132" s="13">
        <f>AI132*VLOOKUP('Données projet'!$B$10,Paramètres!$A$1:$I$89,3,0)*VLOOKUP('Données projet'!$B$10,Paramètres!$A$1:$I$89,5,0)</f>
        <v>538.95678720000001</v>
      </c>
      <c r="AK132" s="13">
        <f t="shared" si="89"/>
        <v>119.44091757198787</v>
      </c>
      <c r="AL132" s="20">
        <f t="shared" ref="AL132:AL153" si="112">(AJ132+AK132)*0.475*44/12</f>
        <v>1146.709335811212</v>
      </c>
      <c r="AM132" s="59">
        <f t="shared" ref="AM132:AM195" si="113">AL132+(AD132+AE132)*44/12</f>
        <v>1430.4532644722774</v>
      </c>
      <c r="AN132" s="59">
        <f ca="1">AVERAGE(OFFSET($AM$3,0,0,'Données projet'!$E$10+1,1))-AVERAGE(OFFSET($H$3,0,0,'Données projet'!$E$10+1,1))</f>
        <v>737.40414421611001</v>
      </c>
      <c r="AO132" s="59">
        <f t="shared" si="90"/>
        <v>245.32893490531674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51.73595723154007</v>
      </c>
      <c r="AV132" s="21">
        <f>EXP(-LN(2)/25)*AV131+(1-EXP(-LN(2)/25))/(LN(2)/25)*Calculateur!AQ132*Calculateur!AS132*VLOOKUP('Données projet'!$B$10,Paramètres!$A$1:$I$89,3,0)*0.475*44/12</f>
        <v>23.763757192552941</v>
      </c>
      <c r="AW132" s="21">
        <f>EXP(-LN(2)/2)*AW131+(1-EXP(-LN(2)/2))/(LN(2)/2)*AQ132*AT132*VLOOKUP('Données projet'!$B$10,Paramètres!$A$1:$I$89,3,0)*0.475*44/12</f>
        <v>8.3461485284199245E-6</v>
      </c>
      <c r="AX132" s="21">
        <f t="shared" ref="AX132:AX153" si="114">SUM(AU132:AW132)</f>
        <v>75.499722770241547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4.7884896048344674E-14</v>
      </c>
      <c r="BF132" s="13">
        <f t="shared" si="91"/>
        <v>7.8374629847779921E-13</v>
      </c>
      <c r="BG132" s="20">
        <f t="shared" ref="BG132:BG153" si="115">(BE132+BF132)*0.475*44/12</f>
        <v>1.4484243304663672E-12</v>
      </c>
      <c r="BH132" s="59">
        <f t="shared" ref="BH132:BH195" si="116">BG132+(AY132+AZ132)*44/12</f>
        <v>283.74392866106678</v>
      </c>
      <c r="BI132" s="59">
        <f ca="1">AVERAGE(OFFSET($BH$3,0,0,'Données projet'!$E$11+1,1))-AVERAGE(OFFSET($H$3,0,0,'Données projet'!$E$11+1,1))</f>
        <v>456.35333554128226</v>
      </c>
      <c r="BJ132" s="59">
        <f t="shared" si="92"/>
        <v>296.4517290984877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77.580808155241471</v>
      </c>
      <c r="BQ132" s="21">
        <f>EXP(-LN(2)/25)*BQ131+(1-EXP(-LN(2)/25))/(LN(2)/25)*Calculateur!BL132*Calculateur!BN132*VLOOKUP('Données projet'!$B$11,Paramètres!$A$1:$I$89,3,0)*0.475*44/12</f>
        <v>14.787586868078076</v>
      </c>
      <c r="BR132" s="21">
        <f>EXP(-LN(2)/2)*BR131+(1-EXP(-LN(2)/2))/(LN(2)/2)*BL132*BO132*VLOOKUP('Données projet'!$B$11,Paramètres!$A$1:$I$89,3,0)*0.475*44/12</f>
        <v>2.5629249372106418E-3</v>
      </c>
      <c r="BS132" s="22">
        <f t="shared" ref="BS132:BS153" si="117">SUM(BP132:BR132)</f>
        <v>92.370957948256759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2.4366666666666674</v>
      </c>
      <c r="BY132" s="12">
        <f>IF('Données projet'!$A$114&gt;35,BY131+BX132-CG131,IF(A132&lt;'Données projet'!$A$114,$BV$205^A132,IF(A132='Données projet'!$A$114,'Données projet'!$B$114,BY131+BX132-CG131)))</f>
        <v>110.31333333333359</v>
      </c>
      <c r="BZ132" s="13">
        <f>BY132*VLOOKUP('Données projet'!$B$12,Paramètres!$A$1:$I$89,3,0)*VLOOKUP('Données projet'!$B$12,Paramètres!$A$1:$I$89,5,0)</f>
        <v>104.97416800000025</v>
      </c>
      <c r="CA132" s="13">
        <f t="shared" si="93"/>
        <v>28.143655751142813</v>
      </c>
      <c r="CB132" s="20">
        <f t="shared" ref="CB132:CB153" si="118">(BZ132+CA132)*0.475*44/12</f>
        <v>231.84687636657415</v>
      </c>
      <c r="CC132" s="59">
        <f t="shared" ref="CC132:CC195" si="119">CB132+(BT132+BU132)*44/12</f>
        <v>515.59080502763948</v>
      </c>
      <c r="CD132" s="59">
        <f ca="1">AVERAGE(OFFSET($CC$3,0,0,'Données projet'!$E$12+1,1))-AVERAGE(OFFSET($H$3,0,0,'Données projet'!$E$12+1,1))</f>
        <v>486.36097333679697</v>
      </c>
      <c r="CE132" s="59">
        <f t="shared" si="94"/>
        <v>308.47736602748159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54.46644870090033</v>
      </c>
      <c r="CL132" s="21">
        <f>EXP(-LN(2)/25)*CL131+(1-EXP(-LN(2)/25))/(LN(2)/25)*Calculateur!CG132*Calculateur!CI132*VLOOKUP('Données projet'!$B$12,Paramètres!$A$1:$I$89,3,0)*0.475*44/12</f>
        <v>48.838512788895095</v>
      </c>
      <c r="CM132" s="21">
        <f>EXP(-LN(2)/2)*CM131+(1-EXP(-LN(2)/2))/(LN(2)/2)*CG132*CJ132*VLOOKUP('Données projet'!$B$12,Paramètres!$A$1:$I$89,3,0)*0.475*44/12</f>
        <v>14.909648345624088</v>
      </c>
      <c r="CN132" s="22">
        <f t="shared" ref="CN132:CN153" si="120">SUM(CK132:CM132)</f>
        <v>118.21460983541952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283.91028339343995</v>
      </c>
      <c r="S133" s="59">
        <f ca="1">AVERAGE(OFFSET($R$3,0,0,'Données projet'!$E$9+1,1))-AVERAGE(OFFSET($H$3,0,0,'Données projet'!$E$9+1,1))</f>
        <v>407.05634973057056</v>
      </c>
      <c r="T133" s="59">
        <f t="shared" ref="T133:T196" si="142">$T$3</f>
        <v>375.32891954889965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10.745999999999999</v>
      </c>
      <c r="AH133" s="12">
        <f t="array" ref="AH133">INDEX(AG:AG,MIN(IF(ISNUMBER(AG133:AG329),ROW(AG133:AG329),"")))</f>
        <v>10.745999999999999</v>
      </c>
      <c r="AI133" s="13">
        <f>IF('Données projet'!$A$62&gt;35,AI132+AH133-AQ132,IF(A133&lt;'Données projet'!$A$62,$AF$205^A133,IF(A133='Données projet'!$A$62,'Données projet'!$B$62,AI132+AH133-AQ132)))</f>
        <v>606.41</v>
      </c>
      <c r="AJ133" s="13">
        <f>AI133*VLOOKUP('Données projet'!$B$10,Paramètres!$A$1:$I$89,3,0)*VLOOKUP('Données projet'!$B$10,Paramètres!$A$1:$I$89,5,0)</f>
        <v>548.67976799999997</v>
      </c>
      <c r="AK133" s="13">
        <f t="shared" ref="AK133:AK153" si="143">EXP(-1.0587+0.8836*LN(AJ133)+0.284)</f>
        <v>121.34287647942783</v>
      </c>
      <c r="AL133" s="20">
        <f t="shared" si="112"/>
        <v>1166.95610580167</v>
      </c>
      <c r="AM133" s="59">
        <f t="shared" si="113"/>
        <v>1450.8663891951021</v>
      </c>
      <c r="AN133" s="59">
        <f ca="1">AVERAGE(OFFSET($AM$3,0,0,'Données projet'!$E$10+1,1))-AVERAGE(OFFSET($H$3,0,0,'Données projet'!$E$10+1,1))</f>
        <v>737.40414421611001</v>
      </c>
      <c r="AO133" s="59">
        <f t="shared" ref="AO133:AO196" si="144">$AO$3</f>
        <v>245.32893490531674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75.799999999999955</v>
      </c>
      <c r="AR133" s="16">
        <f>IF(ISNA(VLOOKUP(A133,'Données projet'!$A$61:$I$81,5,0)),0%,VLOOKUP(A133,'Données projet'!$A$61:$I$81,5,0)*VLOOKUP('Données projet'!$B$10,Paramètres!$A$1:$I$89,7,0))</f>
        <v>0.215</v>
      </c>
      <c r="AS133" s="16">
        <f>IF(ISNA(VLOOKUP(A133,'Données projet'!$A$61:$I$81,6,0)),0%,VLOOKUP(A133,'Données projet'!$A$61:$I$81,6,0)*VLOOKUP('Données projet'!$B$10,Paramètres!$A$1:$I$89,7,0))</f>
        <v>8.6000000000000007E-2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67.022188447492425</v>
      </c>
      <c r="AV133" s="21">
        <f>EXP(-LN(2)/25)*AV132+(1-EXP(-LN(2)/25))/(LN(2)/25)*Calculateur!AQ133*Calculateur!AS133*VLOOKUP('Données projet'!$B$10,Paramètres!$A$1:$I$89,3,0)*0.475*44/12</f>
        <v>29.608559822433588</v>
      </c>
      <c r="AW133" s="21">
        <f>EXP(-LN(2)/2)*AW132+(1-EXP(-LN(2)/2))/(LN(2)/2)*AQ133*AT133*VLOOKUP('Données projet'!$B$10,Paramètres!$A$1:$I$89,3,0)*0.475*44/12</f>
        <v>5.9016182212358532E-6</v>
      </c>
      <c r="AX133" s="21">
        <f t="shared" si="114"/>
        <v>96.63075417154424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4.7884896048344674E-14</v>
      </c>
      <c r="BF133" s="13">
        <f t="shared" ref="BF133:BF153" si="145">EXP(-1.0587+0.8836*LN(BE133)+0.284)</f>
        <v>7.8374629847779921E-13</v>
      </c>
      <c r="BG133" s="20">
        <f t="shared" si="115"/>
        <v>1.4484243304663672E-12</v>
      </c>
      <c r="BH133" s="59">
        <f t="shared" si="116"/>
        <v>283.91028339343353</v>
      </c>
      <c r="BI133" s="59">
        <f ca="1">AVERAGE(OFFSET($BH$3,0,0,'Données projet'!$E$11+1,1))-AVERAGE(OFFSET($H$3,0,0,'Données projet'!$E$11+1,1))</f>
        <v>456.35333554128226</v>
      </c>
      <c r="BJ133" s="59">
        <f t="shared" ref="BJ133:BJ196" si="146">$BJ$3</f>
        <v>296.4517290984877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76.059495826937734</v>
      </c>
      <c r="BQ133" s="21">
        <f>EXP(-LN(2)/25)*BQ132+(1-EXP(-LN(2)/25))/(LN(2)/25)*Calculateur!BL133*Calculateur!BN133*VLOOKUP('Données projet'!$B$11,Paramètres!$A$1:$I$89,3,0)*0.475*44/12</f>
        <v>14.383219527525085</v>
      </c>
      <c r="BR133" s="21">
        <f>EXP(-LN(2)/2)*BR132+(1-EXP(-LN(2)/2))/(LN(2)/2)*BL133*BO133*VLOOKUP('Données projet'!$B$11,Paramètres!$A$1:$I$89,3,0)*0.475*44/12</f>
        <v>1.8122616027737514E-3</v>
      </c>
      <c r="BS133" s="22">
        <f t="shared" si="117"/>
        <v>90.444527616065599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112.75</v>
      </c>
      <c r="BW133" s="12">
        <f>VLOOKUP(A133,'Données projet'!$A$113:$I$133,9,0)</f>
        <v>2.4366666666666674</v>
      </c>
      <c r="BX133" s="12">
        <f t="array" ref="BX133">INDEX(BW:BW,MIN(IF(ISNUMBER(BW133:BW329),ROW(BW133:BW329),"")))</f>
        <v>2.4366666666666674</v>
      </c>
      <c r="BY133" s="12">
        <f>IF('Données projet'!$A$114&gt;35,BY132+BX133-CG132,IF(A133&lt;'Données projet'!$A$114,$BV$205^A133,IF(A133='Données projet'!$A$114,'Données projet'!$B$114,BY132+BX133-CG132)))</f>
        <v>112.75000000000026</v>
      </c>
      <c r="BZ133" s="13">
        <f>BY133*VLOOKUP('Données projet'!$B$12,Paramètres!$A$1:$I$89,3,0)*VLOOKUP('Données projet'!$B$12,Paramètres!$A$1:$I$89,5,0)</f>
        <v>107.29290000000026</v>
      </c>
      <c r="CA133" s="13">
        <f t="shared" ref="CA133:CA153" si="147">EXP(-1.0587+0.8836*LN(BZ133)+0.284)</f>
        <v>28.692248678828363</v>
      </c>
      <c r="CB133" s="20">
        <f t="shared" si="118"/>
        <v>236.84080061562653</v>
      </c>
      <c r="CC133" s="59">
        <f t="shared" si="119"/>
        <v>520.75108400905867</v>
      </c>
      <c r="CD133" s="59">
        <f ca="1">AVERAGE(OFFSET($CC$3,0,0,'Données projet'!$E$12+1,1))-AVERAGE(OFFSET($H$3,0,0,'Données projet'!$E$12+1,1))</f>
        <v>486.36097333679697</v>
      </c>
      <c r="CE133" s="59">
        <f t="shared" ref="CE133:CE196" si="148">$CE$3</f>
        <v>308.47736602748159</v>
      </c>
      <c r="CF133" s="15">
        <f>IF(ISNA(VLOOKUP(A133,'Données projet'!$A$113:$I$133,3,0)),0,VLOOKUP(A133,'Données projet'!$A$113:$I$133,3,0))</f>
        <v>14</v>
      </c>
      <c r="CG133" s="15">
        <f>IF(ISNA(VLOOKUP(A133,'Données projet'!$A$113:$I$133,4,0)),0,VLOOKUP(A133,'Données projet'!$A$113:$I$133,4,0))</f>
        <v>112.75</v>
      </c>
      <c r="CH133" s="16">
        <f>IF(ISNA(VLOOKUP(A133,'Données projet'!$A$113:$I$133,5,0)),0%,VLOOKUP(A133,'Données projet'!$A$113:$I$133,5,0)*VLOOKUP('Données projet'!$B$12,Paramètres!$A$1:$I$89,7,0))</f>
        <v>0.1075</v>
      </c>
      <c r="CI133" s="16">
        <f>IF(ISNA(VLOOKUP(A133,'Données projet'!$A$113:$I$133,6,0)),0%,VLOOKUP(A133,'Données projet'!$A$113:$I$133,6,0)*VLOOKUP('Données projet'!$B$12,Paramètres!$A$1:$I$89,7,0))</f>
        <v>0.1075</v>
      </c>
      <c r="CJ133" s="16">
        <f>IF(ISNA(VLOOKUP(A133,'Données projet'!$A$113:$I$133,7,0)),0%,VLOOKUP(A133,'Données projet'!$A$113:$I$133,7,0))</f>
        <v>0.25</v>
      </c>
      <c r="CK133" s="21">
        <f>EXP(-LN(2)/35)*CK132+(1-EXP(-LN(2)/35))/(LN(2)/35)*CG133*CH133*VLOOKUP('Données projet'!$B$12,Paramètres!$A$1:$I$89,3,0)*0.475*44/12</f>
        <v>66.148875573179566</v>
      </c>
      <c r="CL133" s="21">
        <f>EXP(-LN(2)/25)*CL132+(1-EXP(-LN(2)/25))/(LN(2)/25)*Calculateur!CG133*Calculateur!CI133*VLOOKUP('Données projet'!$B$12,Paramètres!$A$1:$I$89,3,0)*0.475*44/12</f>
        <v>60.203298297558</v>
      </c>
      <c r="CM133" s="21">
        <f>EXP(-LN(2)/2)*CM132+(1-EXP(-LN(2)/2))/(LN(2)/2)*CG133*CJ133*VLOOKUP('Données projet'!$B$12,Paramètres!$A$1:$I$89,3,0)*0.475*44/12</f>
        <v>35.851148174313693</v>
      </c>
      <c r="CN133" s="22">
        <f t="shared" si="120"/>
        <v>162.20332204505127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284.07375224311357</v>
      </c>
      <c r="S134" s="59">
        <f ca="1">AVERAGE(OFFSET($R$3,0,0,'Données projet'!$E$9+1,1))-AVERAGE(OFFSET($H$3,0,0,'Données projet'!$E$9+1,1))</f>
        <v>407.05634973057056</v>
      </c>
      <c r="T134" s="59">
        <f t="shared" si="142"/>
        <v>375.32891954889965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10.843999999999994</v>
      </c>
      <c r="AI134" s="13">
        <f>IF('Données projet'!$A$62&gt;35,AI133+AH134-AQ133,IF(A134&lt;'Données projet'!$A$62,$AF$205^A134,IF(A134='Données projet'!$A$62,'Données projet'!$B$62,AI133+AH134-AQ133)))</f>
        <v>541.45399999999995</v>
      </c>
      <c r="AJ134" s="13">
        <f>AI134*VLOOKUP('Données projet'!$B$10,Paramètres!$A$1:$I$89,3,0)*VLOOKUP('Données projet'!$B$10,Paramètres!$A$1:$I$89,5,0)</f>
        <v>489.90757919999993</v>
      </c>
      <c r="AK134" s="13">
        <f t="shared" si="143"/>
        <v>109.78346531715303</v>
      </c>
      <c r="AL134" s="20">
        <f t="shared" si="112"/>
        <v>1044.4619025340414</v>
      </c>
      <c r="AM134" s="59">
        <f t="shared" si="113"/>
        <v>1328.5356547771471</v>
      </c>
      <c r="AN134" s="59">
        <f ca="1">AVERAGE(OFFSET($AM$3,0,0,'Données projet'!$E$10+1,1))-AVERAGE(OFFSET($H$3,0,0,'Données projet'!$E$10+1,1))</f>
        <v>737.40414421611001</v>
      </c>
      <c r="AO134" s="59">
        <f t="shared" si="144"/>
        <v>245.32893490531674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65.707924211535541</v>
      </c>
      <c r="AV134" s="21">
        <f>EXP(-LN(2)/25)*AV133+(1-EXP(-LN(2)/25))/(LN(2)/25)*Calculateur!AQ134*Calculateur!AS134*VLOOKUP('Données projet'!$B$10,Paramètres!$A$1:$I$89,3,0)*0.475*44/12</f>
        <v>28.79891219704265</v>
      </c>
      <c r="AW134" s="21">
        <f>EXP(-LN(2)/2)*AW133+(1-EXP(-LN(2)/2))/(LN(2)/2)*AQ134*AT134*VLOOKUP('Données projet'!$B$10,Paramètres!$A$1:$I$89,3,0)*0.475*44/12</f>
        <v>4.1730742642099622E-6</v>
      </c>
      <c r="AX134" s="21">
        <f t="shared" si="114"/>
        <v>94.506840581652455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4.7884896048344674E-14</v>
      </c>
      <c r="BF134" s="13">
        <f t="shared" si="145"/>
        <v>7.8374629847779921E-13</v>
      </c>
      <c r="BG134" s="20">
        <f t="shared" si="115"/>
        <v>1.4484243304663672E-12</v>
      </c>
      <c r="BH134" s="59">
        <f t="shared" si="116"/>
        <v>284.07375224310715</v>
      </c>
      <c r="BI134" s="59">
        <f ca="1">AVERAGE(OFFSET($BH$3,0,0,'Données projet'!$E$11+1,1))-AVERAGE(OFFSET($H$3,0,0,'Données projet'!$E$11+1,1))</f>
        <v>456.35333554128226</v>
      </c>
      <c r="BJ134" s="59">
        <f t="shared" si="146"/>
        <v>296.4517290984877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74.568015505483132</v>
      </c>
      <c r="BQ134" s="21">
        <f>EXP(-LN(2)/25)*BQ133+(1-EXP(-LN(2)/25))/(LN(2)/25)*Calculateur!BL134*Calculateur!BN134*VLOOKUP('Données projet'!$B$11,Paramètres!$A$1:$I$89,3,0)*0.475*44/12</f>
        <v>13.98990963316427</v>
      </c>
      <c r="BR134" s="21">
        <f>EXP(-LN(2)/2)*BR133+(1-EXP(-LN(2)/2))/(LN(2)/2)*BL134*BO134*VLOOKUP('Données projet'!$B$11,Paramètres!$A$1:$I$89,3,0)*0.475*44/12</f>
        <v>1.2814624686053209E-3</v>
      </c>
      <c r="BS134" s="22">
        <f t="shared" si="117"/>
        <v>88.559206601116017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2.5579538487363607E-13</v>
      </c>
      <c r="BZ134" s="13">
        <f>BY134*VLOOKUP('Données projet'!$B$12,Paramètres!$A$1:$I$89,3,0)*VLOOKUP('Données projet'!$B$12,Paramètres!$A$1:$I$89,5,0)</f>
        <v>2.4341488824575211E-13</v>
      </c>
      <c r="CA134" s="13">
        <f t="shared" si="147"/>
        <v>3.2970717324875541E-12</v>
      </c>
      <c r="CB134" s="20">
        <f t="shared" si="118"/>
        <v>6.1663475311105072E-12</v>
      </c>
      <c r="CC134" s="59">
        <f t="shared" si="119"/>
        <v>284.07375224311187</v>
      </c>
      <c r="CD134" s="59">
        <f ca="1">AVERAGE(OFFSET($CC$3,0,0,'Données projet'!$E$12+1,1))-AVERAGE(OFFSET($H$3,0,0,'Données projet'!$E$12+1,1))</f>
        <v>486.36097333679697</v>
      </c>
      <c r="CE134" s="59">
        <f t="shared" si="148"/>
        <v>308.47736602748159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64.851736470019702</v>
      </c>
      <c r="CL134" s="21">
        <f>EXP(-LN(2)/25)*CL133+(1-EXP(-LN(2)/25))/(LN(2)/25)*Calculateur!CG134*Calculateur!CI134*VLOOKUP('Données projet'!$B$12,Paramètres!$A$1:$I$89,3,0)*0.475*44/12</f>
        <v>58.557035939657418</v>
      </c>
      <c r="CM134" s="21">
        <f>EXP(-LN(2)/2)*CM133+(1-EXP(-LN(2)/2))/(LN(2)/2)*CG134*CJ134*VLOOKUP('Données projet'!$B$12,Paramètres!$A$1:$I$89,3,0)*0.475*44/12</f>
        <v>25.350589987380928</v>
      </c>
      <c r="CN134" s="22">
        <f t="shared" si="120"/>
        <v>148.75936239705806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284.23438527370701</v>
      </c>
      <c r="S135" s="59">
        <f ca="1">AVERAGE(OFFSET($R$3,0,0,'Données projet'!$E$9+1,1))-AVERAGE(OFFSET($H$3,0,0,'Données projet'!$E$9+1,1))</f>
        <v>407.05634973057056</v>
      </c>
      <c r="T135" s="59">
        <f t="shared" si="142"/>
        <v>375.32891954889965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10.843999999999994</v>
      </c>
      <c r="AI135" s="13">
        <f>IF('Données projet'!$A$62&gt;35,AI134+AH135-AQ134,IF(A135&lt;'Données projet'!$A$62,$AF$205^A135,IF(A135='Données projet'!$A$62,'Données projet'!$B$62,AI134+AH135-AQ134)))</f>
        <v>552.298</v>
      </c>
      <c r="AJ135" s="13">
        <f>AI135*VLOOKUP('Données projet'!$B$10,Paramètres!$A$1:$I$89,3,0)*VLOOKUP('Données projet'!$B$10,Paramètres!$A$1:$I$89,5,0)</f>
        <v>499.71923039999996</v>
      </c>
      <c r="AK135" s="13">
        <f t="shared" si="143"/>
        <v>111.72398392673504</v>
      </c>
      <c r="AL135" s="20">
        <f t="shared" si="112"/>
        <v>1064.9302649523968</v>
      </c>
      <c r="AM135" s="59">
        <f t="shared" si="113"/>
        <v>1349.164650226096</v>
      </c>
      <c r="AN135" s="59">
        <f ca="1">AVERAGE(OFFSET($AM$3,0,0,'Données projet'!$E$10+1,1))-AVERAGE(OFFSET($H$3,0,0,'Données projet'!$E$10+1,1))</f>
        <v>737.40414421611001</v>
      </c>
      <c r="AO135" s="59">
        <f t="shared" si="144"/>
        <v>245.32893490531674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64.419431895623731</v>
      </c>
      <c r="AV135" s="21">
        <f>EXP(-LN(2)/25)*AV134+(1-EXP(-LN(2)/25))/(LN(2)/25)*Calculateur!AQ135*Calculateur!AS135*VLOOKUP('Données projet'!$B$10,Paramètres!$A$1:$I$89,3,0)*0.475*44/12</f>
        <v>28.011404428545546</v>
      </c>
      <c r="AW135" s="21">
        <f>EXP(-LN(2)/2)*AW134+(1-EXP(-LN(2)/2))/(LN(2)/2)*AQ135*AT135*VLOOKUP('Données projet'!$B$10,Paramètres!$A$1:$I$89,3,0)*0.475*44/12</f>
        <v>2.9508091106179266E-6</v>
      </c>
      <c r="AX135" s="21">
        <f t="shared" si="114"/>
        <v>92.430839274978382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4.7884896048344674E-14</v>
      </c>
      <c r="BF135" s="13">
        <f t="shared" si="145"/>
        <v>7.8374629847779921E-13</v>
      </c>
      <c r="BG135" s="20">
        <f t="shared" si="115"/>
        <v>1.4484243304663672E-12</v>
      </c>
      <c r="BH135" s="59">
        <f t="shared" si="116"/>
        <v>284.23438527370058</v>
      </c>
      <c r="BI135" s="59">
        <f ca="1">AVERAGE(OFFSET($BH$3,0,0,'Données projet'!$E$11+1,1))-AVERAGE(OFFSET($H$3,0,0,'Données projet'!$E$11+1,1))</f>
        <v>456.35333554128226</v>
      </c>
      <c r="BJ135" s="59">
        <f t="shared" si="146"/>
        <v>296.4517290984877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73.105782203419096</v>
      </c>
      <c r="BQ135" s="21">
        <f>EXP(-LN(2)/25)*BQ134+(1-EXP(-LN(2)/25))/(LN(2)/25)*Calculateur!BL135*Calculateur!BN135*VLOOKUP('Données projet'!$B$11,Paramètres!$A$1:$I$89,3,0)*0.475*44/12</f>
        <v>13.60735481854802</v>
      </c>
      <c r="BR135" s="21">
        <f>EXP(-LN(2)/2)*BR134+(1-EXP(-LN(2)/2))/(LN(2)/2)*BL135*BO135*VLOOKUP('Données projet'!$B$11,Paramètres!$A$1:$I$89,3,0)*0.475*44/12</f>
        <v>9.061308013868757E-4</v>
      </c>
      <c r="BS135" s="22">
        <f t="shared" si="117"/>
        <v>86.714043152768497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2.5579538487363607E-13</v>
      </c>
      <c r="BZ135" s="13">
        <f>BY135*VLOOKUP('Données projet'!$B$12,Paramètres!$A$1:$I$89,3,0)*VLOOKUP('Données projet'!$B$12,Paramètres!$A$1:$I$89,5,0)</f>
        <v>2.4341488824575211E-13</v>
      </c>
      <c r="CA135" s="13">
        <f t="shared" si="147"/>
        <v>3.2970717324875541E-12</v>
      </c>
      <c r="CB135" s="20">
        <f t="shared" si="118"/>
        <v>6.1663475311105072E-12</v>
      </c>
      <c r="CC135" s="59">
        <f t="shared" si="119"/>
        <v>284.2343852737053</v>
      </c>
      <c r="CD135" s="59">
        <f ca="1">AVERAGE(OFFSET($CC$3,0,0,'Données projet'!$E$12+1,1))-AVERAGE(OFFSET($H$3,0,0,'Données projet'!$E$12+1,1))</f>
        <v>486.36097333679697</v>
      </c>
      <c r="CE135" s="59">
        <f t="shared" si="148"/>
        <v>308.47736602748159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63.580033473496066</v>
      </c>
      <c r="CL135" s="21">
        <f>EXP(-LN(2)/25)*CL134+(1-EXP(-LN(2)/25))/(LN(2)/25)*Calculateur!CG135*Calculateur!CI135*VLOOKUP('Données projet'!$B$12,Paramètres!$A$1:$I$89,3,0)*0.475*44/12</f>
        <v>56.955790712506797</v>
      </c>
      <c r="CM135" s="21">
        <f>EXP(-LN(2)/2)*CM134+(1-EXP(-LN(2)/2))/(LN(2)/2)*CG135*CJ135*VLOOKUP('Données projet'!$B$12,Paramètres!$A$1:$I$89,3,0)*0.475*44/12</f>
        <v>17.92557408715685</v>
      </c>
      <c r="CN135" s="22">
        <f t="shared" si="120"/>
        <v>138.46139827315972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284.39223168034124</v>
      </c>
      <c r="S136" s="59">
        <f ca="1">AVERAGE(OFFSET($R$3,0,0,'Données projet'!$E$9+1,1))-AVERAGE(OFFSET($H$3,0,0,'Données projet'!$E$9+1,1))</f>
        <v>407.05634973057056</v>
      </c>
      <c r="T136" s="59">
        <f t="shared" si="142"/>
        <v>375.32891954889965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10.843999999999994</v>
      </c>
      <c r="AI136" s="13">
        <f>IF('Données projet'!$A$62&gt;35,AI135+AH136-AQ135,IF(A136&lt;'Données projet'!$A$62,$AF$205^A136,IF(A136='Données projet'!$A$62,'Données projet'!$B$62,AI135+AH136-AQ135)))</f>
        <v>563.14200000000005</v>
      </c>
      <c r="AJ136" s="13">
        <f>AI136*VLOOKUP('Données projet'!$B$10,Paramètres!$A$1:$I$89,3,0)*VLOOKUP('Données projet'!$B$10,Paramètres!$A$1:$I$89,5,0)</f>
        <v>509.53088160000004</v>
      </c>
      <c r="AK136" s="13">
        <f t="shared" si="143"/>
        <v>113.66007236881403</v>
      </c>
      <c r="AL136" s="20">
        <f t="shared" si="112"/>
        <v>1085.3909114956843</v>
      </c>
      <c r="AM136" s="59">
        <f t="shared" si="113"/>
        <v>1369.7831431760178</v>
      </c>
      <c r="AN136" s="59">
        <f ca="1">AVERAGE(OFFSET($AM$3,0,0,'Données projet'!$E$10+1,1))-AVERAGE(OFFSET($H$3,0,0,'Données projet'!$E$10+1,1))</f>
        <v>737.40414421611001</v>
      </c>
      <c r="AO136" s="59">
        <f t="shared" si="144"/>
        <v>245.32893490531674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63.156206128124246</v>
      </c>
      <c r="AV136" s="21">
        <f>EXP(-LN(2)/25)*AV135+(1-EXP(-LN(2)/25))/(LN(2)/25)*Calculateur!AQ136*Calculateur!AS136*VLOOKUP('Données projet'!$B$10,Paramètres!$A$1:$I$89,3,0)*0.475*44/12</f>
        <v>27.24543110139123</v>
      </c>
      <c r="AW136" s="21">
        <f>EXP(-LN(2)/2)*AW135+(1-EXP(-LN(2)/2))/(LN(2)/2)*AQ136*AT136*VLOOKUP('Données projet'!$B$10,Paramètres!$A$1:$I$89,3,0)*0.475*44/12</f>
        <v>2.0865371321049811E-6</v>
      </c>
      <c r="AX136" s="21">
        <f t="shared" si="114"/>
        <v>90.401639316052609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4.7884896048344674E-14</v>
      </c>
      <c r="BF136" s="13">
        <f t="shared" si="145"/>
        <v>7.8374629847779921E-13</v>
      </c>
      <c r="BG136" s="20">
        <f t="shared" si="115"/>
        <v>1.4484243304663672E-12</v>
      </c>
      <c r="BH136" s="59">
        <f t="shared" si="116"/>
        <v>284.39223168033482</v>
      </c>
      <c r="BI136" s="59">
        <f ca="1">AVERAGE(OFFSET($BH$3,0,0,'Données projet'!$E$11+1,1))-AVERAGE(OFFSET($H$3,0,0,'Données projet'!$E$11+1,1))</f>
        <v>456.35333554128226</v>
      </c>
      <c r="BJ136" s="59">
        <f t="shared" si="146"/>
        <v>296.4517290984877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71.672222404534281</v>
      </c>
      <c r="BQ136" s="21">
        <f>EXP(-LN(2)/25)*BQ135+(1-EXP(-LN(2)/25))/(LN(2)/25)*Calculateur!BL136*Calculateur!BN136*VLOOKUP('Données projet'!$B$11,Paramètres!$A$1:$I$89,3,0)*0.475*44/12</f>
        <v>13.235260985455135</v>
      </c>
      <c r="BR136" s="21">
        <f>EXP(-LN(2)/2)*BR135+(1-EXP(-LN(2)/2))/(LN(2)/2)*BL136*BO136*VLOOKUP('Données projet'!$B$11,Paramètres!$A$1:$I$89,3,0)*0.475*44/12</f>
        <v>6.4073123430266046E-4</v>
      </c>
      <c r="BS136" s="22">
        <f t="shared" si="117"/>
        <v>84.908124121223707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2.5579538487363607E-13</v>
      </c>
      <c r="BZ136" s="13">
        <f>BY136*VLOOKUP('Données projet'!$B$12,Paramètres!$A$1:$I$89,3,0)*VLOOKUP('Données projet'!$B$12,Paramètres!$A$1:$I$89,5,0)</f>
        <v>2.4341488824575211E-13</v>
      </c>
      <c r="CA136" s="13">
        <f t="shared" si="147"/>
        <v>3.2970717324875541E-12</v>
      </c>
      <c r="CB136" s="20">
        <f t="shared" si="118"/>
        <v>6.1663475311105072E-12</v>
      </c>
      <c r="CC136" s="59">
        <f t="shared" si="119"/>
        <v>284.39223168033953</v>
      </c>
      <c r="CD136" s="59">
        <f ca="1">AVERAGE(OFFSET($CC$3,0,0,'Données projet'!$E$12+1,1))-AVERAGE(OFFSET($H$3,0,0,'Données projet'!$E$12+1,1))</f>
        <v>486.36097333679697</v>
      </c>
      <c r="CE136" s="59">
        <f t="shared" si="148"/>
        <v>308.47736602748159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62.333267797072018</v>
      </c>
      <c r="CL136" s="21">
        <f>EXP(-LN(2)/25)*CL135+(1-EXP(-LN(2)/25))/(LN(2)/25)*Calculateur!CG136*Calculateur!CI136*VLOOKUP('Données projet'!$B$12,Paramètres!$A$1:$I$89,3,0)*0.475*44/12</f>
        <v>55.398331620298443</v>
      </c>
      <c r="CM136" s="21">
        <f>EXP(-LN(2)/2)*CM135+(1-EXP(-LN(2)/2))/(LN(2)/2)*CG136*CJ136*VLOOKUP('Données projet'!$B$12,Paramètres!$A$1:$I$89,3,0)*0.475*44/12</f>
        <v>12.675294993690466</v>
      </c>
      <c r="CN136" s="22">
        <f t="shared" si="120"/>
        <v>130.40689441106093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284.54733980471212</v>
      </c>
      <c r="S137" s="59">
        <f ca="1">AVERAGE(OFFSET($R$3,0,0,'Données projet'!$E$9+1,1))-AVERAGE(OFFSET($H$3,0,0,'Données projet'!$E$9+1,1))</f>
        <v>407.05634973057056</v>
      </c>
      <c r="T137" s="59">
        <f t="shared" si="142"/>
        <v>375.32891954889965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10.843999999999994</v>
      </c>
      <c r="AI137" s="13">
        <f>IF('Données projet'!$A$62&gt;35,AI136+AH137-AQ136,IF(A137&lt;'Données projet'!$A$62,$AF$205^A137,IF(A137='Données projet'!$A$62,'Données projet'!$B$62,AI136+AH137-AQ136)))</f>
        <v>573.9860000000001</v>
      </c>
      <c r="AJ137" s="13">
        <f>AI137*VLOOKUP('Données projet'!$B$10,Paramètres!$A$1:$I$89,3,0)*VLOOKUP('Données projet'!$B$10,Paramètres!$A$1:$I$89,5,0)</f>
        <v>519.34253280000007</v>
      </c>
      <c r="AK137" s="13">
        <f t="shared" si="143"/>
        <v>115.5918257868824</v>
      </c>
      <c r="AL137" s="20">
        <f t="shared" si="112"/>
        <v>1105.8440078721535</v>
      </c>
      <c r="AM137" s="59">
        <f t="shared" si="113"/>
        <v>1390.3913476768578</v>
      </c>
      <c r="AN137" s="59">
        <f ca="1">AVERAGE(OFFSET($AM$3,0,0,'Données projet'!$E$10+1,1))-AVERAGE(OFFSET($H$3,0,0,'Données projet'!$E$10+1,1))</f>
        <v>737.40414421611001</v>
      </c>
      <c r="AO137" s="59">
        <f t="shared" si="144"/>
        <v>245.32893490531674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61.917751447433787</v>
      </c>
      <c r="AV137" s="21">
        <f>EXP(-LN(2)/25)*AV136+(1-EXP(-LN(2)/25))/(LN(2)/25)*Calculateur!AQ137*Calculateur!AS137*VLOOKUP('Données projet'!$B$10,Paramètres!$A$1:$I$89,3,0)*0.475*44/12</f>
        <v>26.500403355148734</v>
      </c>
      <c r="AW137" s="21">
        <f>EXP(-LN(2)/2)*AW136+(1-EXP(-LN(2)/2))/(LN(2)/2)*AQ137*AT137*VLOOKUP('Données projet'!$B$10,Paramètres!$A$1:$I$89,3,0)*0.475*44/12</f>
        <v>1.4754045553089633E-6</v>
      </c>
      <c r="AX137" s="21">
        <f t="shared" si="114"/>
        <v>88.41815627798708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4.7884896048344674E-14</v>
      </c>
      <c r="BF137" s="13">
        <f t="shared" si="145"/>
        <v>7.8374629847779921E-13</v>
      </c>
      <c r="BG137" s="20">
        <f t="shared" si="115"/>
        <v>1.4484243304663672E-12</v>
      </c>
      <c r="BH137" s="59">
        <f t="shared" si="116"/>
        <v>284.5473398047057</v>
      </c>
      <c r="BI137" s="59">
        <f ca="1">AVERAGE(OFFSET($BH$3,0,0,'Données projet'!$E$11+1,1))-AVERAGE(OFFSET($H$3,0,0,'Données projet'!$E$11+1,1))</f>
        <v>456.35333554128226</v>
      </c>
      <c r="BJ137" s="59">
        <f t="shared" si="146"/>
        <v>296.4517290984877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70.266773838920457</v>
      </c>
      <c r="BQ137" s="21">
        <f>EXP(-LN(2)/25)*BQ136+(1-EXP(-LN(2)/25))/(LN(2)/25)*Calculateur!BL137*Calculateur!BN137*VLOOKUP('Données projet'!$B$11,Paramètres!$A$1:$I$89,3,0)*0.475*44/12</f>
        <v>12.873342077795739</v>
      </c>
      <c r="BR137" s="21">
        <f>EXP(-LN(2)/2)*BR136+(1-EXP(-LN(2)/2))/(LN(2)/2)*BL137*BO137*VLOOKUP('Données projet'!$B$11,Paramètres!$A$1:$I$89,3,0)*0.475*44/12</f>
        <v>4.5306540069343785E-4</v>
      </c>
      <c r="BS137" s="22">
        <f t="shared" si="117"/>
        <v>83.140568982116889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2.5579538487363607E-13</v>
      </c>
      <c r="BZ137" s="13">
        <f>BY137*VLOOKUP('Données projet'!$B$12,Paramètres!$A$1:$I$89,3,0)*VLOOKUP('Données projet'!$B$12,Paramètres!$A$1:$I$89,5,0)</f>
        <v>2.4341488824575211E-13</v>
      </c>
      <c r="CA137" s="13">
        <f t="shared" si="147"/>
        <v>3.2970717324875541E-12</v>
      </c>
      <c r="CB137" s="20">
        <f t="shared" si="118"/>
        <v>6.1663475311105072E-12</v>
      </c>
      <c r="CC137" s="59">
        <f t="shared" si="119"/>
        <v>284.54733980471042</v>
      </c>
      <c r="CD137" s="59">
        <f ca="1">AVERAGE(OFFSET($CC$3,0,0,'Données projet'!$E$12+1,1))-AVERAGE(OFFSET($H$3,0,0,'Données projet'!$E$12+1,1))</f>
        <v>486.36097333679697</v>
      </c>
      <c r="CE137" s="59">
        <f t="shared" si="148"/>
        <v>308.47736602748159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61.110950435110674</v>
      </c>
      <c r="CL137" s="21">
        <f>EXP(-LN(2)/25)*CL136+(1-EXP(-LN(2)/25))/(LN(2)/25)*Calculateur!CG137*Calculateur!CI137*VLOOKUP('Données projet'!$B$12,Paramètres!$A$1:$I$89,3,0)*0.475*44/12</f>
        <v>53.883461328869735</v>
      </c>
      <c r="CM137" s="21">
        <f>EXP(-LN(2)/2)*CM136+(1-EXP(-LN(2)/2))/(LN(2)/2)*CG137*CJ137*VLOOKUP('Données projet'!$B$12,Paramètres!$A$1:$I$89,3,0)*0.475*44/12</f>
        <v>8.9627870435784267</v>
      </c>
      <c r="CN137" s="22">
        <f t="shared" si="120"/>
        <v>123.95719880755884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284.69975714989499</v>
      </c>
      <c r="S138" s="59">
        <f ca="1">AVERAGE(OFFSET($R$3,0,0,'Données projet'!$E$9+1,1))-AVERAGE(OFFSET($H$3,0,0,'Données projet'!$E$9+1,1))</f>
        <v>407.05634973057056</v>
      </c>
      <c r="T138" s="59">
        <f t="shared" si="142"/>
        <v>375.32891954889965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10.843999999999994</v>
      </c>
      <c r="AI138" s="13">
        <f>IF('Données projet'!$A$62&gt;35,AI137+AH138-AQ137,IF(A138&lt;'Données projet'!$A$62,$AF$205^A138,IF(A138='Données projet'!$A$62,'Données projet'!$B$62,AI137+AH138-AQ137)))</f>
        <v>584.83000000000015</v>
      </c>
      <c r="AJ138" s="13">
        <f>AI138*VLOOKUP('Données projet'!$B$10,Paramètres!$A$1:$I$89,3,0)*VLOOKUP('Données projet'!$B$10,Paramètres!$A$1:$I$89,5,0)</f>
        <v>529.15418400000021</v>
      </c>
      <c r="AK138" s="13">
        <f t="shared" si="143"/>
        <v>117.51933552372023</v>
      </c>
      <c r="AL138" s="20">
        <f t="shared" si="112"/>
        <v>1126.2897131704797</v>
      </c>
      <c r="AM138" s="59">
        <f t="shared" si="113"/>
        <v>1410.9894703203668</v>
      </c>
      <c r="AN138" s="59">
        <f ca="1">AVERAGE(OFFSET($AM$3,0,0,'Données projet'!$E$10+1,1))-AVERAGE(OFFSET($H$3,0,0,'Données projet'!$E$10+1,1))</f>
        <v>737.40414421611001</v>
      </c>
      <c r="AO138" s="59">
        <f t="shared" si="144"/>
        <v>245.32893490531674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60.703582107648899</v>
      </c>
      <c r="AV138" s="21">
        <f>EXP(-LN(2)/25)*AV137+(1-EXP(-LN(2)/25))/(LN(2)/25)*Calculateur!AQ138*Calculateur!AS138*VLOOKUP('Données projet'!$B$10,Paramètres!$A$1:$I$89,3,0)*0.475*44/12</f>
        <v>25.775748431806548</v>
      </c>
      <c r="AW138" s="21">
        <f>EXP(-LN(2)/2)*AW137+(1-EXP(-LN(2)/2))/(LN(2)/2)*AQ138*AT138*VLOOKUP('Données projet'!$B$10,Paramètres!$A$1:$I$89,3,0)*0.475*44/12</f>
        <v>1.0432685660524906E-6</v>
      </c>
      <c r="AX138" s="21">
        <f t="shared" si="114"/>
        <v>86.479331582724015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4.7884896048344674E-14</v>
      </c>
      <c r="BF138" s="13">
        <f t="shared" si="145"/>
        <v>7.8374629847779921E-13</v>
      </c>
      <c r="BG138" s="20">
        <f t="shared" si="115"/>
        <v>1.4484243304663672E-12</v>
      </c>
      <c r="BH138" s="59">
        <f t="shared" si="116"/>
        <v>284.69975714988857</v>
      </c>
      <c r="BI138" s="59">
        <f ca="1">AVERAGE(OFFSET($BH$3,0,0,'Données projet'!$E$11+1,1))-AVERAGE(OFFSET($H$3,0,0,'Données projet'!$E$11+1,1))</f>
        <v>456.35333554128226</v>
      </c>
      <c r="BJ138" s="59">
        <f t="shared" si="146"/>
        <v>296.4517290984877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68.888885262439345</v>
      </c>
      <c r="BQ138" s="21">
        <f>EXP(-LN(2)/25)*BQ137+(1-EXP(-LN(2)/25))/(LN(2)/25)*Calculateur!BL138*Calculateur!BN138*VLOOKUP('Données projet'!$B$11,Paramètres!$A$1:$I$89,3,0)*0.475*44/12</f>
        <v>12.521319861698776</v>
      </c>
      <c r="BR138" s="21">
        <f>EXP(-LN(2)/2)*BR137+(1-EXP(-LN(2)/2))/(LN(2)/2)*BL138*BO138*VLOOKUP('Données projet'!$B$11,Paramètres!$A$1:$I$89,3,0)*0.475*44/12</f>
        <v>3.2036561715133023E-4</v>
      </c>
      <c r="BS138" s="22">
        <f t="shared" si="117"/>
        <v>81.410525489755273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2.5579538487363607E-13</v>
      </c>
      <c r="BZ138" s="13">
        <f>BY138*VLOOKUP('Données projet'!$B$12,Paramètres!$A$1:$I$89,3,0)*VLOOKUP('Données projet'!$B$12,Paramètres!$A$1:$I$89,5,0)</f>
        <v>2.4341488824575211E-13</v>
      </c>
      <c r="CA138" s="13">
        <f t="shared" si="147"/>
        <v>3.2970717324875541E-12</v>
      </c>
      <c r="CB138" s="20">
        <f t="shared" si="118"/>
        <v>6.1663475311105072E-12</v>
      </c>
      <c r="CC138" s="59">
        <f t="shared" si="119"/>
        <v>284.69975714989329</v>
      </c>
      <c r="CD138" s="59">
        <f ca="1">AVERAGE(OFFSET($CC$3,0,0,'Données projet'!$E$12+1,1))-AVERAGE(OFFSET($H$3,0,0,'Données projet'!$E$12+1,1))</f>
        <v>486.36097333679697</v>
      </c>
      <c r="CE138" s="59">
        <f t="shared" si="148"/>
        <v>308.47736602748159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59.912601971077414</v>
      </c>
      <c r="CL138" s="21">
        <f>EXP(-LN(2)/25)*CL137+(1-EXP(-LN(2)/25))/(LN(2)/25)*Calculateur!CG138*Calculateur!CI138*VLOOKUP('Données projet'!$B$12,Paramètres!$A$1:$I$89,3,0)*0.475*44/12</f>
        <v>52.410015245223711</v>
      </c>
      <c r="CM138" s="21">
        <f>EXP(-LN(2)/2)*CM137+(1-EXP(-LN(2)/2))/(LN(2)/2)*CG138*CJ138*VLOOKUP('Données projet'!$B$12,Paramètres!$A$1:$I$89,3,0)*0.475*44/12</f>
        <v>6.3376474968452339</v>
      </c>
      <c r="CN138" s="22">
        <f t="shared" si="120"/>
        <v>118.66026471314636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284.84953039489307</v>
      </c>
      <c r="S139" s="59">
        <f ca="1">AVERAGE(OFFSET($R$3,0,0,'Données projet'!$E$9+1,1))-AVERAGE(OFFSET($H$3,0,0,'Données projet'!$E$9+1,1))</f>
        <v>407.05634973057056</v>
      </c>
      <c r="T139" s="59">
        <f t="shared" si="142"/>
        <v>375.32891954889965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10.843999999999994</v>
      </c>
      <c r="AI139" s="13">
        <f>IF('Données projet'!$A$62&gt;35,AI138+AH139-AQ138,IF(A139&lt;'Données projet'!$A$62,$AF$205^A139,IF(A139='Données projet'!$A$62,'Données projet'!$B$62,AI138+AH139-AQ138)))</f>
        <v>595.67400000000021</v>
      </c>
      <c r="AJ139" s="13">
        <f>AI139*VLOOKUP('Données projet'!$B$10,Paramètres!$A$1:$I$89,3,0)*VLOOKUP('Données projet'!$B$10,Paramètres!$A$1:$I$89,5,0)</f>
        <v>538.96583520000013</v>
      </c>
      <c r="AK139" s="13">
        <f t="shared" si="143"/>
        <v>119.44268934083149</v>
      </c>
      <c r="AL139" s="20">
        <f t="shared" si="112"/>
        <v>1146.7281802419484</v>
      </c>
      <c r="AM139" s="59">
        <f t="shared" si="113"/>
        <v>1431.5777106368337</v>
      </c>
      <c r="AN139" s="59">
        <f ca="1">AVERAGE(OFFSET($AM$3,0,0,'Données projet'!$E$10+1,1))-AVERAGE(OFFSET($H$3,0,0,'Données projet'!$E$10+1,1))</f>
        <v>737.40414421611001</v>
      </c>
      <c r="AO139" s="59">
        <f t="shared" si="144"/>
        <v>245.32893490531674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59.513221888047021</v>
      </c>
      <c r="AV139" s="21">
        <f>EXP(-LN(2)/25)*AV138+(1-EXP(-LN(2)/25))/(LN(2)/25)*Calculateur!AQ139*Calculateur!AS139*VLOOKUP('Données projet'!$B$10,Paramètres!$A$1:$I$89,3,0)*0.475*44/12</f>
        <v>25.070909235451101</v>
      </c>
      <c r="AW139" s="21">
        <f>EXP(-LN(2)/2)*AW138+(1-EXP(-LN(2)/2))/(LN(2)/2)*AQ139*AT139*VLOOKUP('Données projet'!$B$10,Paramètres!$A$1:$I$89,3,0)*0.475*44/12</f>
        <v>7.3770227765448166E-7</v>
      </c>
      <c r="AX139" s="21">
        <f t="shared" si="114"/>
        <v>84.584131861200405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4.7884896048344674E-14</v>
      </c>
      <c r="BF139" s="13">
        <f t="shared" si="145"/>
        <v>7.8374629847779921E-13</v>
      </c>
      <c r="BG139" s="20">
        <f t="shared" si="115"/>
        <v>1.4484243304663672E-12</v>
      </c>
      <c r="BH139" s="59">
        <f t="shared" si="116"/>
        <v>284.84953039488664</v>
      </c>
      <c r="BI139" s="59">
        <f ca="1">AVERAGE(OFFSET($BH$3,0,0,'Données projet'!$E$11+1,1))-AVERAGE(OFFSET($H$3,0,0,'Données projet'!$E$11+1,1))</f>
        <v>456.35333554128226</v>
      </c>
      <c r="BJ139" s="59">
        <f t="shared" si="146"/>
        <v>296.4517290984877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67.538016240513983</v>
      </c>
      <c r="BQ139" s="21">
        <f>EXP(-LN(2)/25)*BQ138+(1-EXP(-LN(2)/25))/(LN(2)/25)*Calculateur!BL139*Calculateur!BN139*VLOOKUP('Données projet'!$B$11,Paramètres!$A$1:$I$89,3,0)*0.475*44/12</f>
        <v>12.178923711613029</v>
      </c>
      <c r="BR139" s="21">
        <f>EXP(-LN(2)/2)*BR138+(1-EXP(-LN(2)/2))/(LN(2)/2)*BL139*BO139*VLOOKUP('Données projet'!$B$11,Paramètres!$A$1:$I$89,3,0)*0.475*44/12</f>
        <v>2.2653270034671892E-4</v>
      </c>
      <c r="BS139" s="22">
        <f t="shared" si="117"/>
        <v>79.717166484827359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2.5579538487363607E-13</v>
      </c>
      <c r="BZ139" s="13">
        <f>BY139*VLOOKUP('Données projet'!$B$12,Paramètres!$A$1:$I$89,3,0)*VLOOKUP('Données projet'!$B$12,Paramètres!$A$1:$I$89,5,0)</f>
        <v>2.4341488824575211E-13</v>
      </c>
      <c r="CA139" s="13">
        <f t="shared" si="147"/>
        <v>3.2970717324875541E-12</v>
      </c>
      <c r="CB139" s="20">
        <f t="shared" si="118"/>
        <v>6.1663475311105072E-12</v>
      </c>
      <c r="CC139" s="59">
        <f t="shared" si="119"/>
        <v>284.84953039489136</v>
      </c>
      <c r="CD139" s="59">
        <f ca="1">AVERAGE(OFFSET($CC$3,0,0,'Données projet'!$E$12+1,1))-AVERAGE(OFFSET($H$3,0,0,'Données projet'!$E$12+1,1))</f>
        <v>486.36097333679697</v>
      </c>
      <c r="CE139" s="59">
        <f t="shared" si="148"/>
        <v>308.47736602748159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58.737752389503463</v>
      </c>
      <c r="CL139" s="21">
        <f>EXP(-LN(2)/25)*CL138+(1-EXP(-LN(2)/25))/(LN(2)/25)*Calculateur!CG139*Calculateur!CI139*VLOOKUP('Données projet'!$B$12,Paramètres!$A$1:$I$89,3,0)*0.475*44/12</f>
        <v>50.976860622220151</v>
      </c>
      <c r="CM139" s="21">
        <f>EXP(-LN(2)/2)*CM138+(1-EXP(-LN(2)/2))/(LN(2)/2)*CG139*CJ139*VLOOKUP('Données projet'!$B$12,Paramètres!$A$1:$I$89,3,0)*0.475*44/12</f>
        <v>4.4813935217892134</v>
      </c>
      <c r="CN139" s="22">
        <f t="shared" si="120"/>
        <v>114.19600653351283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284.99670540893322</v>
      </c>
      <c r="S140" s="59">
        <f ca="1">AVERAGE(OFFSET($R$3,0,0,'Données projet'!$E$9+1,1))-AVERAGE(OFFSET($H$3,0,0,'Données projet'!$E$9+1,1))</f>
        <v>407.05634973057056</v>
      </c>
      <c r="T140" s="59">
        <f t="shared" si="142"/>
        <v>375.32891954889965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10.843999999999994</v>
      </c>
      <c r="AI140" s="13">
        <f>IF('Données projet'!$A$62&gt;35,AI139+AH140-AQ139,IF(A140&lt;'Données projet'!$A$62,$AF$205^A140,IF(A140='Données projet'!$A$62,'Données projet'!$B$62,AI139+AH140-AQ139)))</f>
        <v>606.51800000000026</v>
      </c>
      <c r="AJ140" s="13">
        <f>AI140*VLOOKUP('Données projet'!$B$10,Paramètres!$A$1:$I$89,3,0)*VLOOKUP('Données projet'!$B$10,Paramètres!$A$1:$I$89,5,0)</f>
        <v>548.77748640000016</v>
      </c>
      <c r="AK140" s="13">
        <f t="shared" si="143"/>
        <v>121.36197162144936</v>
      </c>
      <c r="AL140" s="20">
        <f t="shared" si="112"/>
        <v>1167.1595560540247</v>
      </c>
      <c r="AM140" s="59">
        <f t="shared" si="113"/>
        <v>1452.1562614629502</v>
      </c>
      <c r="AN140" s="59">
        <f ca="1">AVERAGE(OFFSET($AM$3,0,0,'Données projet'!$E$10+1,1))-AVERAGE(OFFSET($H$3,0,0,'Données projet'!$E$10+1,1))</f>
        <v>737.40414421611001</v>
      </c>
      <c r="AO140" s="59">
        <f t="shared" si="144"/>
        <v>245.32893490531674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58.346203906303494</v>
      </c>
      <c r="AV140" s="21">
        <f>EXP(-LN(2)/25)*AV139+(1-EXP(-LN(2)/25))/(LN(2)/25)*Calculateur!AQ140*Calculateur!AS140*VLOOKUP('Données projet'!$B$10,Paramètres!$A$1:$I$89,3,0)*0.475*44/12</f>
        <v>24.385343903985873</v>
      </c>
      <c r="AW140" s="21">
        <f>EXP(-LN(2)/2)*AW139+(1-EXP(-LN(2)/2))/(LN(2)/2)*AQ140*AT140*VLOOKUP('Données projet'!$B$10,Paramètres!$A$1:$I$89,3,0)*0.475*44/12</f>
        <v>5.2163428302624528E-7</v>
      </c>
      <c r="AX140" s="21">
        <f t="shared" si="114"/>
        <v>82.731548331923648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4.7884896048344674E-14</v>
      </c>
      <c r="BF140" s="13">
        <f t="shared" si="145"/>
        <v>7.8374629847779921E-13</v>
      </c>
      <c r="BG140" s="20">
        <f t="shared" si="115"/>
        <v>1.4484243304663672E-12</v>
      </c>
      <c r="BH140" s="59">
        <f t="shared" si="116"/>
        <v>284.9967054089268</v>
      </c>
      <c r="BI140" s="59">
        <f ca="1">AVERAGE(OFFSET($BH$3,0,0,'Données projet'!$E$11+1,1))-AVERAGE(OFFSET($H$3,0,0,'Données projet'!$E$11+1,1))</f>
        <v>456.35333554128226</v>
      </c>
      <c r="BJ140" s="59">
        <f t="shared" si="146"/>
        <v>296.4517290984877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66.21363693615983</v>
      </c>
      <c r="BQ140" s="21">
        <f>EXP(-LN(2)/25)*BQ139+(1-EXP(-LN(2)/25))/(LN(2)/25)*Calculateur!BL140*Calculateur!BN140*VLOOKUP('Données projet'!$B$11,Paramètres!$A$1:$I$89,3,0)*0.475*44/12</f>
        <v>11.845890402257208</v>
      </c>
      <c r="BR140" s="21">
        <f>EXP(-LN(2)/2)*BR139+(1-EXP(-LN(2)/2))/(LN(2)/2)*BL140*BO140*VLOOKUP('Données projet'!$B$11,Paramètres!$A$1:$I$89,3,0)*0.475*44/12</f>
        <v>1.6018280857566511E-4</v>
      </c>
      <c r="BS140" s="22">
        <f t="shared" si="117"/>
        <v>78.059687521225612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2.5579538487363607E-13</v>
      </c>
      <c r="BZ140" s="13">
        <f>BY140*VLOOKUP('Données projet'!$B$12,Paramètres!$A$1:$I$89,3,0)*VLOOKUP('Données projet'!$B$12,Paramètres!$A$1:$I$89,5,0)</f>
        <v>2.4341488824575211E-13</v>
      </c>
      <c r="CA140" s="13">
        <f t="shared" si="147"/>
        <v>3.2970717324875541E-12</v>
      </c>
      <c r="CB140" s="20">
        <f t="shared" si="118"/>
        <v>6.1663475311105072E-12</v>
      </c>
      <c r="CC140" s="59">
        <f t="shared" si="119"/>
        <v>284.99670540893152</v>
      </c>
      <c r="CD140" s="59">
        <f ca="1">AVERAGE(OFFSET($CC$3,0,0,'Données projet'!$E$12+1,1))-AVERAGE(OFFSET($H$3,0,0,'Données projet'!$E$12+1,1))</f>
        <v>486.36097333679697</v>
      </c>
      <c r="CE140" s="59">
        <f t="shared" si="148"/>
        <v>308.47736602748159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57.585940891636682</v>
      </c>
      <c r="CL140" s="21">
        <f>EXP(-LN(2)/25)*CL139+(1-EXP(-LN(2)/25))/(LN(2)/25)*Calculateur!CG140*Calculateur!CI140*VLOOKUP('Données projet'!$B$12,Paramètres!$A$1:$I$89,3,0)*0.475*44/12</f>
        <v>49.582895687748952</v>
      </c>
      <c r="CM140" s="21">
        <f>EXP(-LN(2)/2)*CM139+(1-EXP(-LN(2)/2))/(LN(2)/2)*CG140*CJ140*VLOOKUP('Données projet'!$B$12,Paramètres!$A$1:$I$89,3,0)*0.475*44/12</f>
        <v>3.1688237484226169</v>
      </c>
      <c r="CN140" s="22">
        <f t="shared" si="120"/>
        <v>110.33766032780825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285.14132726551378</v>
      </c>
      <c r="S141" s="59">
        <f ca="1">AVERAGE(OFFSET($R$3,0,0,'Données projet'!$E$9+1,1))-AVERAGE(OFFSET($H$3,0,0,'Données projet'!$E$9+1,1))</f>
        <v>407.05634973057056</v>
      </c>
      <c r="T141" s="59">
        <f t="shared" si="142"/>
        <v>375.32891954889965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10.843999999999994</v>
      </c>
      <c r="AI141" s="13">
        <f>IF('Données projet'!$A$62&gt;35,AI140+AH141-AQ140,IF(A141&lt;'Données projet'!$A$62,$AF$205^A141,IF(A141='Données projet'!$A$62,'Données projet'!$B$62,AI140+AH141-AQ140)))</f>
        <v>617.36200000000031</v>
      </c>
      <c r="AJ141" s="13">
        <f>AI141*VLOOKUP('Données projet'!$B$10,Paramètres!$A$1:$I$89,3,0)*VLOOKUP('Données projet'!$B$10,Paramètres!$A$1:$I$89,5,0)</f>
        <v>558.5891376000003</v>
      </c>
      <c r="AK141" s="13">
        <f t="shared" si="143"/>
        <v>123.27726355861266</v>
      </c>
      <c r="AL141" s="20">
        <f t="shared" si="112"/>
        <v>1187.5839820179174</v>
      </c>
      <c r="AM141" s="59">
        <f t="shared" si="113"/>
        <v>1472.7253092834233</v>
      </c>
      <c r="AN141" s="59">
        <f ca="1">AVERAGE(OFFSET($AM$3,0,0,'Données projet'!$E$10+1,1))-AVERAGE(OFFSET($H$3,0,0,'Données projet'!$E$10+1,1))</f>
        <v>737.40414421611001</v>
      </c>
      <c r="AO141" s="59">
        <f t="shared" si="144"/>
        <v>245.32893490531674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57.202070435371276</v>
      </c>
      <c r="AV141" s="21">
        <f>EXP(-LN(2)/25)*AV140+(1-EXP(-LN(2)/25))/(LN(2)/25)*Calculateur!AQ141*Calculateur!AS141*VLOOKUP('Données projet'!$B$10,Paramètres!$A$1:$I$89,3,0)*0.475*44/12</f>
        <v>23.718525392561876</v>
      </c>
      <c r="AW141" s="21">
        <f>EXP(-LN(2)/2)*AW140+(1-EXP(-LN(2)/2))/(LN(2)/2)*AQ141*AT141*VLOOKUP('Données projet'!$B$10,Paramètres!$A$1:$I$89,3,0)*0.475*44/12</f>
        <v>3.6885113882724083E-7</v>
      </c>
      <c r="AX141" s="21">
        <f t="shared" si="114"/>
        <v>80.920596196784288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4.7884896048344674E-14</v>
      </c>
      <c r="BF141" s="13">
        <f t="shared" si="145"/>
        <v>7.8374629847779921E-13</v>
      </c>
      <c r="BG141" s="20">
        <f t="shared" si="115"/>
        <v>1.4484243304663672E-12</v>
      </c>
      <c r="BH141" s="59">
        <f t="shared" si="116"/>
        <v>285.14132726550736</v>
      </c>
      <c r="BI141" s="59">
        <f ca="1">AVERAGE(OFFSET($BH$3,0,0,'Données projet'!$E$11+1,1))-AVERAGE(OFFSET($H$3,0,0,'Données projet'!$E$11+1,1))</f>
        <v>456.35333554128226</v>
      </c>
      <c r="BJ141" s="59">
        <f t="shared" si="146"/>
        <v>296.4517290984877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64.915227902172447</v>
      </c>
      <c r="BQ141" s="21">
        <f>EXP(-LN(2)/25)*BQ140+(1-EXP(-LN(2)/25))/(LN(2)/25)*Calculateur!BL141*Calculateur!BN141*VLOOKUP('Données projet'!$B$11,Paramètres!$A$1:$I$89,3,0)*0.475*44/12</f>
        <v>11.521963906259183</v>
      </c>
      <c r="BR141" s="21">
        <f>EXP(-LN(2)/2)*BR140+(1-EXP(-LN(2)/2))/(LN(2)/2)*BL141*BO141*VLOOKUP('Données projet'!$B$11,Paramètres!$A$1:$I$89,3,0)*0.475*44/12</f>
        <v>1.1326635017335946E-4</v>
      </c>
      <c r="BS141" s="22">
        <f t="shared" si="117"/>
        <v>76.437305074781804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2.5579538487363607E-13</v>
      </c>
      <c r="BZ141" s="13">
        <f>BY141*VLOOKUP('Données projet'!$B$12,Paramètres!$A$1:$I$89,3,0)*VLOOKUP('Données projet'!$B$12,Paramètres!$A$1:$I$89,5,0)</f>
        <v>2.4341488824575211E-13</v>
      </c>
      <c r="CA141" s="13">
        <f t="shared" si="147"/>
        <v>3.2970717324875541E-12</v>
      </c>
      <c r="CB141" s="20">
        <f t="shared" si="118"/>
        <v>6.1663475311105072E-12</v>
      </c>
      <c r="CC141" s="59">
        <f t="shared" si="119"/>
        <v>285.14132726551207</v>
      </c>
      <c r="CD141" s="59">
        <f ca="1">AVERAGE(OFFSET($CC$3,0,0,'Données projet'!$E$12+1,1))-AVERAGE(OFFSET($H$3,0,0,'Données projet'!$E$12+1,1))</f>
        <v>486.36097333679697</v>
      </c>
      <c r="CE141" s="59">
        <f t="shared" si="148"/>
        <v>308.47736602748159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56.456715714707428</v>
      </c>
      <c r="CL141" s="21">
        <f>EXP(-LN(2)/25)*CL140+(1-EXP(-LN(2)/25))/(LN(2)/25)*Calculateur!CG141*Calculateur!CI141*VLOOKUP('Données projet'!$B$12,Paramètres!$A$1:$I$89,3,0)*0.475*44/12</f>
        <v>48.227048797716293</v>
      </c>
      <c r="CM141" s="21">
        <f>EXP(-LN(2)/2)*CM140+(1-EXP(-LN(2)/2))/(LN(2)/2)*CG141*CJ141*VLOOKUP('Données projet'!$B$12,Paramètres!$A$1:$I$89,3,0)*0.475*44/12</f>
        <v>2.2406967608946067</v>
      </c>
      <c r="CN141" s="22">
        <f t="shared" si="120"/>
        <v>106.92446127331833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285.28344025620873</v>
      </c>
      <c r="S142" s="59">
        <f ca="1">AVERAGE(OFFSET($R$3,0,0,'Données projet'!$E$9+1,1))-AVERAGE(OFFSET($H$3,0,0,'Données projet'!$E$9+1,1))</f>
        <v>407.05634973057056</v>
      </c>
      <c r="T142" s="59">
        <f t="shared" si="142"/>
        <v>375.32891954889965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10.843999999999994</v>
      </c>
      <c r="AI142" s="13">
        <f>IF('Données projet'!$A$62&gt;35,AI141+AH142-AQ141,IF(A142&lt;'Données projet'!$A$62,$AF$205^A142,IF(A142='Données projet'!$A$62,'Données projet'!$B$62,AI141+AH142-AQ141)))</f>
        <v>628.20600000000036</v>
      </c>
      <c r="AJ142" s="13">
        <f>AI142*VLOOKUP('Données projet'!$B$10,Paramètres!$A$1:$I$89,3,0)*VLOOKUP('Données projet'!$B$10,Paramètres!$A$1:$I$89,5,0)</f>
        <v>568.40078880000033</v>
      </c>
      <c r="AK142" s="13">
        <f t="shared" si="143"/>
        <v>125.1886433296535</v>
      </c>
      <c r="AL142" s="20">
        <f t="shared" si="112"/>
        <v>1208.0015942924804</v>
      </c>
      <c r="AM142" s="59">
        <f t="shared" si="113"/>
        <v>1493.2850345486813</v>
      </c>
      <c r="AN142" s="59">
        <f ca="1">AVERAGE(OFFSET($AM$3,0,0,'Données projet'!$E$10+1,1))-AVERAGE(OFFSET($H$3,0,0,'Données projet'!$E$10+1,1))</f>
        <v>737.40414421611001</v>
      </c>
      <c r="AO142" s="59">
        <f t="shared" si="144"/>
        <v>245.32893490531674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56.080372723951527</v>
      </c>
      <c r="AV142" s="21">
        <f>EXP(-LN(2)/25)*AV141+(1-EXP(-LN(2)/25))/(LN(2)/25)*Calculateur!AQ142*Calculateur!AS142*VLOOKUP('Données projet'!$B$10,Paramètres!$A$1:$I$89,3,0)*0.475*44/12</f>
        <v>23.069941068399231</v>
      </c>
      <c r="AW142" s="21">
        <f>EXP(-LN(2)/2)*AW141+(1-EXP(-LN(2)/2))/(LN(2)/2)*AQ142*AT142*VLOOKUP('Données projet'!$B$10,Paramètres!$A$1:$I$89,3,0)*0.475*44/12</f>
        <v>2.6081714151312264E-7</v>
      </c>
      <c r="AX142" s="21">
        <f t="shared" si="114"/>
        <v>79.150314053167904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4.7884896048344674E-14</v>
      </c>
      <c r="BF142" s="13">
        <f t="shared" si="145"/>
        <v>7.8374629847779921E-13</v>
      </c>
      <c r="BG142" s="20">
        <f t="shared" si="115"/>
        <v>1.4484243304663672E-12</v>
      </c>
      <c r="BH142" s="59">
        <f t="shared" si="116"/>
        <v>285.28344025620231</v>
      </c>
      <c r="BI142" s="59">
        <f ca="1">AVERAGE(OFFSET($BH$3,0,0,'Données projet'!$E$11+1,1))-AVERAGE(OFFSET($H$3,0,0,'Données projet'!$E$11+1,1))</f>
        <v>456.35333554128226</v>
      </c>
      <c r="BJ142" s="59">
        <f t="shared" si="146"/>
        <v>296.4517290984877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63.642279877390244</v>
      </c>
      <c r="BQ142" s="21">
        <f>EXP(-LN(2)/25)*BQ141+(1-EXP(-LN(2)/25))/(LN(2)/25)*Calculateur!BL142*Calculateur!BN142*VLOOKUP('Données projet'!$B$11,Paramètres!$A$1:$I$89,3,0)*0.475*44/12</f>
        <v>11.206895197328777</v>
      </c>
      <c r="BR142" s="21">
        <f>EXP(-LN(2)/2)*BR141+(1-EXP(-LN(2)/2))/(LN(2)/2)*BL142*BO142*VLOOKUP('Données projet'!$B$11,Paramètres!$A$1:$I$89,3,0)*0.475*44/12</f>
        <v>8.0091404287832557E-5</v>
      </c>
      <c r="BS142" s="22">
        <f t="shared" si="117"/>
        <v>74.849255166123314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2.5579538487363607E-13</v>
      </c>
      <c r="BZ142" s="13">
        <f>BY142*VLOOKUP('Données projet'!$B$12,Paramètres!$A$1:$I$89,3,0)*VLOOKUP('Données projet'!$B$12,Paramètres!$A$1:$I$89,5,0)</f>
        <v>2.4341488824575211E-13</v>
      </c>
      <c r="CA142" s="13">
        <f t="shared" si="147"/>
        <v>3.2970717324875541E-12</v>
      </c>
      <c r="CB142" s="20">
        <f t="shared" si="118"/>
        <v>6.1663475311105072E-12</v>
      </c>
      <c r="CC142" s="59">
        <f t="shared" si="119"/>
        <v>285.28344025620703</v>
      </c>
      <c r="CD142" s="59">
        <f ca="1">AVERAGE(OFFSET($CC$3,0,0,'Données projet'!$E$12+1,1))-AVERAGE(OFFSET($H$3,0,0,'Données projet'!$E$12+1,1))</f>
        <v>486.36097333679697</v>
      </c>
      <c r="CE142" s="59">
        <f t="shared" si="148"/>
        <v>308.47736602748159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55.349633954738408</v>
      </c>
      <c r="CL142" s="21">
        <f>EXP(-LN(2)/25)*CL141+(1-EXP(-LN(2)/25))/(LN(2)/25)*Calculateur!CG142*Calculateur!CI142*VLOOKUP('Données projet'!$B$12,Paramètres!$A$1:$I$89,3,0)*0.475*44/12</f>
        <v>46.908277612192471</v>
      </c>
      <c r="CM142" s="21">
        <f>EXP(-LN(2)/2)*CM141+(1-EXP(-LN(2)/2))/(LN(2)/2)*CG142*CJ142*VLOOKUP('Données projet'!$B$12,Paramètres!$A$1:$I$89,3,0)*0.475*44/12</f>
        <v>1.5844118742113085</v>
      </c>
      <c r="CN142" s="22">
        <f t="shared" si="120"/>
        <v>103.8423234411422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285.4230879042322</v>
      </c>
      <c r="S143" s="59">
        <f ca="1">AVERAGE(OFFSET($R$3,0,0,'Données projet'!$E$9+1,1))-AVERAGE(OFFSET($H$3,0,0,'Données projet'!$E$9+1,1))</f>
        <v>407.05634973057056</v>
      </c>
      <c r="T143" s="59">
        <f t="shared" si="142"/>
        <v>375.32891954889965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10.843999999999994</v>
      </c>
      <c r="AH143" s="12">
        <f t="array" ref="AH143">INDEX(AG:AG,MIN(IF(ISNUMBER(AG143:AG339),ROW(AG143:AG339),"")))</f>
        <v>10.843999999999994</v>
      </c>
      <c r="AI143" s="13">
        <f>IF('Données projet'!$A$62&gt;35,AI142+AH143-AQ142,IF(A143&lt;'Données projet'!$A$62,$AF$205^A143,IF(A143='Données projet'!$A$62,'Données projet'!$B$62,AI142+AH143-AQ142)))</f>
        <v>639.05000000000041</v>
      </c>
      <c r="AJ143" s="13">
        <f>AI143*VLOOKUP('Données projet'!$B$10,Paramètres!$A$1:$I$89,3,0)*VLOOKUP('Données projet'!$B$10,Paramètres!$A$1:$I$89,5,0)</f>
        <v>578.21244000000036</v>
      </c>
      <c r="AK143" s="13">
        <f t="shared" si="143"/>
        <v>127.0961862582958</v>
      </c>
      <c r="AL143" s="20">
        <f t="shared" si="112"/>
        <v>1228.4125240665323</v>
      </c>
      <c r="AM143" s="59">
        <f t="shared" si="113"/>
        <v>1513.8356119707566</v>
      </c>
      <c r="AN143" s="59">
        <f ca="1">AVERAGE(OFFSET($AM$3,0,0,'Données projet'!$E$10+1,1))-AVERAGE(OFFSET($H$3,0,0,'Données projet'!$E$10+1,1))</f>
        <v>737.40414421611001</v>
      </c>
      <c r="AO143" s="59">
        <f t="shared" si="144"/>
        <v>245.32893490531674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74.669999999999959</v>
      </c>
      <c r="AR143" s="16">
        <f>IF(ISNA(VLOOKUP(A143,'Données projet'!$A$61:$I$81,5,0)),0%,VLOOKUP(A143,'Données projet'!$A$61:$I$81,5,0)*VLOOKUP('Données projet'!$B$10,Paramètres!$A$1:$I$89,7,0))</f>
        <v>0.215</v>
      </c>
      <c r="AS143" s="16">
        <f>IF(ISNA(VLOOKUP(A143,'Données projet'!$A$61:$I$81,6,0)),0%,VLOOKUP(A143,'Données projet'!$A$61:$I$81,6,0)*VLOOKUP('Données projet'!$B$10,Paramètres!$A$1:$I$89,7,0))</f>
        <v>8.6000000000000007E-2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71.038406820754915</v>
      </c>
      <c r="AV143" s="21">
        <f>EXP(-LN(2)/25)*AV142+(1-EXP(-LN(2)/25))/(LN(2)/25)*Calculateur!AQ143*Calculateur!AS143*VLOOKUP('Données projet'!$B$10,Paramètres!$A$1:$I$89,3,0)*0.475*44/12</f>
        <v>28.836896546752417</v>
      </c>
      <c r="AW143" s="21">
        <f>EXP(-LN(2)/2)*AW142+(1-EXP(-LN(2)/2))/(LN(2)/2)*AQ143*AT143*VLOOKUP('Données projet'!$B$10,Paramètres!$A$1:$I$89,3,0)*0.475*44/12</f>
        <v>1.8442556941362041E-7</v>
      </c>
      <c r="AX143" s="21">
        <f t="shared" si="114"/>
        <v>99.875303551932902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4.7884896048344674E-14</v>
      </c>
      <c r="BF143" s="13">
        <f t="shared" si="145"/>
        <v>7.8374629847779921E-13</v>
      </c>
      <c r="BG143" s="20">
        <f t="shared" si="115"/>
        <v>1.4484243304663672E-12</v>
      </c>
      <c r="BH143" s="59">
        <f t="shared" si="116"/>
        <v>285.42308790422578</v>
      </c>
      <c r="BI143" s="59">
        <f ca="1">AVERAGE(OFFSET($BH$3,0,0,'Données projet'!$E$11+1,1))-AVERAGE(OFFSET($H$3,0,0,'Données projet'!$E$11+1,1))</f>
        <v>456.35333554128226</v>
      </c>
      <c r="BJ143" s="59">
        <f t="shared" si="146"/>
        <v>296.4517290984877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62.394293586952394</v>
      </c>
      <c r="BQ143" s="21">
        <f>EXP(-LN(2)/25)*BQ142+(1-EXP(-LN(2)/25))/(LN(2)/25)*Calculateur!BL143*Calculateur!BN143*VLOOKUP('Données projet'!$B$11,Paramètres!$A$1:$I$89,3,0)*0.475*44/12</f>
        <v>10.900442058812816</v>
      </c>
      <c r="BR143" s="21">
        <f>EXP(-LN(2)/2)*BR142+(1-EXP(-LN(2)/2))/(LN(2)/2)*BL143*BO143*VLOOKUP('Données projet'!$B$11,Paramètres!$A$1:$I$89,3,0)*0.475*44/12</f>
        <v>5.6633175086679731E-5</v>
      </c>
      <c r="BS143" s="22">
        <f t="shared" si="117"/>
        <v>73.294792278940307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2.5579538487363607E-13</v>
      </c>
      <c r="BZ143" s="13">
        <f>BY143*VLOOKUP('Données projet'!$B$12,Paramètres!$A$1:$I$89,3,0)*VLOOKUP('Données projet'!$B$12,Paramètres!$A$1:$I$89,5,0)</f>
        <v>2.4341488824575211E-13</v>
      </c>
      <c r="CA143" s="13">
        <f t="shared" si="147"/>
        <v>3.2970717324875541E-12</v>
      </c>
      <c r="CB143" s="20">
        <f t="shared" si="118"/>
        <v>6.1663475311105072E-12</v>
      </c>
      <c r="CC143" s="59">
        <f t="shared" si="119"/>
        <v>285.4230879042305</v>
      </c>
      <c r="CD143" s="59">
        <f ca="1">AVERAGE(OFFSET($CC$3,0,0,'Données projet'!$E$12+1,1))-AVERAGE(OFFSET($H$3,0,0,'Données projet'!$E$12+1,1))</f>
        <v>486.36097333679697</v>
      </c>
      <c r="CE143" s="59">
        <f t="shared" si="148"/>
        <v>308.47736602748159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54.264261392829184</v>
      </c>
      <c r="CL143" s="21">
        <f>EXP(-LN(2)/25)*CL142+(1-EXP(-LN(2)/25))/(LN(2)/25)*Calculateur!CG143*Calculateur!CI143*VLOOKUP('Données projet'!$B$12,Paramètres!$A$1:$I$89,3,0)*0.475*44/12</f>
        <v>45.625568294087955</v>
      </c>
      <c r="CM143" s="21">
        <f>EXP(-LN(2)/2)*CM142+(1-EXP(-LN(2)/2))/(LN(2)/2)*CG143*CJ143*VLOOKUP('Données projet'!$B$12,Paramètres!$A$1:$I$89,3,0)*0.475*44/12</f>
        <v>1.1203483804473033</v>
      </c>
      <c r="CN143" s="22">
        <f t="shared" si="120"/>
        <v>101.01017806736444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285.56031297776786</v>
      </c>
      <c r="S144" s="59">
        <f ca="1">AVERAGE(OFFSET($R$3,0,0,'Données projet'!$E$9+1,1))-AVERAGE(OFFSET($H$3,0,0,'Données projet'!$E$9+1,1))</f>
        <v>407.05634973057056</v>
      </c>
      <c r="T144" s="59">
        <f t="shared" si="142"/>
        <v>375.32891954889965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10.875</v>
      </c>
      <c r="AI144" s="13">
        <f>IF('Données projet'!$A$62&gt;35,AI143+AH144-AQ143,IF(A144&lt;'Données projet'!$A$62,$AF$205^A144,IF(A144='Données projet'!$A$62,'Données projet'!$B$62,AI143+AH144-AQ143)))</f>
        <v>575.25500000000045</v>
      </c>
      <c r="AJ144" s="13">
        <f>AI144*VLOOKUP('Données projet'!$B$10,Paramètres!$A$1:$I$89,3,0)*VLOOKUP('Données projet'!$B$10,Paramètres!$A$1:$I$89,5,0)</f>
        <v>520.49072400000034</v>
      </c>
      <c r="AK144" s="13">
        <f t="shared" si="143"/>
        <v>115.81760674620399</v>
      </c>
      <c r="AL144" s="20">
        <f t="shared" si="112"/>
        <v>1108.2370093829725</v>
      </c>
      <c r="AM144" s="59">
        <f t="shared" si="113"/>
        <v>1393.7973223607326</v>
      </c>
      <c r="AN144" s="59">
        <f ca="1">AVERAGE(OFFSET($AM$3,0,0,'Données projet'!$E$10+1,1))-AVERAGE(OFFSET($H$3,0,0,'Données projet'!$E$10+1,1))</f>
        <v>737.40414421611001</v>
      </c>
      <c r="AO144" s="59">
        <f t="shared" si="144"/>
        <v>245.32893490531674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69.645386992149668</v>
      </c>
      <c r="AV144" s="21">
        <f>EXP(-LN(2)/25)*AV143+(1-EXP(-LN(2)/25))/(LN(2)/25)*Calculateur!AQ144*Calculateur!AS144*VLOOKUP('Données projet'!$B$10,Paramètres!$A$1:$I$89,3,0)*0.475*44/12</f>
        <v>28.048350094214989</v>
      </c>
      <c r="AW144" s="21">
        <f>EXP(-LN(2)/2)*AW143+(1-EXP(-LN(2)/2))/(LN(2)/2)*AQ144*AT144*VLOOKUP('Données projet'!$B$10,Paramètres!$A$1:$I$89,3,0)*0.475*44/12</f>
        <v>1.3040857075656132E-7</v>
      </c>
      <c r="AX144" s="21">
        <f t="shared" si="114"/>
        <v>97.693737216773215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4.7884896048344674E-14</v>
      </c>
      <c r="BF144" s="13">
        <f t="shared" si="145"/>
        <v>7.8374629847779921E-13</v>
      </c>
      <c r="BG144" s="20">
        <f t="shared" si="115"/>
        <v>1.4484243304663672E-12</v>
      </c>
      <c r="BH144" s="59">
        <f t="shared" si="116"/>
        <v>285.56031297776144</v>
      </c>
      <c r="BI144" s="59">
        <f ca="1">AVERAGE(OFFSET($BH$3,0,0,'Données projet'!$E$11+1,1))-AVERAGE(OFFSET($H$3,0,0,'Données projet'!$E$11+1,1))</f>
        <v>456.35333554128226</v>
      </c>
      <c r="BJ144" s="59">
        <f t="shared" si="146"/>
        <v>296.4517290984877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61.170779546473554</v>
      </c>
      <c r="BQ144" s="21">
        <f>EXP(-LN(2)/25)*BQ143+(1-EXP(-LN(2)/25))/(LN(2)/25)*Calculateur!BL144*Calculateur!BN144*VLOOKUP('Données projet'!$B$11,Paramètres!$A$1:$I$89,3,0)*0.475*44/12</f>
        <v>10.602368897485245</v>
      </c>
      <c r="BR144" s="21">
        <f>EXP(-LN(2)/2)*BR143+(1-EXP(-LN(2)/2))/(LN(2)/2)*BL144*BO144*VLOOKUP('Données projet'!$B$11,Paramètres!$A$1:$I$89,3,0)*0.475*44/12</f>
        <v>4.0045702143916279E-5</v>
      </c>
      <c r="BS144" s="22">
        <f t="shared" si="117"/>
        <v>71.773188489660953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2.5579538487363607E-13</v>
      </c>
      <c r="BZ144" s="13">
        <f>BY144*VLOOKUP('Données projet'!$B$12,Paramètres!$A$1:$I$89,3,0)*VLOOKUP('Données projet'!$B$12,Paramètres!$A$1:$I$89,5,0)</f>
        <v>2.4341488824575211E-13</v>
      </c>
      <c r="CA144" s="13">
        <f t="shared" si="147"/>
        <v>3.2970717324875541E-12</v>
      </c>
      <c r="CB144" s="20">
        <f t="shared" si="118"/>
        <v>6.1663475311105072E-12</v>
      </c>
      <c r="CC144" s="59">
        <f t="shared" si="119"/>
        <v>285.56031297776616</v>
      </c>
      <c r="CD144" s="59">
        <f ca="1">AVERAGE(OFFSET($CC$3,0,0,'Données projet'!$E$12+1,1))-AVERAGE(OFFSET($H$3,0,0,'Données projet'!$E$12+1,1))</f>
        <v>486.36097333679697</v>
      </c>
      <c r="CE144" s="59">
        <f t="shared" si="148"/>
        <v>308.47736602748159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53.200172324847102</v>
      </c>
      <c r="CL144" s="21">
        <f>EXP(-LN(2)/25)*CL143+(1-EXP(-LN(2)/25))/(LN(2)/25)*Calculateur!CG144*Calculateur!CI144*VLOOKUP('Données projet'!$B$12,Paramètres!$A$1:$I$89,3,0)*0.475*44/12</f>
        <v>44.37793472974176</v>
      </c>
      <c r="CM144" s="21">
        <f>EXP(-LN(2)/2)*CM143+(1-EXP(-LN(2)/2))/(LN(2)/2)*CG144*CJ144*VLOOKUP('Données projet'!$B$12,Paramètres!$A$1:$I$89,3,0)*0.475*44/12</f>
        <v>0.79220593710565423</v>
      </c>
      <c r="CN144" s="22">
        <f t="shared" si="120"/>
        <v>98.370312991694504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285.69515750306692</v>
      </c>
      <c r="S145" s="59">
        <f ca="1">AVERAGE(OFFSET($R$3,0,0,'Données projet'!$E$9+1,1))-AVERAGE(OFFSET($H$3,0,0,'Données projet'!$E$9+1,1))</f>
        <v>407.05634973057056</v>
      </c>
      <c r="T145" s="59">
        <f t="shared" si="142"/>
        <v>375.32891954889965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10.875</v>
      </c>
      <c r="AI145" s="13">
        <f>IF('Données projet'!$A$62&gt;35,AI144+AH145-AQ144,IF(A145&lt;'Données projet'!$A$62,$AF$205^A145,IF(A145='Données projet'!$A$62,'Données projet'!$B$62,AI144+AH145-AQ144)))</f>
        <v>586.13000000000045</v>
      </c>
      <c r="AJ145" s="13">
        <f>AI145*VLOOKUP('Données projet'!$B$10,Paramètres!$A$1:$I$89,3,0)*VLOOKUP('Données projet'!$B$10,Paramètres!$A$1:$I$89,5,0)</f>
        <v>530.33042400000033</v>
      </c>
      <c r="AK145" s="13">
        <f t="shared" si="143"/>
        <v>117.75012850750038</v>
      </c>
      <c r="AL145" s="20">
        <f t="shared" si="112"/>
        <v>1128.7402956172302</v>
      </c>
      <c r="AM145" s="59">
        <f t="shared" si="113"/>
        <v>1414.4354531202894</v>
      </c>
      <c r="AN145" s="59">
        <f ca="1">AVERAGE(OFFSET($AM$3,0,0,'Données projet'!$E$10+1,1))-AVERAGE(OFFSET($H$3,0,0,'Données projet'!$E$10+1,1))</f>
        <v>737.40414421611001</v>
      </c>
      <c r="AO145" s="59">
        <f t="shared" si="144"/>
        <v>245.32893490531674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68.279683432725179</v>
      </c>
      <c r="AV145" s="21">
        <f>EXP(-LN(2)/25)*AV144+(1-EXP(-LN(2)/25))/(LN(2)/25)*Calculateur!AQ145*Calculateur!AS145*VLOOKUP('Données projet'!$B$10,Paramètres!$A$1:$I$89,3,0)*0.475*44/12</f>
        <v>27.281366485890054</v>
      </c>
      <c r="AW145" s="21">
        <f>EXP(-LN(2)/2)*AW144+(1-EXP(-LN(2)/2))/(LN(2)/2)*AQ145*AT145*VLOOKUP('Données projet'!$B$10,Paramètres!$A$1:$I$89,3,0)*0.475*44/12</f>
        <v>9.2212784706810207E-8</v>
      </c>
      <c r="AX145" s="21">
        <f t="shared" si="114"/>
        <v>95.561050010828012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4.7884896048344674E-14</v>
      </c>
      <c r="BF145" s="13">
        <f t="shared" si="145"/>
        <v>7.8374629847779921E-13</v>
      </c>
      <c r="BG145" s="20">
        <f t="shared" si="115"/>
        <v>1.4484243304663672E-12</v>
      </c>
      <c r="BH145" s="59">
        <f t="shared" si="116"/>
        <v>285.6951575030605</v>
      </c>
      <c r="BI145" s="59">
        <f ca="1">AVERAGE(OFFSET($BH$3,0,0,'Données projet'!$E$11+1,1))-AVERAGE(OFFSET($H$3,0,0,'Données projet'!$E$11+1,1))</f>
        <v>456.35333554128226</v>
      </c>
      <c r="BJ145" s="59">
        <f t="shared" si="146"/>
        <v>296.4517290984877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59.971257870058629</v>
      </c>
      <c r="BQ145" s="21">
        <f>EXP(-LN(2)/25)*BQ144+(1-EXP(-LN(2)/25))/(LN(2)/25)*Calculateur!BL145*Calculateur!BN145*VLOOKUP('Données projet'!$B$11,Paramètres!$A$1:$I$89,3,0)*0.475*44/12</f>
        <v>10.312446562429162</v>
      </c>
      <c r="BR145" s="21">
        <f>EXP(-LN(2)/2)*BR144+(1-EXP(-LN(2)/2))/(LN(2)/2)*BL145*BO145*VLOOKUP('Données projet'!$B$11,Paramètres!$A$1:$I$89,3,0)*0.475*44/12</f>
        <v>2.8316587543339866E-5</v>
      </c>
      <c r="BS145" s="22">
        <f t="shared" si="117"/>
        <v>70.283732749075341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2.5579538487363607E-13</v>
      </c>
      <c r="BZ145" s="13">
        <f>BY145*VLOOKUP('Données projet'!$B$12,Paramètres!$A$1:$I$89,3,0)*VLOOKUP('Données projet'!$B$12,Paramètres!$A$1:$I$89,5,0)</f>
        <v>2.4341488824575211E-13</v>
      </c>
      <c r="CA145" s="13">
        <f t="shared" si="147"/>
        <v>3.2970717324875541E-12</v>
      </c>
      <c r="CB145" s="20">
        <f t="shared" si="118"/>
        <v>6.1663475311105072E-12</v>
      </c>
      <c r="CC145" s="59">
        <f t="shared" si="119"/>
        <v>285.69515750306522</v>
      </c>
      <c r="CD145" s="59">
        <f ca="1">AVERAGE(OFFSET($CC$3,0,0,'Données projet'!$E$12+1,1))-AVERAGE(OFFSET($H$3,0,0,'Données projet'!$E$12+1,1))</f>
        <v>486.36097333679697</v>
      </c>
      <c r="CE145" s="59">
        <f t="shared" si="148"/>
        <v>308.47736602748159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52.156949394457904</v>
      </c>
      <c r="CL145" s="21">
        <f>EXP(-LN(2)/25)*CL144+(1-EXP(-LN(2)/25))/(LN(2)/25)*Calculateur!CG145*Calculateur!CI145*VLOOKUP('Données projet'!$B$12,Paramètres!$A$1:$I$89,3,0)*0.475*44/12</f>
        <v>43.164417770822809</v>
      </c>
      <c r="CM145" s="21">
        <f>EXP(-LN(2)/2)*CM144+(1-EXP(-LN(2)/2))/(LN(2)/2)*CG145*CJ145*VLOOKUP('Données projet'!$B$12,Paramètres!$A$1:$I$89,3,0)*0.475*44/12</f>
        <v>0.56017419022365167</v>
      </c>
      <c r="CN145" s="22">
        <f t="shared" si="120"/>
        <v>95.881541355504368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285.82766277731929</v>
      </c>
      <c r="S146" s="59">
        <f ca="1">AVERAGE(OFFSET($R$3,0,0,'Données projet'!$E$9+1,1))-AVERAGE(OFFSET($H$3,0,0,'Données projet'!$E$9+1,1))</f>
        <v>407.05634973057056</v>
      </c>
      <c r="T146" s="59">
        <f t="shared" si="142"/>
        <v>375.32891954889965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10.875</v>
      </c>
      <c r="AI146" s="13">
        <f>IF('Données projet'!$A$62&gt;35,AI145+AH146-AQ145,IF(A146&lt;'Données projet'!$A$62,$AF$205^A146,IF(A146='Données projet'!$A$62,'Données projet'!$B$62,AI145+AH146-AQ145)))</f>
        <v>597.00500000000045</v>
      </c>
      <c r="AJ146" s="13">
        <f>AI146*VLOOKUP('Données projet'!$B$10,Paramètres!$A$1:$I$89,3,0)*VLOOKUP('Données projet'!$B$10,Paramètres!$A$1:$I$89,5,0)</f>
        <v>540.17012400000033</v>
      </c>
      <c r="AK146" s="13">
        <f t="shared" si="143"/>
        <v>119.67848090157619</v>
      </c>
      <c r="AL146" s="20">
        <f t="shared" si="112"/>
        <v>1149.2363202035792</v>
      </c>
      <c r="AM146" s="59">
        <f t="shared" si="113"/>
        <v>1435.0639829808906</v>
      </c>
      <c r="AN146" s="59">
        <f ca="1">AVERAGE(OFFSET($AM$3,0,0,'Données projet'!$E$10+1,1))-AVERAGE(OFFSET($H$3,0,0,'Données projet'!$E$10+1,1))</f>
        <v>737.40414421611001</v>
      </c>
      <c r="AO146" s="59">
        <f t="shared" si="144"/>
        <v>245.32893490531674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66.940760487104086</v>
      </c>
      <c r="AV146" s="21">
        <f>EXP(-LN(2)/25)*AV145+(1-EXP(-LN(2)/25))/(LN(2)/25)*Calculateur!AQ146*Calculateur!AS146*VLOOKUP('Données projet'!$B$10,Paramètres!$A$1:$I$89,3,0)*0.475*44/12</f>
        <v>26.535356084668678</v>
      </c>
      <c r="AW146" s="21">
        <f>EXP(-LN(2)/2)*AW145+(1-EXP(-LN(2)/2))/(LN(2)/2)*AQ146*AT146*VLOOKUP('Données projet'!$B$10,Paramètres!$A$1:$I$89,3,0)*0.475*44/12</f>
        <v>6.520428537828066E-8</v>
      </c>
      <c r="AX146" s="21">
        <f t="shared" si="114"/>
        <v>93.476116636977054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4.7884896048344674E-14</v>
      </c>
      <c r="BF146" s="13">
        <f t="shared" si="145"/>
        <v>7.8374629847779921E-13</v>
      </c>
      <c r="BG146" s="20">
        <f t="shared" si="115"/>
        <v>1.4484243304663672E-12</v>
      </c>
      <c r="BH146" s="59">
        <f t="shared" si="116"/>
        <v>285.82766277731287</v>
      </c>
      <c r="BI146" s="59">
        <f ca="1">AVERAGE(OFFSET($BH$3,0,0,'Données projet'!$E$11+1,1))-AVERAGE(OFFSET($H$3,0,0,'Données projet'!$E$11+1,1))</f>
        <v>456.35333554128226</v>
      </c>
      <c r="BJ146" s="59">
        <f t="shared" si="146"/>
        <v>296.4517290984877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58.795258082082221</v>
      </c>
      <c r="BQ146" s="21">
        <f>EXP(-LN(2)/25)*BQ145+(1-EXP(-LN(2)/25))/(LN(2)/25)*Calculateur!BL146*Calculateur!BN146*VLOOKUP('Données projet'!$B$11,Paramètres!$A$1:$I$89,3,0)*0.475*44/12</f>
        <v>10.030452168871541</v>
      </c>
      <c r="BR146" s="21">
        <f>EXP(-LN(2)/2)*BR145+(1-EXP(-LN(2)/2))/(LN(2)/2)*BL146*BO146*VLOOKUP('Données projet'!$B$11,Paramètres!$A$1:$I$89,3,0)*0.475*44/12</f>
        <v>2.0022851071958139E-5</v>
      </c>
      <c r="BS146" s="22">
        <f t="shared" si="117"/>
        <v>68.825730273804837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2.5579538487363607E-13</v>
      </c>
      <c r="BZ146" s="13">
        <f>BY146*VLOOKUP('Données projet'!$B$12,Paramètres!$A$1:$I$89,3,0)*VLOOKUP('Données projet'!$B$12,Paramètres!$A$1:$I$89,5,0)</f>
        <v>2.4341488824575211E-13</v>
      </c>
      <c r="CA146" s="13">
        <f t="shared" si="147"/>
        <v>3.2970717324875541E-12</v>
      </c>
      <c r="CB146" s="20">
        <f t="shared" si="118"/>
        <v>6.1663475311105072E-12</v>
      </c>
      <c r="CC146" s="59">
        <f t="shared" si="119"/>
        <v>285.82766277731758</v>
      </c>
      <c r="CD146" s="59">
        <f ca="1">AVERAGE(OFFSET($CC$3,0,0,'Données projet'!$E$12+1,1))-AVERAGE(OFFSET($H$3,0,0,'Données projet'!$E$12+1,1))</f>
        <v>486.36097333679697</v>
      </c>
      <c r="CE146" s="59">
        <f t="shared" si="148"/>
        <v>308.47736602748159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51.134183429430479</v>
      </c>
      <c r="CL146" s="21">
        <f>EXP(-LN(2)/25)*CL145+(1-EXP(-LN(2)/25))/(LN(2)/25)*Calculateur!CG146*Calculateur!CI146*VLOOKUP('Données projet'!$B$12,Paramètres!$A$1:$I$89,3,0)*0.475*44/12</f>
        <v>41.984084496961579</v>
      </c>
      <c r="CM146" s="21">
        <f>EXP(-LN(2)/2)*CM145+(1-EXP(-LN(2)/2))/(LN(2)/2)*CG146*CJ146*VLOOKUP('Données projet'!$B$12,Paramètres!$A$1:$I$89,3,0)*0.475*44/12</f>
        <v>0.39610296855282712</v>
      </c>
      <c r="CN146" s="22">
        <f t="shared" si="120"/>
        <v>93.514370894944889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285.95786938130072</v>
      </c>
      <c r="S147" s="59">
        <f ca="1">AVERAGE(OFFSET($R$3,0,0,'Données projet'!$E$9+1,1))-AVERAGE(OFFSET($H$3,0,0,'Données projet'!$E$9+1,1))</f>
        <v>407.05634973057056</v>
      </c>
      <c r="T147" s="59">
        <f t="shared" si="142"/>
        <v>375.32891954889965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10.875</v>
      </c>
      <c r="AI147" s="13">
        <f>IF('Données projet'!$A$62&gt;35,AI146+AH147-AQ146,IF(A147&lt;'Données projet'!$A$62,$AF$205^A147,IF(A147='Données projet'!$A$62,'Données projet'!$B$62,AI146+AH147-AQ146)))</f>
        <v>607.88000000000045</v>
      </c>
      <c r="AJ147" s="13">
        <f>AI147*VLOOKUP('Données projet'!$B$10,Paramètres!$A$1:$I$89,3,0)*VLOOKUP('Données projet'!$B$10,Paramètres!$A$1:$I$89,5,0)</f>
        <v>550.00982400000044</v>
      </c>
      <c r="AK147" s="13">
        <f t="shared" si="143"/>
        <v>121.60274863739461</v>
      </c>
      <c r="AL147" s="20">
        <f t="shared" si="112"/>
        <v>1169.7252306767962</v>
      </c>
      <c r="AM147" s="59">
        <f t="shared" si="113"/>
        <v>1455.6831000580892</v>
      </c>
      <c r="AN147" s="59">
        <f ca="1">AVERAGE(OFFSET($AM$3,0,0,'Données projet'!$E$10+1,1))-AVERAGE(OFFSET($H$3,0,0,'Données projet'!$E$10+1,1))</f>
        <v>737.40414421611001</v>
      </c>
      <c r="AO147" s="59">
        <f t="shared" si="144"/>
        <v>245.32893490531674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65.628093003784258</v>
      </c>
      <c r="AV147" s="21">
        <f>EXP(-LN(2)/25)*AV146+(1-EXP(-LN(2)/25))/(LN(2)/25)*Calculateur!AQ147*Calculateur!AS147*VLOOKUP('Données projet'!$B$10,Paramètres!$A$1:$I$89,3,0)*0.475*44/12</f>
        <v>25.809745377099684</v>
      </c>
      <c r="AW147" s="21">
        <f>EXP(-LN(2)/2)*AW146+(1-EXP(-LN(2)/2))/(LN(2)/2)*AQ147*AT147*VLOOKUP('Données projet'!$B$10,Paramètres!$A$1:$I$89,3,0)*0.475*44/12</f>
        <v>4.6106392353405103E-8</v>
      </c>
      <c r="AX147" s="21">
        <f t="shared" si="114"/>
        <v>91.437838426990339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4.7884896048344674E-14</v>
      </c>
      <c r="BF147" s="13">
        <f t="shared" si="145"/>
        <v>7.8374629847779921E-13</v>
      </c>
      <c r="BG147" s="20">
        <f t="shared" si="115"/>
        <v>1.4484243304663672E-12</v>
      </c>
      <c r="BH147" s="59">
        <f t="shared" si="116"/>
        <v>285.9578693812943</v>
      </c>
      <c r="BI147" s="59">
        <f ca="1">AVERAGE(OFFSET($BH$3,0,0,'Données projet'!$E$11+1,1))-AVERAGE(OFFSET($H$3,0,0,'Données projet'!$E$11+1,1))</f>
        <v>456.35333554128226</v>
      </c>
      <c r="BJ147" s="59">
        <f t="shared" si="146"/>
        <v>296.4517290984877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57.642318932658981</v>
      </c>
      <c r="BQ147" s="21">
        <f>EXP(-LN(2)/25)*BQ146+(1-EXP(-LN(2)/25))/(LN(2)/25)*Calculateur!BL147*Calculateur!BN147*VLOOKUP('Données projet'!$B$11,Paramètres!$A$1:$I$89,3,0)*0.475*44/12</f>
        <v>9.7561689268351941</v>
      </c>
      <c r="BR147" s="21">
        <f>EXP(-LN(2)/2)*BR146+(1-EXP(-LN(2)/2))/(LN(2)/2)*BL147*BO147*VLOOKUP('Données projet'!$B$11,Paramètres!$A$1:$I$89,3,0)*0.475*44/12</f>
        <v>1.4158293771669933E-5</v>
      </c>
      <c r="BS147" s="22">
        <f t="shared" si="117"/>
        <v>67.398502017787933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2.5579538487363607E-13</v>
      </c>
      <c r="BZ147" s="13">
        <f>BY147*VLOOKUP('Données projet'!$B$12,Paramètres!$A$1:$I$89,3,0)*VLOOKUP('Données projet'!$B$12,Paramètres!$A$1:$I$89,5,0)</f>
        <v>2.4341488824575211E-13</v>
      </c>
      <c r="CA147" s="13">
        <f t="shared" si="147"/>
        <v>3.2970717324875541E-12</v>
      </c>
      <c r="CB147" s="20">
        <f t="shared" si="118"/>
        <v>6.1663475311105072E-12</v>
      </c>
      <c r="CC147" s="59">
        <f t="shared" si="119"/>
        <v>285.95786938129902</v>
      </c>
      <c r="CD147" s="59">
        <f ca="1">AVERAGE(OFFSET($CC$3,0,0,'Données projet'!$E$12+1,1))-AVERAGE(OFFSET($H$3,0,0,'Données projet'!$E$12+1,1))</f>
        <v>486.36097333679697</v>
      </c>
      <c r="CE147" s="59">
        <f t="shared" si="148"/>
        <v>308.47736602748159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50.131473281151607</v>
      </c>
      <c r="CL147" s="21">
        <f>EXP(-LN(2)/25)*CL146+(1-EXP(-LN(2)/25))/(LN(2)/25)*Calculateur!CG147*Calculateur!CI147*VLOOKUP('Données projet'!$B$12,Paramètres!$A$1:$I$89,3,0)*0.475*44/12</f>
        <v>40.836027498545114</v>
      </c>
      <c r="CM147" s="21">
        <f>EXP(-LN(2)/2)*CM146+(1-EXP(-LN(2)/2))/(LN(2)/2)*CG147*CJ147*VLOOKUP('Données projet'!$B$12,Paramètres!$A$1:$I$89,3,0)*0.475*44/12</f>
        <v>0.28008709511182583</v>
      </c>
      <c r="CN147" s="22">
        <f t="shared" si="120"/>
        <v>91.247587874808545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286.08581719180142</v>
      </c>
      <c r="S148" s="59">
        <f ca="1">AVERAGE(OFFSET($R$3,0,0,'Données projet'!$E$9+1,1))-AVERAGE(OFFSET($H$3,0,0,'Données projet'!$E$9+1,1))</f>
        <v>407.05634973057056</v>
      </c>
      <c r="T148" s="59">
        <f t="shared" si="142"/>
        <v>375.32891954889965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10.875</v>
      </c>
      <c r="AI148" s="13">
        <f>IF('Données projet'!$A$62&gt;35,AI147+AH148-AQ147,IF(A148&lt;'Données projet'!$A$62,$AF$205^A148,IF(A148='Données projet'!$A$62,'Données projet'!$B$62,AI147+AH148-AQ147)))</f>
        <v>618.75500000000045</v>
      </c>
      <c r="AJ148" s="13">
        <f>AI148*VLOOKUP('Données projet'!$B$10,Paramètres!$A$1:$I$89,3,0)*VLOOKUP('Données projet'!$B$10,Paramètres!$A$1:$I$89,5,0)</f>
        <v>559.84952400000043</v>
      </c>
      <c r="AK148" s="13">
        <f t="shared" si="143"/>
        <v>123.52301321945187</v>
      </c>
      <c r="AL148" s="20">
        <f t="shared" si="112"/>
        <v>1190.2071689905461</v>
      </c>
      <c r="AM148" s="59">
        <f t="shared" si="113"/>
        <v>1476.2929861823395</v>
      </c>
      <c r="AN148" s="59">
        <f ca="1">AVERAGE(OFFSET($AM$3,0,0,'Données projet'!$E$10+1,1))-AVERAGE(OFFSET($H$3,0,0,'Données projet'!$E$10+1,1))</f>
        <v>737.40414421611001</v>
      </c>
      <c r="AO148" s="59">
        <f t="shared" si="144"/>
        <v>245.32893490531674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64.341166129164222</v>
      </c>
      <c r="AV148" s="21">
        <f>EXP(-LN(2)/25)*AV147+(1-EXP(-LN(2)/25))/(LN(2)/25)*Calculateur!AQ148*Calculateur!AS148*VLOOKUP('Données projet'!$B$10,Paramètres!$A$1:$I$89,3,0)*0.475*44/12</f>
        <v>25.103976532487373</v>
      </c>
      <c r="AW148" s="21">
        <f>EXP(-LN(2)/2)*AW147+(1-EXP(-LN(2)/2))/(LN(2)/2)*AQ148*AT148*VLOOKUP('Données projet'!$B$10,Paramètres!$A$1:$I$89,3,0)*0.475*44/12</f>
        <v>3.260214268914033E-8</v>
      </c>
      <c r="AX148" s="21">
        <f t="shared" si="114"/>
        <v>89.445142694253747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4.7884896048344674E-14</v>
      </c>
      <c r="BF148" s="13">
        <f t="shared" si="145"/>
        <v>7.8374629847779921E-13</v>
      </c>
      <c r="BG148" s="20">
        <f t="shared" si="115"/>
        <v>1.4484243304663672E-12</v>
      </c>
      <c r="BH148" s="59">
        <f t="shared" si="116"/>
        <v>286.085817191795</v>
      </c>
      <c r="BI148" s="59">
        <f ca="1">AVERAGE(OFFSET($BH$3,0,0,'Données projet'!$E$11+1,1))-AVERAGE(OFFSET($H$3,0,0,'Données projet'!$E$11+1,1))</f>
        <v>456.35333554128226</v>
      </c>
      <c r="BJ148" s="59">
        <f t="shared" si="146"/>
        <v>296.4517290984877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56.51198821673249</v>
      </c>
      <c r="BQ148" s="21">
        <f>EXP(-LN(2)/25)*BQ147+(1-EXP(-LN(2)/25))/(LN(2)/25)*Calculateur!BL148*Calculateur!BN148*VLOOKUP('Données projet'!$B$11,Paramètres!$A$1:$I$89,3,0)*0.475*44/12</f>
        <v>9.4893859744762601</v>
      </c>
      <c r="BR148" s="21">
        <f>EXP(-LN(2)/2)*BR147+(1-EXP(-LN(2)/2))/(LN(2)/2)*BL148*BO148*VLOOKUP('Données projet'!$B$11,Paramètres!$A$1:$I$89,3,0)*0.475*44/12</f>
        <v>1.001142553597907E-5</v>
      </c>
      <c r="BS148" s="22">
        <f t="shared" si="117"/>
        <v>66.001384202634284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2.5579538487363607E-13</v>
      </c>
      <c r="BZ148" s="13">
        <f>BY148*VLOOKUP('Données projet'!$B$12,Paramètres!$A$1:$I$89,3,0)*VLOOKUP('Données projet'!$B$12,Paramètres!$A$1:$I$89,5,0)</f>
        <v>2.4341488824575211E-13</v>
      </c>
      <c r="CA148" s="13">
        <f t="shared" si="147"/>
        <v>3.2970717324875541E-12</v>
      </c>
      <c r="CB148" s="20">
        <f t="shared" si="118"/>
        <v>6.1663475311105072E-12</v>
      </c>
      <c r="CC148" s="59">
        <f t="shared" si="119"/>
        <v>286.08581719179972</v>
      </c>
      <c r="CD148" s="59">
        <f ca="1">AVERAGE(OFFSET($CC$3,0,0,'Données projet'!$E$12+1,1))-AVERAGE(OFFSET($H$3,0,0,'Données projet'!$E$12+1,1))</f>
        <v>486.36097333679697</v>
      </c>
      <c r="CE148" s="59">
        <f t="shared" si="148"/>
        <v>308.47736602748159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49.148425667287682</v>
      </c>
      <c r="CL148" s="21">
        <f>EXP(-LN(2)/25)*CL147+(1-EXP(-LN(2)/25))/(LN(2)/25)*Calculateur!CG148*Calculateur!CI148*VLOOKUP('Données projet'!$B$12,Paramètres!$A$1:$I$89,3,0)*0.475*44/12</f>
        <v>39.719364179124042</v>
      </c>
      <c r="CM148" s="21">
        <f>EXP(-LN(2)/2)*CM147+(1-EXP(-LN(2)/2))/(LN(2)/2)*CG148*CJ148*VLOOKUP('Données projet'!$B$12,Paramètres!$A$1:$I$89,3,0)*0.475*44/12</f>
        <v>0.19805148427641356</v>
      </c>
      <c r="CN148" s="22">
        <f t="shared" si="120"/>
        <v>89.065841330688144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286.21154539383849</v>
      </c>
      <c r="S149" s="59">
        <f ca="1">AVERAGE(OFFSET($R$3,0,0,'Données projet'!$E$9+1,1))-AVERAGE(OFFSET($H$3,0,0,'Données projet'!$E$9+1,1))</f>
        <v>407.05634973057056</v>
      </c>
      <c r="T149" s="59">
        <f t="shared" si="142"/>
        <v>375.32891954889965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10.875</v>
      </c>
      <c r="AI149" s="13">
        <f>IF('Données projet'!$A$62&gt;35,AI148+AH149-AQ148,IF(A149&lt;'Données projet'!$A$62,$AF$205^A149,IF(A149='Données projet'!$A$62,'Données projet'!$B$62,AI148+AH149-AQ148)))</f>
        <v>629.63000000000045</v>
      </c>
      <c r="AJ149" s="13">
        <f>AI149*VLOOKUP('Données projet'!$B$10,Paramètres!$A$1:$I$89,3,0)*VLOOKUP('Données projet'!$B$10,Paramètres!$A$1:$I$89,5,0)</f>
        <v>569.68922400000042</v>
      </c>
      <c r="AK149" s="13">
        <f t="shared" si="143"/>
        <v>125.43935312315148</v>
      </c>
      <c r="AL149" s="20">
        <f t="shared" si="112"/>
        <v>1210.6822718228229</v>
      </c>
      <c r="AM149" s="59">
        <f t="shared" si="113"/>
        <v>1496.8938172166536</v>
      </c>
      <c r="AN149" s="59">
        <f ca="1">AVERAGE(OFFSET($AM$3,0,0,'Données projet'!$E$10+1,1))-AVERAGE(OFFSET($H$3,0,0,'Données projet'!$E$10+1,1))</f>
        <v>737.40414421611001</v>
      </c>
      <c r="AO149" s="59">
        <f t="shared" si="144"/>
        <v>245.32893490531674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63.079475105607607</v>
      </c>
      <c r="AV149" s="21">
        <f>EXP(-LN(2)/25)*AV148+(1-EXP(-LN(2)/25))/(LN(2)/25)*Calculateur!AQ149*Calculateur!AS149*VLOOKUP('Données projet'!$B$10,Paramètres!$A$1:$I$89,3,0)*0.475*44/12</f>
        <v>24.417506974045757</v>
      </c>
      <c r="AW149" s="21">
        <f>EXP(-LN(2)/2)*AW148+(1-EXP(-LN(2)/2))/(LN(2)/2)*AQ149*AT149*VLOOKUP('Données projet'!$B$10,Paramètres!$A$1:$I$89,3,0)*0.475*44/12</f>
        <v>2.3053196176702552E-8</v>
      </c>
      <c r="AX149" s="21">
        <f t="shared" si="114"/>
        <v>87.496982102706554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4.7884896048344674E-14</v>
      </c>
      <c r="BF149" s="13">
        <f t="shared" si="145"/>
        <v>7.8374629847779921E-13</v>
      </c>
      <c r="BG149" s="20">
        <f t="shared" si="115"/>
        <v>1.4484243304663672E-12</v>
      </c>
      <c r="BH149" s="59">
        <f t="shared" si="116"/>
        <v>286.21154539383207</v>
      </c>
      <c r="BI149" s="59">
        <f ca="1">AVERAGE(OFFSET($BH$3,0,0,'Données projet'!$E$11+1,1))-AVERAGE(OFFSET($H$3,0,0,'Données projet'!$E$11+1,1))</f>
        <v>456.35333554128226</v>
      </c>
      <c r="BJ149" s="59">
        <f t="shared" si="146"/>
        <v>296.4517290984877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55.403822596711656</v>
      </c>
      <c r="BQ149" s="21">
        <f>EXP(-LN(2)/25)*BQ148+(1-EXP(-LN(2)/25))/(LN(2)/25)*Calculateur!BL149*Calculateur!BN149*VLOOKUP('Données projet'!$B$11,Paramètres!$A$1:$I$89,3,0)*0.475*44/12</f>
        <v>9.2298982159790874</v>
      </c>
      <c r="BR149" s="21">
        <f>EXP(-LN(2)/2)*BR148+(1-EXP(-LN(2)/2))/(LN(2)/2)*BL149*BO149*VLOOKUP('Données projet'!$B$11,Paramètres!$A$1:$I$89,3,0)*0.475*44/12</f>
        <v>7.0791468858349664E-6</v>
      </c>
      <c r="BS149" s="22">
        <f t="shared" si="117"/>
        <v>64.633727891837623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2.5579538487363607E-13</v>
      </c>
      <c r="BZ149" s="13">
        <f>BY149*VLOOKUP('Données projet'!$B$12,Paramètres!$A$1:$I$89,3,0)*VLOOKUP('Données projet'!$B$12,Paramètres!$A$1:$I$89,5,0)</f>
        <v>2.4341488824575211E-13</v>
      </c>
      <c r="CA149" s="13">
        <f t="shared" si="147"/>
        <v>3.2970717324875541E-12</v>
      </c>
      <c r="CB149" s="20">
        <f t="shared" si="118"/>
        <v>6.1663475311105072E-12</v>
      </c>
      <c r="CC149" s="59">
        <f t="shared" si="119"/>
        <v>286.21154539383679</v>
      </c>
      <c r="CD149" s="59">
        <f ca="1">AVERAGE(OFFSET($CC$3,0,0,'Données projet'!$E$12+1,1))-AVERAGE(OFFSET($H$3,0,0,'Données projet'!$E$12+1,1))</f>
        <v>486.36097333679697</v>
      </c>
      <c r="CE149" s="59">
        <f t="shared" si="148"/>
        <v>308.47736602748159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48.184655017531789</v>
      </c>
      <c r="CL149" s="21">
        <f>EXP(-LN(2)/25)*CL148+(1-EXP(-LN(2)/25))/(LN(2)/25)*Calculateur!CG149*Calculateur!CI149*VLOOKUP('Données projet'!$B$12,Paramètres!$A$1:$I$89,3,0)*0.475*44/12</f>
        <v>38.633236076895315</v>
      </c>
      <c r="CM149" s="21">
        <f>EXP(-LN(2)/2)*CM148+(1-EXP(-LN(2)/2))/(LN(2)/2)*CG149*CJ149*VLOOKUP('Données projet'!$B$12,Paramètres!$A$1:$I$89,3,0)*0.475*44/12</f>
        <v>0.14004354755591292</v>
      </c>
      <c r="CN149" s="22">
        <f t="shared" si="120"/>
        <v>86.957934641983016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286.33509249265626</v>
      </c>
      <c r="S150" s="59">
        <f ca="1">AVERAGE(OFFSET($R$3,0,0,'Données projet'!$E$9+1,1))-AVERAGE(OFFSET($H$3,0,0,'Données projet'!$E$9+1,1))</f>
        <v>407.05634973057056</v>
      </c>
      <c r="T150" s="59">
        <f t="shared" si="142"/>
        <v>375.32891954889965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10.875</v>
      </c>
      <c r="AI150" s="13">
        <f>IF('Données projet'!$A$62&gt;35,AI149+AH150-AQ149,IF(A150&lt;'Données projet'!$A$62,$AF$205^A150,IF(A150='Données projet'!$A$62,'Données projet'!$B$62,AI149+AH150-AQ149)))</f>
        <v>640.50500000000045</v>
      </c>
      <c r="AJ150" s="13">
        <f>AI150*VLOOKUP('Données projet'!$B$10,Paramètres!$A$1:$I$89,3,0)*VLOOKUP('Données projet'!$B$10,Paramètres!$A$1:$I$89,5,0)</f>
        <v>579.52892400000042</v>
      </c>
      <c r="AK150" s="13">
        <f t="shared" si="143"/>
        <v>127.35184395771817</v>
      </c>
      <c r="AL150" s="20">
        <f t="shared" si="112"/>
        <v>1231.1506708596933</v>
      </c>
      <c r="AM150" s="59">
        <f t="shared" si="113"/>
        <v>1517.4857633523416</v>
      </c>
      <c r="AN150" s="59">
        <f ca="1">AVERAGE(OFFSET($AM$3,0,0,'Données projet'!$E$10+1,1))-AVERAGE(OFFSET($H$3,0,0,'Données projet'!$E$10+1,1))</f>
        <v>737.40414421611001</v>
      </c>
      <c r="AO150" s="59">
        <f t="shared" si="144"/>
        <v>245.32893490531674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61.842525073467399</v>
      </c>
      <c r="AV150" s="21">
        <f>EXP(-LN(2)/25)*AV149+(1-EXP(-LN(2)/25))/(LN(2)/25)*Calculateur!AQ150*Calculateur!AS150*VLOOKUP('Données projet'!$B$10,Paramètres!$A$1:$I$89,3,0)*0.475*44/12</f>
        <v>23.749808961779593</v>
      </c>
      <c r="AW150" s="21">
        <f>EXP(-LN(2)/2)*AW149+(1-EXP(-LN(2)/2))/(LN(2)/2)*AQ150*AT150*VLOOKUP('Données projet'!$B$10,Paramètres!$A$1:$I$89,3,0)*0.475*44/12</f>
        <v>1.6301071344570165E-8</v>
      </c>
      <c r="AX150" s="21">
        <f t="shared" si="114"/>
        <v>85.592334051548065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4.7884896048344674E-14</v>
      </c>
      <c r="BF150" s="13">
        <f t="shared" si="145"/>
        <v>7.8374629847779921E-13</v>
      </c>
      <c r="BG150" s="20">
        <f t="shared" si="115"/>
        <v>1.4484243304663672E-12</v>
      </c>
      <c r="BH150" s="59">
        <f t="shared" si="116"/>
        <v>286.33509249264984</v>
      </c>
      <c r="BI150" s="59">
        <f ca="1">AVERAGE(OFFSET($BH$3,0,0,'Données projet'!$E$11+1,1))-AVERAGE(OFFSET($H$3,0,0,'Données projet'!$E$11+1,1))</f>
        <v>456.35333554128226</v>
      </c>
      <c r="BJ150" s="59">
        <f t="shared" si="146"/>
        <v>296.4517290984877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54.317387428585143</v>
      </c>
      <c r="BQ150" s="21">
        <f>EXP(-LN(2)/25)*BQ149+(1-EXP(-LN(2)/25))/(LN(2)/25)*Calculateur!BL150*Calculateur!BN150*VLOOKUP('Données projet'!$B$11,Paramètres!$A$1:$I$89,3,0)*0.475*44/12</f>
        <v>8.9775061638838878</v>
      </c>
      <c r="BR150" s="21">
        <f>EXP(-LN(2)/2)*BR149+(1-EXP(-LN(2)/2))/(LN(2)/2)*BL150*BO150*VLOOKUP('Données projet'!$B$11,Paramètres!$A$1:$I$89,3,0)*0.475*44/12</f>
        <v>5.0057127679895348E-6</v>
      </c>
      <c r="BS150" s="22">
        <f t="shared" si="117"/>
        <v>63.294898598181796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2.5579538487363607E-13</v>
      </c>
      <c r="BZ150" s="13">
        <f>BY150*VLOOKUP('Données projet'!$B$12,Paramètres!$A$1:$I$89,3,0)*VLOOKUP('Données projet'!$B$12,Paramètres!$A$1:$I$89,5,0)</f>
        <v>2.4341488824575211E-13</v>
      </c>
      <c r="CA150" s="13">
        <f t="shared" si="147"/>
        <v>3.2970717324875541E-12</v>
      </c>
      <c r="CB150" s="20">
        <f t="shared" si="118"/>
        <v>6.1663475311105072E-12</v>
      </c>
      <c r="CC150" s="59">
        <f t="shared" si="119"/>
        <v>286.33509249265455</v>
      </c>
      <c r="CD150" s="59">
        <f ca="1">AVERAGE(OFFSET($CC$3,0,0,'Données projet'!$E$12+1,1))-AVERAGE(OFFSET($H$3,0,0,'Données projet'!$E$12+1,1))</f>
        <v>486.36097333679697</v>
      </c>
      <c r="CE150" s="59">
        <f t="shared" si="148"/>
        <v>308.47736602748159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47.239783322375558</v>
      </c>
      <c r="CL150" s="21">
        <f>EXP(-LN(2)/25)*CL149+(1-EXP(-LN(2)/25))/(LN(2)/25)*Calculateur!CG150*Calculateur!CI150*VLOOKUP('Données projet'!$B$12,Paramètres!$A$1:$I$89,3,0)*0.475*44/12</f>
        <v>37.576808204739024</v>
      </c>
      <c r="CM150" s="21">
        <f>EXP(-LN(2)/2)*CM149+(1-EXP(-LN(2)/2))/(LN(2)/2)*CG150*CJ150*VLOOKUP('Données projet'!$B$12,Paramètres!$A$1:$I$89,3,0)*0.475*44/12</f>
        <v>9.9025742138206779E-2</v>
      </c>
      <c r="CN150" s="22">
        <f t="shared" si="120"/>
        <v>84.915617269252792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286.45649632551954</v>
      </c>
      <c r="S151" s="59">
        <f ca="1">AVERAGE(OFFSET($R$3,0,0,'Données projet'!$E$9+1,1))-AVERAGE(OFFSET($H$3,0,0,'Données projet'!$E$9+1,1))</f>
        <v>407.05634973057056</v>
      </c>
      <c r="T151" s="59">
        <f t="shared" si="142"/>
        <v>375.32891954889965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10.875</v>
      </c>
      <c r="AI151" s="13">
        <f>IF('Données projet'!$A$62&gt;35,AI150+AH151-AQ150,IF(A151&lt;'Données projet'!$A$62,$AF$205^A151,IF(A151='Données projet'!$A$62,'Données projet'!$B$62,AI150+AH151-AQ150)))</f>
        <v>651.38000000000045</v>
      </c>
      <c r="AJ151" s="13">
        <f>AI151*VLOOKUP('Données projet'!$B$10,Paramètres!$A$1:$I$89,3,0)*VLOOKUP('Données projet'!$B$10,Paramètres!$A$1:$I$89,5,0)</f>
        <v>589.36862400000041</v>
      </c>
      <c r="AK151" s="13">
        <f t="shared" si="143"/>
        <v>129.26055861773426</v>
      </c>
      <c r="AL151" s="20">
        <f t="shared" si="112"/>
        <v>1251.6124930592212</v>
      </c>
      <c r="AM151" s="59">
        <f t="shared" si="113"/>
        <v>1538.068989384733</v>
      </c>
      <c r="AN151" s="59">
        <f ca="1">AVERAGE(OFFSET($AM$3,0,0,'Données projet'!$E$10+1,1))-AVERAGE(OFFSET($H$3,0,0,'Données projet'!$E$10+1,1))</f>
        <v>737.40414421611001</v>
      </c>
      <c r="AO151" s="59">
        <f t="shared" si="144"/>
        <v>245.32893490531674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60.629830876992436</v>
      </c>
      <c r="AV151" s="21">
        <f>EXP(-LN(2)/25)*AV150+(1-EXP(-LN(2)/25))/(LN(2)/25)*Calculateur!AQ151*Calculateur!AS151*VLOOKUP('Données projet'!$B$10,Paramètres!$A$1:$I$89,3,0)*0.475*44/12</f>
        <v>23.100369186771559</v>
      </c>
      <c r="AW151" s="21">
        <f>EXP(-LN(2)/2)*AW150+(1-EXP(-LN(2)/2))/(LN(2)/2)*AQ151*AT151*VLOOKUP('Données projet'!$B$10,Paramètres!$A$1:$I$89,3,0)*0.475*44/12</f>
        <v>1.1526598088351276E-8</v>
      </c>
      <c r="AX151" s="21">
        <f t="shared" si="114"/>
        <v>83.730200075290583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4.7884896048344674E-14</v>
      </c>
      <c r="BF151" s="13">
        <f t="shared" si="145"/>
        <v>7.8374629847779921E-13</v>
      </c>
      <c r="BG151" s="20">
        <f t="shared" si="115"/>
        <v>1.4484243304663672E-12</v>
      </c>
      <c r="BH151" s="59">
        <f t="shared" si="116"/>
        <v>286.45649632551311</v>
      </c>
      <c r="BI151" s="59">
        <f ca="1">AVERAGE(OFFSET($BH$3,0,0,'Données projet'!$E$11+1,1))-AVERAGE(OFFSET($H$3,0,0,'Données projet'!$E$11+1,1))</f>
        <v>456.35333554128226</v>
      </c>
      <c r="BJ151" s="59">
        <f t="shared" si="146"/>
        <v>296.4517290984877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53.252256591445573</v>
      </c>
      <c r="BQ151" s="21">
        <f>EXP(-LN(2)/25)*BQ150+(1-EXP(-LN(2)/25))/(LN(2)/25)*Calculateur!BL151*Calculateur!BN151*VLOOKUP('Données projet'!$B$11,Paramètres!$A$1:$I$89,3,0)*0.475*44/12</f>
        <v>8.7320157857259524</v>
      </c>
      <c r="BR151" s="21">
        <f>EXP(-LN(2)/2)*BR150+(1-EXP(-LN(2)/2))/(LN(2)/2)*BL151*BO151*VLOOKUP('Données projet'!$B$11,Paramètres!$A$1:$I$89,3,0)*0.475*44/12</f>
        <v>3.5395734429174832E-6</v>
      </c>
      <c r="BS151" s="22">
        <f t="shared" si="117"/>
        <v>61.984275916744963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2.5579538487363607E-13</v>
      </c>
      <c r="BZ151" s="13">
        <f>BY151*VLOOKUP('Données projet'!$B$12,Paramètres!$A$1:$I$89,3,0)*VLOOKUP('Données projet'!$B$12,Paramètres!$A$1:$I$89,5,0)</f>
        <v>2.4341488824575211E-13</v>
      </c>
      <c r="CA151" s="13">
        <f t="shared" si="147"/>
        <v>3.2970717324875541E-12</v>
      </c>
      <c r="CB151" s="20">
        <f t="shared" si="118"/>
        <v>6.1663475311105072E-12</v>
      </c>
      <c r="CC151" s="59">
        <f t="shared" si="119"/>
        <v>286.45649632551783</v>
      </c>
      <c r="CD151" s="59">
        <f ca="1">AVERAGE(OFFSET($CC$3,0,0,'Données projet'!$E$12+1,1))-AVERAGE(OFFSET($H$3,0,0,'Données projet'!$E$12+1,1))</f>
        <v>486.36097333679697</v>
      </c>
      <c r="CE151" s="59">
        <f t="shared" si="148"/>
        <v>308.47736602748159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46.313439984846511</v>
      </c>
      <c r="CL151" s="21">
        <f>EXP(-LN(2)/25)*CL150+(1-EXP(-LN(2)/25))/(LN(2)/25)*Calculateur!CG151*Calculateur!CI151*VLOOKUP('Données projet'!$B$12,Paramètres!$A$1:$I$89,3,0)*0.475*44/12</f>
        <v>36.549268408301977</v>
      </c>
      <c r="CM151" s="21">
        <f>EXP(-LN(2)/2)*CM150+(1-EXP(-LN(2)/2))/(LN(2)/2)*CG151*CJ151*VLOOKUP('Données projet'!$B$12,Paramètres!$A$1:$I$89,3,0)*0.475*44/12</f>
        <v>7.0021773777956459E-2</v>
      </c>
      <c r="CN151" s="22">
        <f t="shared" si="120"/>
        <v>82.932730166926447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286.57579407330093</v>
      </c>
      <c r="S152" s="59">
        <f ca="1">AVERAGE(OFFSET($R$3,0,0,'Données projet'!$E$9+1,1))-AVERAGE(OFFSET($H$3,0,0,'Données projet'!$E$9+1,1))</f>
        <v>407.05634973057056</v>
      </c>
      <c r="T152" s="59">
        <f t="shared" si="142"/>
        <v>375.32891954889965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10.875</v>
      </c>
      <c r="AI152" s="13">
        <f>IF('Données projet'!$A$62&gt;35,AI151+AH152-AQ151,IF(A152&lt;'Données projet'!$A$62,$AF$205^A152,IF(A152='Données projet'!$A$62,'Données projet'!$B$62,AI151+AH152-AQ151)))</f>
        <v>662.25500000000045</v>
      </c>
      <c r="AJ152" s="13">
        <f>AI152*VLOOKUP('Données projet'!$B$10,Paramètres!$A$1:$I$89,3,0)*VLOOKUP('Données projet'!$B$10,Paramètres!$A$1:$I$89,5,0)</f>
        <v>599.2083240000004</v>
      </c>
      <c r="AK152" s="13">
        <f t="shared" si="143"/>
        <v>131.16556742426994</v>
      </c>
      <c r="AL152" s="20">
        <f t="shared" si="112"/>
        <v>1272.0678608972707</v>
      </c>
      <c r="AM152" s="59">
        <f t="shared" si="113"/>
        <v>1558.6436549705638</v>
      </c>
      <c r="AN152" s="59">
        <f ca="1">AVERAGE(OFFSET($AM$3,0,0,'Données projet'!$E$10+1,1))-AVERAGE(OFFSET($H$3,0,0,'Données projet'!$E$10+1,1))</f>
        <v>737.40414421611001</v>
      </c>
      <c r="AO152" s="59">
        <f t="shared" si="144"/>
        <v>245.32893490531674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59.440916874039921</v>
      </c>
      <c r="AV152" s="21">
        <f>EXP(-LN(2)/25)*AV151+(1-EXP(-LN(2)/25))/(LN(2)/25)*Calculateur!AQ152*Calculateur!AS152*VLOOKUP('Données projet'!$B$10,Paramètres!$A$1:$I$89,3,0)*0.475*44/12</f>
        <v>22.468688376563673</v>
      </c>
      <c r="AW152" s="21">
        <f>EXP(-LN(2)/2)*AW151+(1-EXP(-LN(2)/2))/(LN(2)/2)*AQ152*AT152*VLOOKUP('Données projet'!$B$10,Paramètres!$A$1:$I$89,3,0)*0.475*44/12</f>
        <v>8.1505356722850825E-9</v>
      </c>
      <c r="AX152" s="21">
        <f t="shared" si="114"/>
        <v>81.909605258754127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4.7884896048344674E-14</v>
      </c>
      <c r="BF152" s="13">
        <f t="shared" si="145"/>
        <v>7.8374629847779921E-13</v>
      </c>
      <c r="BG152" s="20">
        <f t="shared" si="115"/>
        <v>1.4484243304663672E-12</v>
      </c>
      <c r="BH152" s="59">
        <f t="shared" si="116"/>
        <v>286.5757940732945</v>
      </c>
      <c r="BI152" s="59">
        <f ca="1">AVERAGE(OFFSET($BH$3,0,0,'Données projet'!$E$11+1,1))-AVERAGE(OFFSET($H$3,0,0,'Données projet'!$E$11+1,1))</f>
        <v>456.35333554128226</v>
      </c>
      <c r="BJ152" s="59">
        <f t="shared" si="146"/>
        <v>296.4517290984877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52.208012320356644</v>
      </c>
      <c r="BQ152" s="21">
        <f>EXP(-LN(2)/25)*BQ151+(1-EXP(-LN(2)/25))/(LN(2)/25)*Calculateur!BL152*Calculateur!BN152*VLOOKUP('Données projet'!$B$11,Paramètres!$A$1:$I$89,3,0)*0.475*44/12</f>
        <v>8.4932383548685237</v>
      </c>
      <c r="BR152" s="21">
        <f>EXP(-LN(2)/2)*BR151+(1-EXP(-LN(2)/2))/(LN(2)/2)*BL152*BO152*VLOOKUP('Données projet'!$B$11,Paramètres!$A$1:$I$89,3,0)*0.475*44/12</f>
        <v>2.5028563839947674E-6</v>
      </c>
      <c r="BS152" s="22">
        <f t="shared" si="117"/>
        <v>60.701253178081551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2.5579538487363607E-13</v>
      </c>
      <c r="BZ152" s="13">
        <f>BY152*VLOOKUP('Données projet'!$B$12,Paramètres!$A$1:$I$89,3,0)*VLOOKUP('Données projet'!$B$12,Paramètres!$A$1:$I$89,5,0)</f>
        <v>2.4341488824575211E-13</v>
      </c>
      <c r="CA152" s="13">
        <f t="shared" si="147"/>
        <v>3.2970717324875541E-12</v>
      </c>
      <c r="CB152" s="20">
        <f t="shared" si="118"/>
        <v>6.1663475311105072E-12</v>
      </c>
      <c r="CC152" s="59">
        <f t="shared" si="119"/>
        <v>286.57579407329922</v>
      </c>
      <c r="CD152" s="59">
        <f ca="1">AVERAGE(OFFSET($CC$3,0,0,'Données projet'!$E$12+1,1))-AVERAGE(OFFSET($H$3,0,0,'Données projet'!$E$12+1,1))</f>
        <v>486.36097333679697</v>
      </c>
      <c r="CE152" s="59">
        <f t="shared" si="148"/>
        <v>308.47736602748159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45.405261675152765</v>
      </c>
      <c r="CL152" s="21">
        <f>EXP(-LN(2)/25)*CL151+(1-EXP(-LN(2)/25))/(LN(2)/25)*Calculateur!CG152*Calculateur!CI152*VLOOKUP('Données projet'!$B$12,Paramètres!$A$1:$I$89,3,0)*0.475*44/12</f>
        <v>35.549826741634469</v>
      </c>
      <c r="CM152" s="21">
        <f>EXP(-LN(2)/2)*CM151+(1-EXP(-LN(2)/2))/(LN(2)/2)*CG152*CJ152*VLOOKUP('Données projet'!$B$12,Paramètres!$A$1:$I$89,3,0)*0.475*44/12</f>
        <v>4.951287106910339E-2</v>
      </c>
      <c r="CN152" s="22">
        <f t="shared" si="120"/>
        <v>81.004601287856332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286.69302227186819</v>
      </c>
      <c r="S153" s="59">
        <f ca="1">AVERAGE(OFFSET($R$3,0,0,'Données projet'!$E$9+1,1))-AVERAGE(OFFSET($H$3,0,0,'Données projet'!$E$9+1,1))</f>
        <v>407.05634973057056</v>
      </c>
      <c r="T153" s="59">
        <f t="shared" si="142"/>
        <v>375.32891954889965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10.875</v>
      </c>
      <c r="AH153" s="12">
        <f t="array" ref="AH153">INDEX(AG:AG,MIN(IF(ISNUMBER(AG153:AG349),ROW(AG153:AG349),"")))</f>
        <v>10.875</v>
      </c>
      <c r="AI153" s="13">
        <f>IF('Données projet'!$A$62&gt;35,AI152+AH153-AQ152,IF(A153&lt;'Données projet'!$A$62,$AF$205^A153,IF(A153='Données projet'!$A$62,'Données projet'!$B$62,AI152+AH153-AQ152)))</f>
        <v>673.13000000000045</v>
      </c>
      <c r="AJ153" s="13">
        <f>AI153*VLOOKUP('Données projet'!$B$10,Paramètres!$A$1:$I$89,3,0)*VLOOKUP('Données projet'!$B$10,Paramètres!$A$1:$I$89,5,0)</f>
        <v>609.0480240000004</v>
      </c>
      <c r="AK153" s="13">
        <f t="shared" si="143"/>
        <v>133.06693825648006</v>
      </c>
      <c r="AL153" s="20">
        <f t="shared" si="112"/>
        <v>1292.5168925967034</v>
      </c>
      <c r="AM153" s="59">
        <f t="shared" si="113"/>
        <v>1579.2099148685638</v>
      </c>
      <c r="AN153" s="59">
        <f ca="1">AVERAGE(OFFSET($AM$3,0,0,'Données projet'!$E$10+1,1))-AVERAGE(OFFSET($H$3,0,0,'Données projet'!$E$10+1,1))</f>
        <v>737.40414421611001</v>
      </c>
      <c r="AO153" s="59">
        <f t="shared" si="144"/>
        <v>245.32893490531674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259.52</v>
      </c>
      <c r="AR153" s="16">
        <f>IF(ISNA(VLOOKUP(A153,'Données projet'!$A$61:$I$81,5,0)),0%,VLOOKUP(A153,'Données projet'!$A$61:$I$81,5,0)*VLOOKUP('Données projet'!$B$10,Paramètres!$A$1:$I$89,7,0))</f>
        <v>0.19350000000000001</v>
      </c>
      <c r="AS153" s="16">
        <f>IF(ISNA(VLOOKUP(A153,'Données projet'!$A$61:$I$81,6,0)),0%,VLOOKUP(A153,'Données projet'!$A$61:$I$81,6,0)*VLOOKUP('Données projet'!$B$10,Paramètres!$A$1:$I$89,7,0))</f>
        <v>2.1500000000000002E-2</v>
      </c>
      <c r="AT153" s="16">
        <f>IF(ISNA(VLOOKUP(A153,'Données projet'!$A$61:$I$81,7,0)),0%,VLOOKUP(A153,'Données projet'!$A$61:$I$81,7,0))</f>
        <v>0.05</v>
      </c>
      <c r="AU153" s="21">
        <f>EXP(-LN(2)/35)*AU152+(1-EXP(-LN(2)/35))/(LN(2)/35)*AQ153*AR153*VLOOKUP('Données projet'!$B$10,Paramètres!$A$1:$I$89,3,0)*0.475*44/12</f>
        <v>108.50396657021207</v>
      </c>
      <c r="AV153" s="21">
        <f>EXP(-LN(2)/25)*AV152+(1-EXP(-LN(2)/25))/(LN(2)/25)*Calculateur!AQ153*Calculateur!AS153*VLOOKUP('Données projet'!$B$10,Paramètres!$A$1:$I$89,3,0)*0.475*44/12</f>
        <v>27.413267632188749</v>
      </c>
      <c r="AW153" s="21">
        <f>EXP(-LN(2)/2)*AW152+(1-EXP(-LN(2)/2))/(LN(2)/2)*AQ153*AT153*VLOOKUP('Données projet'!$B$10,Paramètres!$A$1:$I$89,3,0)*0.475*44/12</f>
        <v>11.077652110461678</v>
      </c>
      <c r="AX153" s="21">
        <f t="shared" si="114"/>
        <v>146.99488631286252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4.7884896048344674E-14</v>
      </c>
      <c r="BF153" s="13">
        <f t="shared" si="145"/>
        <v>7.8374629847779921E-13</v>
      </c>
      <c r="BG153" s="20">
        <f t="shared" si="115"/>
        <v>1.4484243304663672E-12</v>
      </c>
      <c r="BH153" s="59">
        <f t="shared" si="116"/>
        <v>286.69302227186176</v>
      </c>
      <c r="BI153" s="59">
        <f ca="1">AVERAGE(OFFSET($BH$3,0,0,'Données projet'!$E$11+1,1))-AVERAGE(OFFSET($H$3,0,0,'Données projet'!$E$11+1,1))</f>
        <v>456.35333554128226</v>
      </c>
      <c r="BJ153" s="59">
        <f t="shared" si="146"/>
        <v>296.4517290984877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51.184245042497658</v>
      </c>
      <c r="BQ153" s="21">
        <f>EXP(-LN(2)/25)*BQ152+(1-EXP(-LN(2)/25))/(LN(2)/25)*Calculateur!BL153*Calculateur!BN153*VLOOKUP('Données projet'!$B$11,Paramètres!$A$1:$I$89,3,0)*0.475*44/12</f>
        <v>8.2609903054146496</v>
      </c>
      <c r="BR153" s="21">
        <f>EXP(-LN(2)/2)*BR152+(1-EXP(-LN(2)/2))/(LN(2)/2)*BL153*BO153*VLOOKUP('Données projet'!$B$11,Paramètres!$A$1:$I$89,3,0)*0.475*44/12</f>
        <v>1.7697867214587416E-6</v>
      </c>
      <c r="BS153" s="22">
        <f t="shared" si="117"/>
        <v>59.44523711769903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2.5579538487363607E-13</v>
      </c>
      <c r="BZ153" s="13">
        <f>BY153*VLOOKUP('Données projet'!$B$12,Paramètres!$A$1:$I$89,3,0)*VLOOKUP('Données projet'!$B$12,Paramètres!$A$1:$I$89,5,0)</f>
        <v>2.4341488824575211E-13</v>
      </c>
      <c r="CA153" s="13">
        <f t="shared" si="147"/>
        <v>3.2970717324875541E-12</v>
      </c>
      <c r="CB153" s="20">
        <f t="shared" si="118"/>
        <v>6.1663475311105072E-12</v>
      </c>
      <c r="CC153" s="59">
        <f t="shared" si="119"/>
        <v>286.69302227186648</v>
      </c>
      <c r="CD153" s="59">
        <f ca="1">AVERAGE(OFFSET($CC$3,0,0,'Données projet'!$E$12+1,1))-AVERAGE(OFFSET($H$3,0,0,'Données projet'!$E$12+1,1))</f>
        <v>486.36097333679697</v>
      </c>
      <c r="CE153" s="59">
        <f t="shared" si="148"/>
        <v>308.47736602748159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44.514892188178038</v>
      </c>
      <c r="CL153" s="21">
        <f>EXP(-LN(2)/25)*CL152+(1-EXP(-LN(2)/25))/(LN(2)/25)*Calculateur!CG153*Calculateur!CI153*VLOOKUP('Données projet'!$B$12,Paramètres!$A$1:$I$89,3,0)*0.475*44/12</f>
        <v>34.57771485990034</v>
      </c>
      <c r="CM153" s="21">
        <f>EXP(-LN(2)/2)*CM152+(1-EXP(-LN(2)/2))/(LN(2)/2)*CG153*CJ153*VLOOKUP('Données projet'!$B$12,Paramètres!$A$1:$I$89,3,0)*0.475*44/12</f>
        <v>3.5010886888978229E-2</v>
      </c>
      <c r="CN153" s="22">
        <f t="shared" si="120"/>
        <v>79.127617934967361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286.8082168232732</v>
      </c>
      <c r="S154" s="59">
        <f ca="1">AVERAGE(OFFSET($R$3,0,0,'Données projet'!$E$9+1,1))-AVERAGE(OFFSET($H$3,0,0,'Données projet'!$E$9+1,1))</f>
        <v>407.05634973057056</v>
      </c>
      <c r="T154" s="59">
        <f t="shared" si="142"/>
        <v>375.32891954889965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7.1200000000000045</v>
      </c>
      <c r="AI154" s="13">
        <f>IF('Données projet'!$A$62&gt;35,AI153+AH154-AQ153,IF(A154&lt;'Données projet'!$A$62,$AF$205^A154,IF(A154='Données projet'!$A$62,'Données projet'!$B$62,AI153+AH154-AQ153)))</f>
        <v>420.73000000000047</v>
      </c>
      <c r="AJ154" s="13">
        <f>AI154*VLOOKUP('Données projet'!$B$10,Paramètres!$A$1:$I$89,3,0)*VLOOKUP('Données projet'!$B$10,Paramètres!$A$1:$I$89,5,0)</f>
        <v>380.67650400000042</v>
      </c>
      <c r="AK154" s="13">
        <f t="shared" ref="AK154:AK203" si="164">EXP(-1.0587+0.8836*LN(AJ154)+0.284)</f>
        <v>87.847905288115243</v>
      </c>
      <c r="AL154" s="20">
        <f t="shared" ref="AL154:AL203" si="165">(AJ154+AK154)*0.475*44/12</f>
        <v>816.01334617680141</v>
      </c>
      <c r="AM154" s="59">
        <f t="shared" si="113"/>
        <v>1102.8215630000668</v>
      </c>
      <c r="AN154" s="59">
        <f ca="1">AVERAGE(OFFSET($AM$3,0,0,'Données projet'!$E$10+1,1))-AVERAGE(OFFSET($H$3,0,0,'Données projet'!$E$10+1,1))</f>
        <v>737.40414421611001</v>
      </c>
      <c r="AO154" s="59">
        <f t="shared" si="144"/>
        <v>245.32893490531674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106.376269966655</v>
      </c>
      <c r="AV154" s="21">
        <f>EXP(-LN(2)/25)*AV153+(1-EXP(-LN(2)/25))/(LN(2)/25)*Calculateur!AQ154*Calculateur!AS154*VLOOKUP('Données projet'!$B$10,Paramètres!$A$1:$I$89,3,0)*0.475*44/12</f>
        <v>26.663650387185456</v>
      </c>
      <c r="AW154" s="21">
        <f>EXP(-LN(2)/2)*AW153+(1-EXP(-LN(2)/2))/(LN(2)/2)*AQ154*AT154*VLOOKUP('Données projet'!$B$10,Paramètres!$A$1:$I$89,3,0)*0.475*44/12</f>
        <v>7.8330829269329225</v>
      </c>
      <c r="AX154" s="21">
        <f t="shared" ref="AX154:AX203" si="166">SUM(AU154:AW154)</f>
        <v>140.87300328077336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4.7884896048344674E-14</v>
      </c>
      <c r="BF154" s="13">
        <f t="shared" ref="BF154:BF203" si="167">EXP(-1.0587+0.8836*LN(BE154)+0.284)</f>
        <v>7.8374629847779921E-13</v>
      </c>
      <c r="BG154" s="20">
        <f t="shared" ref="BG154:BG203" si="168">(BE154+BF154)*0.475*44/12</f>
        <v>1.4484243304663672E-12</v>
      </c>
      <c r="BH154" s="59">
        <f t="shared" si="116"/>
        <v>286.80821682326678</v>
      </c>
      <c r="BI154" s="59">
        <f ca="1">AVERAGE(OFFSET($BH$3,0,0,'Données projet'!$E$11+1,1))-AVERAGE(OFFSET($H$3,0,0,'Données projet'!$E$11+1,1))</f>
        <v>456.35333554128226</v>
      </c>
      <c r="BJ154" s="59">
        <f t="shared" si="146"/>
        <v>296.4517290984877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50.180553216521105</v>
      </c>
      <c r="BQ154" s="21">
        <f>EXP(-LN(2)/25)*BQ153+(1-EXP(-LN(2)/25))/(LN(2)/25)*Calculateur!BL154*Calculateur!BN154*VLOOKUP('Données projet'!$B$11,Paramètres!$A$1:$I$89,3,0)*0.475*44/12</f>
        <v>8.0350930910864875</v>
      </c>
      <c r="BR154" s="21">
        <f>EXP(-LN(2)/2)*BR153+(1-EXP(-LN(2)/2))/(LN(2)/2)*BL154*BO154*VLOOKUP('Données projet'!$B$11,Paramètres!$A$1:$I$89,3,0)*0.475*44/12</f>
        <v>1.2514281919973837E-6</v>
      </c>
      <c r="BS154" s="22">
        <f t="shared" ref="BS154:BS203" si="169">SUM(BP154:BR154)</f>
        <v>58.215647559035787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2.5579538487363607E-13</v>
      </c>
      <c r="BZ154" s="13">
        <f>BY154*VLOOKUP('Données projet'!$B$12,Paramètres!$A$1:$I$89,3,0)*VLOOKUP('Données projet'!$B$12,Paramètres!$A$1:$I$89,5,0)</f>
        <v>2.4341488824575211E-13</v>
      </c>
      <c r="CA154" s="13">
        <f t="shared" ref="CA154:CA203" si="170">EXP(-1.0587+0.8836*LN(BZ154)+0.284)</f>
        <v>3.2970717324875541E-12</v>
      </c>
      <c r="CB154" s="20">
        <f t="shared" ref="CB154:CB203" si="171">(BZ154+CA154)*0.475*44/12</f>
        <v>6.1663475311105072E-12</v>
      </c>
      <c r="CC154" s="59">
        <f t="shared" si="119"/>
        <v>286.80821682327149</v>
      </c>
      <c r="CD154" s="59">
        <f ca="1">AVERAGE(OFFSET($CC$3,0,0,'Données projet'!$E$12+1,1))-AVERAGE(OFFSET($H$3,0,0,'Données projet'!$E$12+1,1))</f>
        <v>486.36097333679697</v>
      </c>
      <c r="CE154" s="59">
        <f t="shared" si="148"/>
        <v>308.47736602748159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43.641982303771123</v>
      </c>
      <c r="CL154" s="21">
        <f>EXP(-LN(2)/25)*CL153+(1-EXP(-LN(2)/25))/(LN(2)/25)*Calculateur!CG154*Calculateur!CI154*VLOOKUP('Données projet'!$B$12,Paramètres!$A$1:$I$89,3,0)*0.475*44/12</f>
        <v>33.632185428693369</v>
      </c>
      <c r="CM154" s="21">
        <f>EXP(-LN(2)/2)*CM153+(1-EXP(-LN(2)/2))/(LN(2)/2)*CG154*CJ154*VLOOKUP('Données projet'!$B$12,Paramètres!$A$1:$I$89,3,0)*0.475*44/12</f>
        <v>2.4756435534551695E-2</v>
      </c>
      <c r="CN154" s="22">
        <f t="shared" ref="CN154:CN203" si="172">SUM(CK154:CM154)</f>
        <v>77.298924167999047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286.92141300674774</v>
      </c>
      <c r="S155" s="59">
        <f ca="1">AVERAGE(OFFSET($R$3,0,0,'Données projet'!$E$9+1,1))-AVERAGE(OFFSET($H$3,0,0,'Données projet'!$E$9+1,1))</f>
        <v>407.05634973057056</v>
      </c>
      <c r="T155" s="59">
        <f t="shared" si="142"/>
        <v>375.32891954889965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7.1200000000000045</v>
      </c>
      <c r="AI155" s="13">
        <f>IF('Données projet'!$A$62&gt;35,AI154+AH155-AQ154,IF(A155&lt;'Données projet'!$A$62,$AF$205^A155,IF(A155='Données projet'!$A$62,'Données projet'!$B$62,AI154+AH155-AQ154)))</f>
        <v>427.85000000000048</v>
      </c>
      <c r="AJ155" s="13">
        <f>AI155*VLOOKUP('Données projet'!$B$10,Paramètres!$A$1:$I$89,3,0)*VLOOKUP('Données projet'!$B$10,Paramètres!$A$1:$I$89,5,0)</f>
        <v>387.11868000000038</v>
      </c>
      <c r="AK155" s="13">
        <f t="shared" si="164"/>
        <v>89.160221060882904</v>
      </c>
      <c r="AL155" s="20">
        <f t="shared" si="165"/>
        <v>829.51908601437174</v>
      </c>
      <c r="AM155" s="59">
        <f t="shared" si="113"/>
        <v>1116.4404990211117</v>
      </c>
      <c r="AN155" s="59">
        <f ca="1">AVERAGE(OFFSET($AM$3,0,0,'Données projet'!$E$10+1,1))-AVERAGE(OFFSET($H$3,0,0,'Données projet'!$E$10+1,1))</f>
        <v>737.40414421611001</v>
      </c>
      <c r="AO155" s="59">
        <f t="shared" si="144"/>
        <v>245.32893490531674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104.2902961957269</v>
      </c>
      <c r="AV155" s="21">
        <f>EXP(-LN(2)/25)*AV154+(1-EXP(-LN(2)/25))/(LN(2)/25)*Calculateur!AQ155*Calculateur!AS155*VLOOKUP('Données projet'!$B$10,Paramètres!$A$1:$I$89,3,0)*0.475*44/12</f>
        <v>25.934531465167435</v>
      </c>
      <c r="AW155" s="21">
        <f>EXP(-LN(2)/2)*AW154+(1-EXP(-LN(2)/2))/(LN(2)/2)*AQ155*AT155*VLOOKUP('Données projet'!$B$10,Paramètres!$A$1:$I$89,3,0)*0.475*44/12</f>
        <v>5.5388260552308397</v>
      </c>
      <c r="AX155" s="21">
        <f t="shared" si="166"/>
        <v>135.76365371612516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4.7884896048344674E-14</v>
      </c>
      <c r="BF155" s="13">
        <f t="shared" si="167"/>
        <v>7.8374629847779921E-13</v>
      </c>
      <c r="BG155" s="20">
        <f t="shared" si="168"/>
        <v>1.4484243304663672E-12</v>
      </c>
      <c r="BH155" s="59">
        <f t="shared" si="116"/>
        <v>286.92141300674132</v>
      </c>
      <c r="BI155" s="59">
        <f ca="1">AVERAGE(OFFSET($BH$3,0,0,'Données projet'!$E$11+1,1))-AVERAGE(OFFSET($H$3,0,0,'Données projet'!$E$11+1,1))</f>
        <v>456.35333554128226</v>
      </c>
      <c r="BJ155" s="59">
        <f t="shared" si="146"/>
        <v>296.4517290984877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49.196543175060384</v>
      </c>
      <c r="BQ155" s="21">
        <f>EXP(-LN(2)/25)*BQ154+(1-EXP(-LN(2)/25))/(LN(2)/25)*Calculateur!BL155*Calculateur!BN155*VLOOKUP('Données projet'!$B$11,Paramètres!$A$1:$I$89,3,0)*0.475*44/12</f>
        <v>7.8153730479635461</v>
      </c>
      <c r="BR155" s="21">
        <f>EXP(-LN(2)/2)*BR154+(1-EXP(-LN(2)/2))/(LN(2)/2)*BL155*BO155*VLOOKUP('Données projet'!$B$11,Paramètres!$A$1:$I$89,3,0)*0.475*44/12</f>
        <v>8.848933607293708E-7</v>
      </c>
      <c r="BS155" s="22">
        <f t="shared" si="169"/>
        <v>57.011917107917292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2.5579538487363607E-13</v>
      </c>
      <c r="BZ155" s="13">
        <f>BY155*VLOOKUP('Données projet'!$B$12,Paramètres!$A$1:$I$89,3,0)*VLOOKUP('Données projet'!$B$12,Paramètres!$A$1:$I$89,5,0)</f>
        <v>2.4341488824575211E-13</v>
      </c>
      <c r="CA155" s="13">
        <f t="shared" si="170"/>
        <v>3.2970717324875541E-12</v>
      </c>
      <c r="CB155" s="20">
        <f t="shared" si="171"/>
        <v>6.1663475311105072E-12</v>
      </c>
      <c r="CC155" s="59">
        <f t="shared" si="119"/>
        <v>286.92141300674604</v>
      </c>
      <c r="CD155" s="59">
        <f ca="1">AVERAGE(OFFSET($CC$3,0,0,'Données projet'!$E$12+1,1))-AVERAGE(OFFSET($H$3,0,0,'Données projet'!$E$12+1,1))</f>
        <v>486.36097333679697</v>
      </c>
      <c r="CE155" s="59">
        <f t="shared" si="148"/>
        <v>308.47736602748159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42.786189649774968</v>
      </c>
      <c r="CL155" s="21">
        <f>EXP(-LN(2)/25)*CL154+(1-EXP(-LN(2)/25))/(LN(2)/25)*Calculateur!CG155*Calculateur!CI155*VLOOKUP('Données projet'!$B$12,Paramètres!$A$1:$I$89,3,0)*0.475*44/12</f>
        <v>32.712511549505983</v>
      </c>
      <c r="CM155" s="21">
        <f>EXP(-LN(2)/2)*CM154+(1-EXP(-LN(2)/2))/(LN(2)/2)*CG155*CJ155*VLOOKUP('Données projet'!$B$12,Paramètres!$A$1:$I$89,3,0)*0.475*44/12</f>
        <v>1.7505443444489115E-2</v>
      </c>
      <c r="CN155" s="22">
        <f t="shared" si="172"/>
        <v>75.51620664272545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287.03264548950784</v>
      </c>
      <c r="S156" s="59">
        <f ca="1">AVERAGE(OFFSET($R$3,0,0,'Données projet'!$E$9+1,1))-AVERAGE(OFFSET($H$3,0,0,'Données projet'!$E$9+1,1))</f>
        <v>407.05634973057056</v>
      </c>
      <c r="T156" s="59">
        <f t="shared" si="142"/>
        <v>375.32891954889965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7.1200000000000045</v>
      </c>
      <c r="AH156" s="12">
        <f t="array" ref="AH156">INDEX(AG:AG,MIN(IF(ISNUMBER(AG156:AG352),ROW(AG156:AG352),"")))</f>
        <v>7.1200000000000045</v>
      </c>
      <c r="AI156" s="13">
        <f>IF('Données projet'!$A$62&gt;35,AI155+AH156-AQ155,IF(A156&lt;'Données projet'!$A$62,$AF$205^A156,IF(A156='Données projet'!$A$62,'Données projet'!$B$62,AI155+AH156-AQ155)))</f>
        <v>434.97000000000048</v>
      </c>
      <c r="AJ156" s="13">
        <f>AI156*VLOOKUP('Données projet'!$B$10,Paramètres!$A$1:$I$89,3,0)*VLOOKUP('Données projet'!$B$10,Paramètres!$A$1:$I$89,5,0)</f>
        <v>393.5608560000004</v>
      </c>
      <c r="AK156" s="13">
        <f t="shared" si="164"/>
        <v>90.469997145330012</v>
      </c>
      <c r="AL156" s="20">
        <f t="shared" si="165"/>
        <v>843.0204025614504</v>
      </c>
      <c r="AM156" s="59">
        <f t="shared" si="113"/>
        <v>1130.0530480509503</v>
      </c>
      <c r="AN156" s="59">
        <f ca="1">AVERAGE(OFFSET($AM$3,0,0,'Données projet'!$E$10+1,1))-AVERAGE(OFFSET($H$3,0,0,'Données projet'!$E$10+1,1))</f>
        <v>737.40414421611001</v>
      </c>
      <c r="AO156" s="59">
        <f t="shared" si="144"/>
        <v>245.32893490531674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156.29000000000002</v>
      </c>
      <c r="AR156" s="16">
        <f>IF(ISNA(VLOOKUP(A156,'Données projet'!$A$61:$I$81,5,0)),0%,VLOOKUP(A156,'Données projet'!$A$61:$I$81,5,0)*VLOOKUP('Données projet'!$B$10,Paramètres!$A$1:$I$89,7,0))</f>
        <v>0.19350000000000001</v>
      </c>
      <c r="AS156" s="16">
        <f>IF(ISNA(VLOOKUP(A156,'Données projet'!$A$61:$I$81,6,0)),0%,VLOOKUP(A156,'Données projet'!$A$61:$I$81,6,0)*VLOOKUP('Données projet'!$B$10,Paramètres!$A$1:$I$89,7,0))</f>
        <v>2.1500000000000002E-2</v>
      </c>
      <c r="AT156" s="16">
        <f>IF(ISNA(VLOOKUP(A156,'Données projet'!$A$61:$I$81,7,0)),0%,VLOOKUP(A156,'Données projet'!$A$61:$I$81,7,0))</f>
        <v>0.05</v>
      </c>
      <c r="AU156" s="21">
        <f>EXP(-LN(2)/35)*AU155+(1-EXP(-LN(2)/35))/(LN(2)/35)*AQ156*AR156*VLOOKUP('Données projet'!$B$10,Paramètres!$A$1:$I$89,3,0)*0.475*44/12</f>
        <v>132.49428566962979</v>
      </c>
      <c r="AV156" s="21">
        <f>EXP(-LN(2)/25)*AV155+(1-EXP(-LN(2)/25))/(LN(2)/25)*Calculateur!AQ156*Calculateur!AS156*VLOOKUP('Données projet'!$B$10,Paramètres!$A$1:$I$89,3,0)*0.475*44/12</f>
        <v>28.573123283093647</v>
      </c>
      <c r="AW156" s="21">
        <f>EXP(-LN(2)/2)*AW155+(1-EXP(-LN(2)/2))/(LN(2)/2)*AQ156*AT156*VLOOKUP('Données projet'!$B$10,Paramètres!$A$1:$I$89,3,0)*0.475*44/12</f>
        <v>10.58780474738797</v>
      </c>
      <c r="AX156" s="21">
        <f t="shared" si="166"/>
        <v>171.6552137001114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4.7884896048344674E-14</v>
      </c>
      <c r="BF156" s="13">
        <f t="shared" si="167"/>
        <v>7.8374629847779921E-13</v>
      </c>
      <c r="BG156" s="20">
        <f t="shared" si="168"/>
        <v>1.4484243304663672E-12</v>
      </c>
      <c r="BH156" s="59">
        <f t="shared" si="116"/>
        <v>287.03264548950142</v>
      </c>
      <c r="BI156" s="59">
        <f ca="1">AVERAGE(OFFSET($BH$3,0,0,'Données projet'!$E$11+1,1))-AVERAGE(OFFSET($H$3,0,0,'Données projet'!$E$11+1,1))</f>
        <v>456.35333554128226</v>
      </c>
      <c r="BJ156" s="59">
        <f t="shared" si="146"/>
        <v>296.4517290984877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48.23182897032585</v>
      </c>
      <c r="BQ156" s="21">
        <f>EXP(-LN(2)/25)*BQ155+(1-EXP(-LN(2)/25))/(LN(2)/25)*Calculateur!BL156*Calculateur!BN156*VLOOKUP('Données projet'!$B$11,Paramètres!$A$1:$I$89,3,0)*0.475*44/12</f>
        <v>7.6016612609743763</v>
      </c>
      <c r="BR156" s="21">
        <f>EXP(-LN(2)/2)*BR155+(1-EXP(-LN(2)/2))/(LN(2)/2)*BL156*BO156*VLOOKUP('Données projet'!$B$11,Paramètres!$A$1:$I$89,3,0)*0.475*44/12</f>
        <v>6.2571409599869185E-7</v>
      </c>
      <c r="BS156" s="22">
        <f t="shared" si="169"/>
        <v>55.833490857014318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2.5579538487363607E-13</v>
      </c>
      <c r="BZ156" s="13">
        <f>BY156*VLOOKUP('Données projet'!$B$12,Paramètres!$A$1:$I$89,3,0)*VLOOKUP('Données projet'!$B$12,Paramètres!$A$1:$I$89,5,0)</f>
        <v>2.4341488824575211E-13</v>
      </c>
      <c r="CA156" s="13">
        <f t="shared" si="170"/>
        <v>3.2970717324875541E-12</v>
      </c>
      <c r="CB156" s="20">
        <f t="shared" si="171"/>
        <v>6.1663475311105072E-12</v>
      </c>
      <c r="CC156" s="59">
        <f t="shared" si="119"/>
        <v>287.03264548950614</v>
      </c>
      <c r="CD156" s="59">
        <f ca="1">AVERAGE(OFFSET($CC$3,0,0,'Données projet'!$E$12+1,1))-AVERAGE(OFFSET($H$3,0,0,'Données projet'!$E$12+1,1))</f>
        <v>486.36097333679697</v>
      </c>
      <c r="CE156" s="59">
        <f t="shared" si="148"/>
        <v>308.47736602748159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41.947178567741702</v>
      </c>
      <c r="CL156" s="21">
        <f>EXP(-LN(2)/25)*CL155+(1-EXP(-LN(2)/25))/(LN(2)/25)*Calculateur!CG156*Calculateur!CI156*VLOOKUP('Données projet'!$B$12,Paramètres!$A$1:$I$89,3,0)*0.475*44/12</f>
        <v>31.817986200908525</v>
      </c>
      <c r="CM156" s="21">
        <f>EXP(-LN(2)/2)*CM155+(1-EXP(-LN(2)/2))/(LN(2)/2)*CG156*CJ156*VLOOKUP('Données projet'!$B$12,Paramètres!$A$1:$I$89,3,0)*0.475*44/12</f>
        <v>1.2378217767275847E-2</v>
      </c>
      <c r="CN156" s="22">
        <f t="shared" si="172"/>
        <v>73.777542986417501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287.14194833737059</v>
      </c>
      <c r="S157" s="59">
        <f ca="1">AVERAGE(OFFSET($R$3,0,0,'Données projet'!$E$9+1,1))-AVERAGE(OFFSET($H$3,0,0,'Données projet'!$E$9+1,1))</f>
        <v>407.05634973057056</v>
      </c>
      <c r="T157" s="59">
        <f t="shared" si="142"/>
        <v>375.32891954889965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4.083333333333333</v>
      </c>
      <c r="AI157" s="13">
        <f>IF('Données projet'!$A$62&gt;35,AI156+AH157-AQ156,IF(A157&lt;'Données projet'!$A$62,$AF$205^A157,IF(A157='Données projet'!$A$62,'Données projet'!$B$62,AI156+AH157-AQ156)))</f>
        <v>282.76333333333378</v>
      </c>
      <c r="AJ157" s="13">
        <f>AI157*VLOOKUP('Données projet'!$B$10,Paramètres!$A$1:$I$89,3,0)*VLOOKUP('Données projet'!$B$10,Paramètres!$A$1:$I$89,5,0)</f>
        <v>255.84426400000038</v>
      </c>
      <c r="AK157" s="13">
        <f t="shared" si="164"/>
        <v>61.835713990730305</v>
      </c>
      <c r="AL157" s="20">
        <f t="shared" si="165"/>
        <v>553.29262833385587</v>
      </c>
      <c r="AM157" s="59">
        <f t="shared" si="113"/>
        <v>840.43457667121857</v>
      </c>
      <c r="AN157" s="59">
        <f ca="1">AVERAGE(OFFSET($AM$3,0,0,'Données projet'!$E$10+1,1))-AVERAGE(OFFSET($H$3,0,0,'Données projet'!$E$10+1,1))</f>
        <v>737.40414421611001</v>
      </c>
      <c r="AO157" s="59">
        <f t="shared" si="144"/>
        <v>245.32893490531674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129.89615354118294</v>
      </c>
      <c r="AV157" s="21">
        <f>EXP(-LN(2)/25)*AV156+(1-EXP(-LN(2)/25))/(LN(2)/25)*Calculateur!AQ157*Calculateur!AS157*VLOOKUP('Données projet'!$B$10,Paramètres!$A$1:$I$89,3,0)*0.475*44/12</f>
        <v>27.791789724322204</v>
      </c>
      <c r="AW157" s="21">
        <f>EXP(-LN(2)/2)*AW156+(1-EXP(-LN(2)/2))/(LN(2)/2)*AQ157*AT157*VLOOKUP('Données projet'!$B$10,Paramètres!$A$1:$I$89,3,0)*0.475*44/12</f>
        <v>7.4867085347571551</v>
      </c>
      <c r="AX157" s="21">
        <f t="shared" si="166"/>
        <v>165.1746518002623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4.7884896048344674E-14</v>
      </c>
      <c r="BF157" s="13">
        <f t="shared" si="167"/>
        <v>7.8374629847779921E-13</v>
      </c>
      <c r="BG157" s="20">
        <f t="shared" si="168"/>
        <v>1.4484243304663672E-12</v>
      </c>
      <c r="BH157" s="59">
        <f t="shared" si="116"/>
        <v>287.14194833736417</v>
      </c>
      <c r="BI157" s="59">
        <f ca="1">AVERAGE(OFFSET($BH$3,0,0,'Données projet'!$E$11+1,1))-AVERAGE(OFFSET($H$3,0,0,'Données projet'!$E$11+1,1))</f>
        <v>456.35333554128226</v>
      </c>
      <c r="BJ157" s="59">
        <f t="shared" si="146"/>
        <v>296.4517290984877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47.286032222728593</v>
      </c>
      <c r="BQ157" s="21">
        <f>EXP(-LN(2)/25)*BQ156+(1-EXP(-LN(2)/25))/(LN(2)/25)*Calculateur!BL157*Calculateur!BN157*VLOOKUP('Données projet'!$B$11,Paramètres!$A$1:$I$89,3,0)*0.475*44/12</f>
        <v>7.3937934340390399</v>
      </c>
      <c r="BR157" s="21">
        <f>EXP(-LN(2)/2)*BR156+(1-EXP(-LN(2)/2))/(LN(2)/2)*BL157*BO157*VLOOKUP('Données projet'!$B$11,Paramètres!$A$1:$I$89,3,0)*0.475*44/12</f>
        <v>4.424466803646854E-7</v>
      </c>
      <c r="BS157" s="22">
        <f t="shared" si="169"/>
        <v>54.679826099214317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2.5579538487363607E-13</v>
      </c>
      <c r="BZ157" s="13">
        <f>BY157*VLOOKUP('Données projet'!$B$12,Paramètres!$A$1:$I$89,3,0)*VLOOKUP('Données projet'!$B$12,Paramètres!$A$1:$I$89,5,0)</f>
        <v>2.4341488824575211E-13</v>
      </c>
      <c r="CA157" s="13">
        <f t="shared" si="170"/>
        <v>3.2970717324875541E-12</v>
      </c>
      <c r="CB157" s="20">
        <f t="shared" si="171"/>
        <v>6.1663475311105072E-12</v>
      </c>
      <c r="CC157" s="59">
        <f t="shared" si="119"/>
        <v>287.14194833736889</v>
      </c>
      <c r="CD157" s="59">
        <f ca="1">AVERAGE(OFFSET($CC$3,0,0,'Données projet'!$E$12+1,1))-AVERAGE(OFFSET($H$3,0,0,'Données projet'!$E$12+1,1))</f>
        <v>486.36097333679697</v>
      </c>
      <c r="CE157" s="59">
        <f t="shared" si="148"/>
        <v>308.47736602748159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41.12461998128088</v>
      </c>
      <c r="CL157" s="21">
        <f>EXP(-LN(2)/25)*CL156+(1-EXP(-LN(2)/25))/(LN(2)/25)*Calculateur!CG157*Calculateur!CI157*VLOOKUP('Données projet'!$B$12,Paramètres!$A$1:$I$89,3,0)*0.475*44/12</f>
        <v>30.947921695009509</v>
      </c>
      <c r="CM157" s="21">
        <f>EXP(-LN(2)/2)*CM156+(1-EXP(-LN(2)/2))/(LN(2)/2)*CG157*CJ157*VLOOKUP('Données projet'!$B$12,Paramètres!$A$1:$I$89,3,0)*0.475*44/12</f>
        <v>8.7527217222445573E-3</v>
      </c>
      <c r="CN157" s="22">
        <f t="shared" si="172"/>
        <v>72.081294398012631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287.24935502518753</v>
      </c>
      <c r="S158" s="59">
        <f ca="1">AVERAGE(OFFSET($R$3,0,0,'Données projet'!$E$9+1,1))-AVERAGE(OFFSET($H$3,0,0,'Données projet'!$E$9+1,1))</f>
        <v>407.05634973057056</v>
      </c>
      <c r="T158" s="59">
        <f t="shared" si="142"/>
        <v>375.32891954889965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4.083333333333333</v>
      </c>
      <c r="AI158" s="13">
        <f>IF('Données projet'!$A$62&gt;35,AI157+AH158-AQ157,IF(A158&lt;'Données projet'!$A$62,$AF$205^A158,IF(A158='Données projet'!$A$62,'Données projet'!$B$62,AI157+AH158-AQ157)))</f>
        <v>286.84666666666709</v>
      </c>
      <c r="AJ158" s="13">
        <f>AI158*VLOOKUP('Données projet'!$B$10,Paramètres!$A$1:$I$89,3,0)*VLOOKUP('Données projet'!$B$10,Paramètres!$A$1:$I$89,5,0)</f>
        <v>259.53886400000039</v>
      </c>
      <c r="AK158" s="13">
        <f t="shared" si="164"/>
        <v>62.624072242773707</v>
      </c>
      <c r="AL158" s="20">
        <f t="shared" si="165"/>
        <v>561.10044728949822</v>
      </c>
      <c r="AM158" s="59">
        <f t="shared" si="113"/>
        <v>848.34980231467785</v>
      </c>
      <c r="AN158" s="59">
        <f ca="1">AVERAGE(OFFSET($AM$3,0,0,'Données projet'!$E$10+1,1))-AVERAGE(OFFSET($H$3,0,0,'Données projet'!$E$10+1,1))</f>
        <v>737.40414421611001</v>
      </c>
      <c r="AO158" s="59">
        <f t="shared" si="144"/>
        <v>245.32893490531674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127.34896919907081</v>
      </c>
      <c r="AV158" s="21">
        <f>EXP(-LN(2)/25)*AV157+(1-EXP(-LN(2)/25))/(LN(2)/25)*Calculateur!AQ158*Calculateur!AS158*VLOOKUP('Données projet'!$B$10,Paramètres!$A$1:$I$89,3,0)*0.475*44/12</f>
        <v>27.031821772803909</v>
      </c>
      <c r="AW158" s="21">
        <f>EXP(-LN(2)/2)*AW157+(1-EXP(-LN(2)/2))/(LN(2)/2)*AQ158*AT158*VLOOKUP('Données projet'!$B$10,Paramètres!$A$1:$I$89,3,0)*0.475*44/12</f>
        <v>5.2939023736939861</v>
      </c>
      <c r="AX158" s="21">
        <f t="shared" si="166"/>
        <v>159.6746933455687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4.7884896048344674E-14</v>
      </c>
      <c r="BF158" s="13">
        <f t="shared" si="167"/>
        <v>7.8374629847779921E-13</v>
      </c>
      <c r="BG158" s="20">
        <f t="shared" si="168"/>
        <v>1.4484243304663672E-12</v>
      </c>
      <c r="BH158" s="59">
        <f t="shared" si="116"/>
        <v>287.2493550251811</v>
      </c>
      <c r="BI158" s="59">
        <f ca="1">AVERAGE(OFFSET($BH$3,0,0,'Données projet'!$E$11+1,1))-AVERAGE(OFFSET($H$3,0,0,'Données projet'!$E$11+1,1))</f>
        <v>456.35333554128226</v>
      </c>
      <c r="BJ158" s="59">
        <f t="shared" si="146"/>
        <v>296.4517290984877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46.35878197247267</v>
      </c>
      <c r="BQ158" s="21">
        <f>EXP(-LN(2)/25)*BQ157+(1-EXP(-LN(2)/25))/(LN(2)/25)*Calculateur!BL158*Calculateur!BN158*VLOOKUP('Données projet'!$B$11,Paramètres!$A$1:$I$89,3,0)*0.475*44/12</f>
        <v>7.1916097637625445</v>
      </c>
      <c r="BR158" s="21">
        <f>EXP(-LN(2)/2)*BR157+(1-EXP(-LN(2)/2))/(LN(2)/2)*BL158*BO158*VLOOKUP('Données projet'!$B$11,Paramètres!$A$1:$I$89,3,0)*0.475*44/12</f>
        <v>3.1285704799934593E-7</v>
      </c>
      <c r="BS158" s="22">
        <f t="shared" si="169"/>
        <v>53.55039204909226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2.5579538487363607E-13</v>
      </c>
      <c r="BZ158" s="13">
        <f>BY158*VLOOKUP('Données projet'!$B$12,Paramètres!$A$1:$I$89,3,0)*VLOOKUP('Données projet'!$B$12,Paramètres!$A$1:$I$89,5,0)</f>
        <v>2.4341488824575211E-13</v>
      </c>
      <c r="CA158" s="13">
        <f t="shared" si="170"/>
        <v>3.2970717324875541E-12</v>
      </c>
      <c r="CB158" s="20">
        <f t="shared" si="171"/>
        <v>6.1663475311105072E-12</v>
      </c>
      <c r="CC158" s="59">
        <f t="shared" si="119"/>
        <v>287.24935502518582</v>
      </c>
      <c r="CD158" s="59">
        <f ca="1">AVERAGE(OFFSET($CC$3,0,0,'Données projet'!$E$12+1,1))-AVERAGE(OFFSET($H$3,0,0,'Données projet'!$E$12+1,1))</f>
        <v>486.36097333679697</v>
      </c>
      <c r="CE158" s="59">
        <f t="shared" si="148"/>
        <v>308.47736602748159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40.318191266989359</v>
      </c>
      <c r="CL158" s="21">
        <f>EXP(-LN(2)/25)*CL157+(1-EXP(-LN(2)/25))/(LN(2)/25)*Calculateur!CG158*Calculateur!CI158*VLOOKUP('Données projet'!$B$12,Paramètres!$A$1:$I$89,3,0)*0.475*44/12</f>
        <v>30.101649148779003</v>
      </c>
      <c r="CM158" s="21">
        <f>EXP(-LN(2)/2)*CM157+(1-EXP(-LN(2)/2))/(LN(2)/2)*CG158*CJ158*VLOOKUP('Données projet'!$B$12,Paramètres!$A$1:$I$89,3,0)*0.475*44/12</f>
        <v>6.1891088836379237E-3</v>
      </c>
      <c r="CN158" s="22">
        <f t="shared" si="172"/>
        <v>70.426029524651995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287.35489844709616</v>
      </c>
      <c r="S159" s="59">
        <f ca="1">AVERAGE(OFFSET($R$3,0,0,'Données projet'!$E$9+1,1))-AVERAGE(OFFSET($H$3,0,0,'Données projet'!$E$9+1,1))</f>
        <v>407.05634973057056</v>
      </c>
      <c r="T159" s="59">
        <f t="shared" si="142"/>
        <v>375.32891954889965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4.083333333333333</v>
      </c>
      <c r="AH159" s="12">
        <f t="array" ref="AH159">INDEX(AG:AG,MIN(IF(ISNUMBER(AG159:AG355),ROW(AG159:AG355),"")))</f>
        <v>4.083333333333333</v>
      </c>
      <c r="AI159" s="13">
        <f>IF('Données projet'!$A$62&gt;35,AI158+AH159-AQ158,IF(A159&lt;'Données projet'!$A$62,$AF$205^A159,IF(A159='Données projet'!$A$62,'Données projet'!$B$62,AI158+AH159-AQ158)))</f>
        <v>290.9300000000004</v>
      </c>
      <c r="AJ159" s="13">
        <f>AI159*VLOOKUP('Données projet'!$B$10,Paramètres!$A$1:$I$89,3,0)*VLOOKUP('Données projet'!$B$10,Paramètres!$A$1:$I$89,5,0)</f>
        <v>263.23346400000037</v>
      </c>
      <c r="AK159" s="13">
        <f t="shared" si="164"/>
        <v>63.411125233778499</v>
      </c>
      <c r="AL159" s="20">
        <f t="shared" si="165"/>
        <v>568.90599291549813</v>
      </c>
      <c r="AM159" s="59">
        <f t="shared" si="113"/>
        <v>856.26089136258645</v>
      </c>
      <c r="AN159" s="59">
        <f ca="1">AVERAGE(OFFSET($AM$3,0,0,'Données projet'!$E$10+1,1))-AVERAGE(OFFSET($H$3,0,0,'Données projet'!$E$10+1,1))</f>
        <v>737.40414421611001</v>
      </c>
      <c r="AO159" s="59">
        <f t="shared" si="144"/>
        <v>245.32893490531674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96.65</v>
      </c>
      <c r="AR159" s="16">
        <f>IF(ISNA(VLOOKUP(A159,'Données projet'!$A$61:$I$81,5,0)),0%,VLOOKUP(A159,'Données projet'!$A$61:$I$81,5,0)*VLOOKUP('Données projet'!$B$10,Paramètres!$A$1:$I$89,7,0))</f>
        <v>0.19350000000000001</v>
      </c>
      <c r="AS159" s="16">
        <f>IF(ISNA(VLOOKUP(A159,'Données projet'!$A$61:$I$81,6,0)),0%,VLOOKUP(A159,'Données projet'!$A$61:$I$81,6,0)*VLOOKUP('Données projet'!$B$10,Paramètres!$A$1:$I$89,7,0))</f>
        <v>2.1500000000000002E-2</v>
      </c>
      <c r="AT159" s="16">
        <f>IF(ISNA(VLOOKUP(A159,'Données projet'!$A$61:$I$81,7,0)),0%,VLOOKUP(A159,'Données projet'!$A$61:$I$81,7,0))</f>
        <v>0.05</v>
      </c>
      <c r="AU159" s="21">
        <f>EXP(-LN(2)/35)*AU158+(1-EXP(-LN(2)/35))/(LN(2)/35)*AQ159*AR159*VLOOKUP('Données projet'!$B$10,Paramètres!$A$1:$I$89,3,0)*0.475*44/12</f>
        <v>143.55780250462382</v>
      </c>
      <c r="AV159" s="21">
        <f>EXP(-LN(2)/25)*AV158+(1-EXP(-LN(2)/25))/(LN(2)/25)*Calculateur!AQ159*Calculateur!AS159*VLOOKUP('Données projet'!$B$10,Paramètres!$A$1:$I$89,3,0)*0.475*44/12</f>
        <v>28.362903628823826</v>
      </c>
      <c r="AW159" s="21">
        <f>EXP(-LN(2)/2)*AW158+(1-EXP(-LN(2)/2))/(LN(2)/2)*AQ159*AT159*VLOOKUP('Données projet'!$B$10,Paramètres!$A$1:$I$89,3,0)*0.475*44/12</f>
        <v>7.8688747510372492</v>
      </c>
      <c r="AX159" s="21">
        <f t="shared" si="166"/>
        <v>179.78958088448491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4.7884896048344674E-14</v>
      </c>
      <c r="BF159" s="13">
        <f t="shared" si="167"/>
        <v>7.8374629847779921E-13</v>
      </c>
      <c r="BG159" s="20">
        <f t="shared" si="168"/>
        <v>1.4484243304663672E-12</v>
      </c>
      <c r="BH159" s="59">
        <f t="shared" si="116"/>
        <v>287.35489844708974</v>
      </c>
      <c r="BI159" s="59">
        <f ca="1">AVERAGE(OFFSET($BH$3,0,0,'Données projet'!$E$11+1,1))-AVERAGE(OFFSET($H$3,0,0,'Données projet'!$E$11+1,1))</f>
        <v>456.35333554128226</v>
      </c>
      <c r="BJ159" s="59">
        <f t="shared" si="146"/>
        <v>296.4517290984877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45.449714534057456</v>
      </c>
      <c r="BQ159" s="21">
        <f>EXP(-LN(2)/25)*BQ158+(1-EXP(-LN(2)/25))/(LN(2)/25)*Calculateur!BL159*Calculateur!BN159*VLOOKUP('Données projet'!$B$11,Paramètres!$A$1:$I$89,3,0)*0.475*44/12</f>
        <v>6.9949548165821369</v>
      </c>
      <c r="BR159" s="21">
        <f>EXP(-LN(2)/2)*BR158+(1-EXP(-LN(2)/2))/(LN(2)/2)*BL159*BO159*VLOOKUP('Données projet'!$B$11,Paramètres!$A$1:$I$89,3,0)*0.475*44/12</f>
        <v>2.212233401823427E-7</v>
      </c>
      <c r="BS159" s="22">
        <f t="shared" si="169"/>
        <v>52.444669571862931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2.5579538487363607E-13</v>
      </c>
      <c r="BZ159" s="13">
        <f>BY159*VLOOKUP('Données projet'!$B$12,Paramètres!$A$1:$I$89,3,0)*VLOOKUP('Données projet'!$B$12,Paramètres!$A$1:$I$89,5,0)</f>
        <v>2.4341488824575211E-13</v>
      </c>
      <c r="CA159" s="13">
        <f t="shared" si="170"/>
        <v>3.2970717324875541E-12</v>
      </c>
      <c r="CB159" s="20">
        <f t="shared" si="171"/>
        <v>6.1663475311105072E-12</v>
      </c>
      <c r="CC159" s="59">
        <f t="shared" si="119"/>
        <v>287.35489844709446</v>
      </c>
      <c r="CD159" s="59">
        <f ca="1">AVERAGE(OFFSET($CC$3,0,0,'Données projet'!$E$12+1,1))-AVERAGE(OFFSET($H$3,0,0,'Données projet'!$E$12+1,1))</f>
        <v>486.36097333679697</v>
      </c>
      <c r="CE159" s="59">
        <f t="shared" si="148"/>
        <v>308.47736602748159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39.527576127912148</v>
      </c>
      <c r="CL159" s="21">
        <f>EXP(-LN(2)/25)*CL158+(1-EXP(-LN(2)/25))/(LN(2)/25)*Calculateur!CG159*Calculateur!CI159*VLOOKUP('Données projet'!$B$12,Paramètres!$A$1:$I$89,3,0)*0.475*44/12</f>
        <v>29.278517969828712</v>
      </c>
      <c r="CM159" s="21">
        <f>EXP(-LN(2)/2)*CM158+(1-EXP(-LN(2)/2))/(LN(2)/2)*CG159*CJ159*VLOOKUP('Données projet'!$B$12,Paramètres!$A$1:$I$89,3,0)*0.475*44/12</f>
        <v>4.3763608611222787E-3</v>
      </c>
      <c r="CN159" s="22">
        <f t="shared" si="172"/>
        <v>68.810470458601984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287.45861092659442</v>
      </c>
      <c r="S160" s="59">
        <f ca="1">AVERAGE(OFFSET($R$3,0,0,'Données projet'!$E$9+1,1))-AVERAGE(OFFSET($H$3,0,0,'Données projet'!$E$9+1,1))</f>
        <v>407.05634973057056</v>
      </c>
      <c r="T160" s="59">
        <f t="shared" si="142"/>
        <v>375.32891954889965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2.3999999999999964</v>
      </c>
      <c r="AI160" s="13">
        <f>IF('Données projet'!$A$62&gt;35,AI159+AH160-AQ159,IF(A160&lt;'Données projet'!$A$62,$AF$205^A160,IF(A160='Données projet'!$A$62,'Données projet'!$B$62,AI159+AH160-AQ159)))</f>
        <v>196.68000000000038</v>
      </c>
      <c r="AJ160" s="13">
        <f>AI160*VLOOKUP('Données projet'!$B$10,Paramètres!$A$1:$I$89,3,0)*VLOOKUP('Données projet'!$B$10,Paramètres!$A$1:$I$89,5,0)</f>
        <v>177.95606400000034</v>
      </c>
      <c r="AK160" s="13">
        <f t="shared" si="164"/>
        <v>44.867146262287271</v>
      </c>
      <c r="AL160" s="20">
        <f t="shared" si="165"/>
        <v>388.08375787348422</v>
      </c>
      <c r="AM160" s="59">
        <f t="shared" si="113"/>
        <v>675.54236880007079</v>
      </c>
      <c r="AN160" s="59">
        <f ca="1">AVERAGE(OFFSET($AM$3,0,0,'Données projet'!$E$10+1,1))-AVERAGE(OFFSET($H$3,0,0,'Données projet'!$E$10+1,1))</f>
        <v>737.40414421611001</v>
      </c>
      <c r="AO160" s="59">
        <f t="shared" si="144"/>
        <v>245.32893490531674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140.74272155912169</v>
      </c>
      <c r="AV160" s="21">
        <f>EXP(-LN(2)/25)*AV159+(1-EXP(-LN(2)/25))/(LN(2)/25)*Calculateur!AQ160*Calculateur!AS160*VLOOKUP('Données projet'!$B$10,Paramètres!$A$1:$I$89,3,0)*0.475*44/12</f>
        <v>27.587318537553362</v>
      </c>
      <c r="AW160" s="21">
        <f>EXP(-LN(2)/2)*AW159+(1-EXP(-LN(2)/2))/(LN(2)/2)*AQ160*AT160*VLOOKUP('Données projet'!$B$10,Paramètres!$A$1:$I$89,3,0)*0.475*44/12</f>
        <v>5.564134696766045</v>
      </c>
      <c r="AX160" s="21">
        <f t="shared" si="166"/>
        <v>173.8941747934411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4.7884896048344674E-14</v>
      </c>
      <c r="BF160" s="13">
        <f t="shared" si="167"/>
        <v>7.8374629847779921E-13</v>
      </c>
      <c r="BG160" s="20">
        <f t="shared" si="168"/>
        <v>1.4484243304663672E-12</v>
      </c>
      <c r="BH160" s="59">
        <f t="shared" si="116"/>
        <v>287.45861092658799</v>
      </c>
      <c r="BI160" s="59">
        <f ca="1">AVERAGE(OFFSET($BH$3,0,0,'Données projet'!$E$11+1,1))-AVERAGE(OFFSET($H$3,0,0,'Données projet'!$E$11+1,1))</f>
        <v>456.35333554128226</v>
      </c>
      <c r="BJ160" s="59">
        <f t="shared" si="146"/>
        <v>296.4517290984877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44.558473353633175</v>
      </c>
      <c r="BQ160" s="21">
        <f>EXP(-LN(2)/25)*BQ159+(1-EXP(-LN(2)/25))/(LN(2)/25)*Calculateur!BL160*Calculateur!BN160*VLOOKUP('Données projet'!$B$11,Paramètres!$A$1:$I$89,3,0)*0.475*44/12</f>
        <v>6.8036774092740115</v>
      </c>
      <c r="BR160" s="21">
        <f>EXP(-LN(2)/2)*BR159+(1-EXP(-LN(2)/2))/(LN(2)/2)*BL160*BO160*VLOOKUP('Données projet'!$B$11,Paramètres!$A$1:$I$89,3,0)*0.475*44/12</f>
        <v>1.5642852399967296E-7</v>
      </c>
      <c r="BS160" s="22">
        <f t="shared" si="169"/>
        <v>51.362150919335711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2.5579538487363607E-13</v>
      </c>
      <c r="BZ160" s="13">
        <f>BY160*VLOOKUP('Données projet'!$B$12,Paramètres!$A$1:$I$89,3,0)*VLOOKUP('Données projet'!$B$12,Paramètres!$A$1:$I$89,5,0)</f>
        <v>2.4341488824575211E-13</v>
      </c>
      <c r="CA160" s="13">
        <f t="shared" si="170"/>
        <v>3.2970717324875541E-12</v>
      </c>
      <c r="CB160" s="20">
        <f t="shared" si="171"/>
        <v>6.1663475311105072E-12</v>
      </c>
      <c r="CC160" s="59">
        <f t="shared" si="119"/>
        <v>287.45861092659271</v>
      </c>
      <c r="CD160" s="59">
        <f ca="1">AVERAGE(OFFSET($CC$3,0,0,'Données projet'!$E$12+1,1))-AVERAGE(OFFSET($H$3,0,0,'Données projet'!$E$12+1,1))</f>
        <v>486.36097333679697</v>
      </c>
      <c r="CE160" s="59">
        <f t="shared" si="148"/>
        <v>308.47736602748159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38.752464469484622</v>
      </c>
      <c r="CL160" s="21">
        <f>EXP(-LN(2)/25)*CL159+(1-EXP(-LN(2)/25))/(LN(2)/25)*Calculateur!CG160*Calculateur!CI160*VLOOKUP('Données projet'!$B$12,Paramètres!$A$1:$I$89,3,0)*0.475*44/12</f>
        <v>28.477895356253402</v>
      </c>
      <c r="CM160" s="21">
        <f>EXP(-LN(2)/2)*CM159+(1-EXP(-LN(2)/2))/(LN(2)/2)*CG160*CJ160*VLOOKUP('Données projet'!$B$12,Paramètres!$A$1:$I$89,3,0)*0.475*44/12</f>
        <v>3.0945544418189619E-3</v>
      </c>
      <c r="CN160" s="22">
        <f t="shared" si="172"/>
        <v>67.233454380179836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287.56052422643984</v>
      </c>
      <c r="S161" s="59">
        <f ca="1">AVERAGE(OFFSET($R$3,0,0,'Données projet'!$E$9+1,1))-AVERAGE(OFFSET($H$3,0,0,'Données projet'!$E$9+1,1))</f>
        <v>407.05634973057056</v>
      </c>
      <c r="T161" s="59">
        <f t="shared" si="142"/>
        <v>375.32891954889965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2.3999999999999964</v>
      </c>
      <c r="AI161" s="13">
        <f>IF('Données projet'!$A$62&gt;35,AI160+AH161-AQ160,IF(A161&lt;'Données projet'!$A$62,$AF$205^A161,IF(A161='Données projet'!$A$62,'Données projet'!$B$62,AI160+AH161-AQ160)))</f>
        <v>199.08000000000038</v>
      </c>
      <c r="AJ161" s="13">
        <f>AI161*VLOOKUP('Données projet'!$B$10,Paramètres!$A$1:$I$89,3,0)*VLOOKUP('Données projet'!$B$10,Paramètres!$A$1:$I$89,5,0)</f>
        <v>180.12758400000035</v>
      </c>
      <c r="AK161" s="13">
        <f t="shared" si="164"/>
        <v>45.350570085330872</v>
      </c>
      <c r="AL161" s="20">
        <f t="shared" si="165"/>
        <v>392.7077850319518</v>
      </c>
      <c r="AM161" s="59">
        <f t="shared" si="113"/>
        <v>680.26830925838385</v>
      </c>
      <c r="AN161" s="59">
        <f ca="1">AVERAGE(OFFSET($AM$3,0,0,'Données projet'!$E$10+1,1))-AVERAGE(OFFSET($H$3,0,0,'Données projet'!$E$10+1,1))</f>
        <v>737.40414421611001</v>
      </c>
      <c r="AO161" s="59">
        <f t="shared" si="144"/>
        <v>245.32893490531674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137.98284263393103</v>
      </c>
      <c r="AV161" s="21">
        <f>EXP(-LN(2)/25)*AV160+(1-EXP(-LN(2)/25))/(LN(2)/25)*Calculateur!AQ161*Calculateur!AS161*VLOOKUP('Données projet'!$B$10,Paramètres!$A$1:$I$89,3,0)*0.475*44/12</f>
        <v>26.832941861389934</v>
      </c>
      <c r="AW161" s="21">
        <f>EXP(-LN(2)/2)*AW160+(1-EXP(-LN(2)/2))/(LN(2)/2)*AQ161*AT161*VLOOKUP('Données projet'!$B$10,Paramètres!$A$1:$I$89,3,0)*0.475*44/12</f>
        <v>3.934437375518625</v>
      </c>
      <c r="AX161" s="21">
        <f t="shared" si="166"/>
        <v>168.7502218708396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4.7884896048344674E-14</v>
      </c>
      <c r="BF161" s="13">
        <f t="shared" si="167"/>
        <v>7.8374629847779921E-13</v>
      </c>
      <c r="BG161" s="20">
        <f t="shared" si="168"/>
        <v>1.4484243304663672E-12</v>
      </c>
      <c r="BH161" s="59">
        <f t="shared" si="116"/>
        <v>287.56052422643342</v>
      </c>
      <c r="BI161" s="59">
        <f ca="1">AVERAGE(OFFSET($BH$3,0,0,'Données projet'!$E$11+1,1))-AVERAGE(OFFSET($H$3,0,0,'Données projet'!$E$11+1,1))</f>
        <v>456.35333554128226</v>
      </c>
      <c r="BJ161" s="59">
        <f t="shared" si="146"/>
        <v>296.4517290984877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43.684708869153575</v>
      </c>
      <c r="BQ161" s="21">
        <f>EXP(-LN(2)/25)*BQ160+(1-EXP(-LN(2)/25))/(LN(2)/25)*Calculateur!BL161*Calculateur!BN161*VLOOKUP('Données projet'!$B$11,Paramètres!$A$1:$I$89,3,0)*0.475*44/12</f>
        <v>6.6176304927275691</v>
      </c>
      <c r="BR161" s="21">
        <f>EXP(-LN(2)/2)*BR160+(1-EXP(-LN(2)/2))/(LN(2)/2)*BL161*BO161*VLOOKUP('Données projet'!$B$11,Paramètres!$A$1:$I$89,3,0)*0.475*44/12</f>
        <v>1.1061167009117135E-7</v>
      </c>
      <c r="BS161" s="22">
        <f t="shared" si="169"/>
        <v>50.302339472492818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2.5579538487363607E-13</v>
      </c>
      <c r="BZ161" s="13">
        <f>BY161*VLOOKUP('Données projet'!$B$12,Paramètres!$A$1:$I$89,3,0)*VLOOKUP('Données projet'!$B$12,Paramètres!$A$1:$I$89,5,0)</f>
        <v>2.4341488824575211E-13</v>
      </c>
      <c r="CA161" s="13">
        <f t="shared" si="170"/>
        <v>3.2970717324875541E-12</v>
      </c>
      <c r="CB161" s="20">
        <f t="shared" si="171"/>
        <v>6.1663475311105072E-12</v>
      </c>
      <c r="CC161" s="59">
        <f t="shared" si="119"/>
        <v>287.56052422643813</v>
      </c>
      <c r="CD161" s="59">
        <f ca="1">AVERAGE(OFFSET($CC$3,0,0,'Données projet'!$E$12+1,1))-AVERAGE(OFFSET($H$3,0,0,'Données projet'!$E$12+1,1))</f>
        <v>486.36097333679697</v>
      </c>
      <c r="CE161" s="59">
        <f t="shared" si="148"/>
        <v>308.47736602748159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37.992552277907429</v>
      </c>
      <c r="CL161" s="21">
        <f>EXP(-LN(2)/25)*CL160+(1-EXP(-LN(2)/25))/(LN(2)/25)*Calculateur!CG161*Calculateur!CI161*VLOOKUP('Données projet'!$B$12,Paramètres!$A$1:$I$89,3,0)*0.475*44/12</f>
        <v>27.699165810149225</v>
      </c>
      <c r="CM161" s="21">
        <f>EXP(-LN(2)/2)*CM160+(1-EXP(-LN(2)/2))/(LN(2)/2)*CG161*CJ161*VLOOKUP('Données projet'!$B$12,Paramètres!$A$1:$I$89,3,0)*0.475*44/12</f>
        <v>2.1881804305611393E-3</v>
      </c>
      <c r="CN161" s="22">
        <f t="shared" si="172"/>
        <v>65.693906268487225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287.66066955837681</v>
      </c>
      <c r="S162" s="59">
        <f ca="1">AVERAGE(OFFSET($R$3,0,0,'Données projet'!$E$9+1,1))-AVERAGE(OFFSET($H$3,0,0,'Données projet'!$E$9+1,1))</f>
        <v>407.05634973057056</v>
      </c>
      <c r="T162" s="59">
        <f t="shared" si="142"/>
        <v>375.32891954889965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2.3999999999999964</v>
      </c>
      <c r="AH162" s="12">
        <f t="array" ref="AH162">INDEX(AG:AG,MIN(IF(ISNUMBER(AG162:AG358),ROW(AG162:AG358),"")))</f>
        <v>2.3999999999999964</v>
      </c>
      <c r="AI162" s="13">
        <f>IF('Données projet'!$A$62&gt;35,AI161+AH162-AQ161,IF(A162&lt;'Données projet'!$A$62,$AF$205^A162,IF(A162='Données projet'!$A$62,'Données projet'!$B$62,AI161+AH162-AQ161)))</f>
        <v>201.48000000000039</v>
      </c>
      <c r="AJ162" s="13">
        <f>AI162*VLOOKUP('Données projet'!$B$10,Paramètres!$A$1:$I$89,3,0)*VLOOKUP('Données projet'!$B$10,Paramètres!$A$1:$I$89,5,0)</f>
        <v>182.29910400000034</v>
      </c>
      <c r="AK162" s="13">
        <f t="shared" si="164"/>
        <v>45.833315999864418</v>
      </c>
      <c r="AL162" s="20">
        <f t="shared" si="165"/>
        <v>397.33063149976448</v>
      </c>
      <c r="AM162" s="59">
        <f t="shared" si="113"/>
        <v>684.99130105813344</v>
      </c>
      <c r="AN162" s="59">
        <f ca="1">AVERAGE(OFFSET($AM$3,0,0,'Données projet'!$E$10+1,1))-AVERAGE(OFFSET($H$3,0,0,'Données projet'!$E$10+1,1))</f>
        <v>737.40414421611001</v>
      </c>
      <c r="AO162" s="59">
        <f t="shared" si="144"/>
        <v>245.32893490531674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201.48</v>
      </c>
      <c r="AR162" s="16">
        <f>IF(ISNA(VLOOKUP(A162,'Données projet'!$A$61:$I$81,5,0)),0%,VLOOKUP(A162,'Données projet'!$A$61:$I$81,5,0)*VLOOKUP('Données projet'!$B$10,Paramètres!$A$1:$I$89,7,0))</f>
        <v>0.19350000000000001</v>
      </c>
      <c r="AS162" s="16">
        <f>IF(ISNA(VLOOKUP(A162,'Données projet'!$A$61:$I$81,6,0)),0%,VLOOKUP(A162,'Données projet'!$A$61:$I$81,6,0)*VLOOKUP('Données projet'!$B$10,Paramètres!$A$1:$I$89,7,0))</f>
        <v>2.1500000000000002E-2</v>
      </c>
      <c r="AT162" s="16">
        <f>IF(ISNA(VLOOKUP(A162,'Données projet'!$A$61:$I$81,7,0)),0%,VLOOKUP(A162,'Données projet'!$A$61:$I$81,7,0))</f>
        <v>0.05</v>
      </c>
      <c r="AU162" s="21">
        <f>EXP(-LN(2)/35)*AU161+(1-EXP(-LN(2)/35))/(LN(2)/35)*AQ162*AR162*VLOOKUP('Données projet'!$B$10,Paramètres!$A$1:$I$89,3,0)*0.475*44/12</f>
        <v>174.27241450061467</v>
      </c>
      <c r="AV162" s="21">
        <f>EXP(-LN(2)/25)*AV161+(1-EXP(-LN(2)/25))/(LN(2)/25)*Calculateur!AQ162*Calculateur!AS162*VLOOKUP('Données projet'!$B$10,Paramètres!$A$1:$I$89,3,0)*0.475*44/12</f>
        <v>30.414948296440013</v>
      </c>
      <c r="AW162" s="21">
        <f>EXP(-LN(2)/2)*AW161+(1-EXP(-LN(2)/2))/(LN(2)/2)*AQ162*AT162*VLOOKUP('Données projet'!$B$10,Paramètres!$A$1:$I$89,3,0)*0.475*44/12</f>
        <v>11.38227290500536</v>
      </c>
      <c r="AX162" s="21">
        <f t="shared" si="166"/>
        <v>216.06963570206003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4.7884896048344674E-14</v>
      </c>
      <c r="BF162" s="13">
        <f t="shared" si="167"/>
        <v>7.8374629847779921E-13</v>
      </c>
      <c r="BG162" s="20">
        <f t="shared" si="168"/>
        <v>1.4484243304663672E-12</v>
      </c>
      <c r="BH162" s="59">
        <f t="shared" si="116"/>
        <v>287.66066955837039</v>
      </c>
      <c r="BI162" s="59">
        <f ca="1">AVERAGE(OFFSET($BH$3,0,0,'Données projet'!$E$11+1,1))-AVERAGE(OFFSET($H$3,0,0,'Données projet'!$E$11+1,1))</f>
        <v>456.35333554128226</v>
      </c>
      <c r="BJ162" s="59">
        <f t="shared" si="146"/>
        <v>296.4517290984877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42.828078373270905</v>
      </c>
      <c r="BQ162" s="21">
        <f>EXP(-LN(2)/25)*BQ161+(1-EXP(-LN(2)/25))/(LN(2)/25)*Calculateur!BL162*Calculateur!BN162*VLOOKUP('Données projet'!$B$11,Paramètres!$A$1:$I$89,3,0)*0.475*44/12</f>
        <v>6.4366710388978712</v>
      </c>
      <c r="BR162" s="21">
        <f>EXP(-LN(2)/2)*BR161+(1-EXP(-LN(2)/2))/(LN(2)/2)*BL162*BO162*VLOOKUP('Données projet'!$B$11,Paramètres!$A$1:$I$89,3,0)*0.475*44/12</f>
        <v>7.8214261999836482E-8</v>
      </c>
      <c r="BS162" s="22">
        <f t="shared" si="169"/>
        <v>49.264749490383039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2.5579538487363607E-13</v>
      </c>
      <c r="BZ162" s="13">
        <f>BY162*VLOOKUP('Données projet'!$B$12,Paramètres!$A$1:$I$89,3,0)*VLOOKUP('Données projet'!$B$12,Paramètres!$A$1:$I$89,5,0)</f>
        <v>2.4341488824575211E-13</v>
      </c>
      <c r="CA162" s="13">
        <f t="shared" si="170"/>
        <v>3.2970717324875541E-12</v>
      </c>
      <c r="CB162" s="20">
        <f t="shared" si="171"/>
        <v>6.1663475311105072E-12</v>
      </c>
      <c r="CC162" s="59">
        <f t="shared" si="119"/>
        <v>287.6606695583751</v>
      </c>
      <c r="CD162" s="59">
        <f ca="1">AVERAGE(OFFSET($CC$3,0,0,'Données projet'!$E$12+1,1))-AVERAGE(OFFSET($H$3,0,0,'Données projet'!$E$12+1,1))</f>
        <v>486.36097333679697</v>
      </c>
      <c r="CE162" s="59">
        <f t="shared" si="148"/>
        <v>308.47736602748159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37.247541500906394</v>
      </c>
      <c r="CL162" s="21">
        <f>EXP(-LN(2)/25)*CL161+(1-EXP(-LN(2)/25))/(LN(2)/25)*Calculateur!CG162*Calculateur!CI162*VLOOKUP('Données projet'!$B$12,Paramètres!$A$1:$I$89,3,0)*0.475*44/12</f>
        <v>26.941730664434871</v>
      </c>
      <c r="CM162" s="21">
        <f>EXP(-LN(2)/2)*CM161+(1-EXP(-LN(2)/2))/(LN(2)/2)*CG162*CJ162*VLOOKUP('Données projet'!$B$12,Paramètres!$A$1:$I$89,3,0)*0.475*44/12</f>
        <v>1.5472772209094809E-3</v>
      </c>
      <c r="CN162" s="22">
        <f t="shared" si="172"/>
        <v>64.190819442562173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287.7590775926962</v>
      </c>
      <c r="S163" s="59">
        <f ca="1">AVERAGE(OFFSET($R$3,0,0,'Données projet'!$E$9+1,1))-AVERAGE(OFFSET($H$3,0,0,'Données projet'!$E$9+1,1))</f>
        <v>407.05634973057056</v>
      </c>
      <c r="T163" s="59">
        <f t="shared" si="142"/>
        <v>375.32891954889965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3.979039320256561E-13</v>
      </c>
      <c r="AJ163" s="13">
        <f>AI163*VLOOKUP('Données projet'!$B$10,Paramètres!$A$1:$I$89,3,0)*VLOOKUP('Données projet'!$B$10,Paramètres!$A$1:$I$89,5,0)</f>
        <v>3.6002347769681362E-13</v>
      </c>
      <c r="AK163" s="13">
        <f t="shared" si="164"/>
        <v>4.6593569189922594E-12</v>
      </c>
      <c r="AL163" s="20">
        <f t="shared" si="165"/>
        <v>8.7420875242334695E-12</v>
      </c>
      <c r="AM163" s="59">
        <f t="shared" si="113"/>
        <v>287.75907759269711</v>
      </c>
      <c r="AN163" s="59">
        <f ca="1">AVERAGE(OFFSET($AM$3,0,0,'Données projet'!$E$10+1,1))-AVERAGE(OFFSET($H$3,0,0,'Données projet'!$E$10+1,1))</f>
        <v>737.40414421611001</v>
      </c>
      <c r="AO163" s="59">
        <f t="shared" si="144"/>
        <v>245.32893490531674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170.85503874793463</v>
      </c>
      <c r="AV163" s="21">
        <f>EXP(-LN(2)/25)*AV162+(1-EXP(-LN(2)/25))/(LN(2)/25)*Calculateur!AQ163*Calculateur!AS163*VLOOKUP('Données projet'!$B$10,Paramètres!$A$1:$I$89,3,0)*0.475*44/12</f>
        <v>29.583249935821243</v>
      </c>
      <c r="AW163" s="21">
        <f>EXP(-LN(2)/2)*AW162+(1-EXP(-LN(2)/2))/(LN(2)/2)*AQ163*AT163*VLOOKUP('Données projet'!$B$10,Paramètres!$A$1:$I$89,3,0)*0.475*44/12</f>
        <v>8.0484823564451951</v>
      </c>
      <c r="AX163" s="21">
        <f t="shared" si="166"/>
        <v>208.48677104020106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4.7884896048344674E-14</v>
      </c>
      <c r="BF163" s="13">
        <f t="shared" si="167"/>
        <v>7.8374629847779921E-13</v>
      </c>
      <c r="BG163" s="20">
        <f t="shared" si="168"/>
        <v>1.4484243304663672E-12</v>
      </c>
      <c r="BH163" s="59">
        <f t="shared" si="116"/>
        <v>287.75907759268978</v>
      </c>
      <c r="BI163" s="59">
        <f ca="1">AVERAGE(OFFSET($BH$3,0,0,'Données projet'!$E$11+1,1))-AVERAGE(OFFSET($H$3,0,0,'Données projet'!$E$11+1,1))</f>
        <v>456.35333554128226</v>
      </c>
      <c r="BJ163" s="59">
        <f t="shared" si="146"/>
        <v>296.4517290984877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41.988245878919486</v>
      </c>
      <c r="BQ163" s="21">
        <f>EXP(-LN(2)/25)*BQ162+(1-EXP(-LN(2)/25))/(LN(2)/25)*Calculateur!BL163*Calculateur!BN163*VLOOKUP('Données projet'!$B$11,Paramètres!$A$1:$I$89,3,0)*0.475*44/12</f>
        <v>6.26065993084939</v>
      </c>
      <c r="BR163" s="21">
        <f>EXP(-LN(2)/2)*BR162+(1-EXP(-LN(2)/2))/(LN(2)/2)*BL163*BO163*VLOOKUP('Données projet'!$B$11,Paramètres!$A$1:$I$89,3,0)*0.475*44/12</f>
        <v>5.5305835045585675E-8</v>
      </c>
      <c r="BS163" s="22">
        <f t="shared" si="169"/>
        <v>48.248905865074711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2.5579538487363607E-13</v>
      </c>
      <c r="BZ163" s="13">
        <f>BY163*VLOOKUP('Données projet'!$B$12,Paramètres!$A$1:$I$89,3,0)*VLOOKUP('Données projet'!$B$12,Paramètres!$A$1:$I$89,5,0)</f>
        <v>2.4341488824575211E-13</v>
      </c>
      <c r="CA163" s="13">
        <f t="shared" si="170"/>
        <v>3.2970717324875541E-12</v>
      </c>
      <c r="CB163" s="20">
        <f t="shared" si="171"/>
        <v>6.1663475311105072E-12</v>
      </c>
      <c r="CC163" s="59">
        <f t="shared" si="119"/>
        <v>287.7590775926945</v>
      </c>
      <c r="CD163" s="59">
        <f ca="1">AVERAGE(OFFSET($CC$3,0,0,'Données projet'!$E$12+1,1))-AVERAGE(OFFSET($H$3,0,0,'Données projet'!$E$12+1,1))</f>
        <v>486.36097333679697</v>
      </c>
      <c r="CE163" s="59">
        <f t="shared" si="148"/>
        <v>308.47736602748159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36.517139930830645</v>
      </c>
      <c r="CL163" s="21">
        <f>EXP(-LN(2)/25)*CL162+(1-EXP(-LN(2)/25))/(LN(2)/25)*Calculateur!CG163*Calculateur!CI163*VLOOKUP('Données projet'!$B$12,Paramètres!$A$1:$I$89,3,0)*0.475*44/12</f>
        <v>26.205007622611859</v>
      </c>
      <c r="CM163" s="21">
        <f>EXP(-LN(2)/2)*CM162+(1-EXP(-LN(2)/2))/(LN(2)/2)*CG163*CJ163*VLOOKUP('Données projet'!$B$12,Paramètres!$A$1:$I$89,3,0)*0.475*44/12</f>
        <v>1.0940902152805697E-3</v>
      </c>
      <c r="CN163" s="22">
        <f t="shared" si="172"/>
        <v>62.723241643657786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287.85577846762754</v>
      </c>
      <c r="S164" s="59">
        <f ca="1">AVERAGE(OFFSET($R$3,0,0,'Données projet'!$E$9+1,1))-AVERAGE(OFFSET($H$3,0,0,'Données projet'!$E$9+1,1))</f>
        <v>407.05634973057056</v>
      </c>
      <c r="T164" s="59">
        <f t="shared" si="142"/>
        <v>375.32891954889965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3.979039320256561E-13</v>
      </c>
      <c r="AJ164" s="13">
        <f>AI164*VLOOKUP('Données projet'!$B$10,Paramètres!$A$1:$I$89,3,0)*VLOOKUP('Données projet'!$B$10,Paramètres!$A$1:$I$89,5,0)</f>
        <v>3.6002347769681362E-13</v>
      </c>
      <c r="AK164" s="13">
        <f t="shared" si="164"/>
        <v>4.6593569189922594E-12</v>
      </c>
      <c r="AL164" s="20">
        <f t="shared" si="165"/>
        <v>8.7420875242334695E-12</v>
      </c>
      <c r="AM164" s="59">
        <f t="shared" si="113"/>
        <v>287.85577846762845</v>
      </c>
      <c r="AN164" s="59">
        <f ca="1">AVERAGE(OFFSET($AM$3,0,0,'Données projet'!$E$10+1,1))-AVERAGE(OFFSET($H$3,0,0,'Données projet'!$E$10+1,1))</f>
        <v>737.40414421611001</v>
      </c>
      <c r="AO164" s="59">
        <f t="shared" si="144"/>
        <v>245.32893490531674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167.50467564937125</v>
      </c>
      <c r="AV164" s="21">
        <f>EXP(-LN(2)/25)*AV163+(1-EXP(-LN(2)/25))/(LN(2)/25)*Calculateur!AQ164*Calculateur!AS164*VLOOKUP('Données projet'!$B$10,Paramètres!$A$1:$I$89,3,0)*0.475*44/12</f>
        <v>28.774294410610711</v>
      </c>
      <c r="AW164" s="21">
        <f>EXP(-LN(2)/2)*AW163+(1-EXP(-LN(2)/2))/(LN(2)/2)*AQ164*AT164*VLOOKUP('Données projet'!$B$10,Paramètres!$A$1:$I$89,3,0)*0.475*44/12</f>
        <v>5.6911364525026817</v>
      </c>
      <c r="AX164" s="21">
        <f t="shared" si="166"/>
        <v>201.97010651248465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4.7884896048344674E-14</v>
      </c>
      <c r="BF164" s="13">
        <f t="shared" si="167"/>
        <v>7.8374629847779921E-13</v>
      </c>
      <c r="BG164" s="20">
        <f t="shared" si="168"/>
        <v>1.4484243304663672E-12</v>
      </c>
      <c r="BH164" s="59">
        <f t="shared" si="116"/>
        <v>287.85577846762112</v>
      </c>
      <c r="BI164" s="59">
        <f ca="1">AVERAGE(OFFSET($BH$3,0,0,'Données projet'!$E$11+1,1))-AVERAGE(OFFSET($H$3,0,0,'Données projet'!$E$11+1,1))</f>
        <v>456.35333554128226</v>
      </c>
      <c r="BJ164" s="59">
        <f t="shared" si="146"/>
        <v>296.4517290984877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41.164881987535054</v>
      </c>
      <c r="BQ164" s="21">
        <f>EXP(-LN(2)/25)*BQ163+(1-EXP(-LN(2)/25))/(LN(2)/25)*Calculateur!BL164*Calculateur!BN164*VLOOKUP('Données projet'!$B$11,Paramètres!$A$1:$I$89,3,0)*0.475*44/12</f>
        <v>6.0894618558065163</v>
      </c>
      <c r="BR164" s="21">
        <f>EXP(-LN(2)/2)*BR163+(1-EXP(-LN(2)/2))/(LN(2)/2)*BL164*BO164*VLOOKUP('Données projet'!$B$11,Paramètres!$A$1:$I$89,3,0)*0.475*44/12</f>
        <v>3.9107130999918241E-8</v>
      </c>
      <c r="BS164" s="22">
        <f t="shared" si="169"/>
        <v>47.254343882448701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2.5579538487363607E-13</v>
      </c>
      <c r="BZ164" s="13">
        <f>BY164*VLOOKUP('Données projet'!$B$12,Paramètres!$A$1:$I$89,3,0)*VLOOKUP('Données projet'!$B$12,Paramètres!$A$1:$I$89,5,0)</f>
        <v>2.4341488824575211E-13</v>
      </c>
      <c r="CA164" s="13">
        <f t="shared" si="170"/>
        <v>3.2970717324875541E-12</v>
      </c>
      <c r="CB164" s="20">
        <f t="shared" si="171"/>
        <v>6.1663475311105072E-12</v>
      </c>
      <c r="CC164" s="59">
        <f t="shared" si="119"/>
        <v>287.85577846762584</v>
      </c>
      <c r="CD164" s="59">
        <f ca="1">AVERAGE(OFFSET($CC$3,0,0,'Données projet'!$E$12+1,1))-AVERAGE(OFFSET($H$3,0,0,'Données projet'!$E$12+1,1))</f>
        <v>486.36097333679697</v>
      </c>
      <c r="CE164" s="59">
        <f t="shared" si="148"/>
        <v>308.47736602748159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35.801061090043113</v>
      </c>
      <c r="CL164" s="21">
        <f>EXP(-LN(2)/25)*CL163+(1-EXP(-LN(2)/25))/(LN(2)/25)*Calculateur!CG164*Calculateur!CI164*VLOOKUP('Données projet'!$B$12,Paramètres!$A$1:$I$89,3,0)*0.475*44/12</f>
        <v>25.488430311110079</v>
      </c>
      <c r="CM164" s="21">
        <f>EXP(-LN(2)/2)*CM163+(1-EXP(-LN(2)/2))/(LN(2)/2)*CG164*CJ164*VLOOKUP('Données projet'!$B$12,Paramètres!$A$1:$I$89,3,0)*0.475*44/12</f>
        <v>7.7363861045474046E-4</v>
      </c>
      <c r="CN164" s="22">
        <f t="shared" si="172"/>
        <v>61.290265039763646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287.95080179856956</v>
      </c>
      <c r="S165" s="59">
        <f ca="1">AVERAGE(OFFSET($R$3,0,0,'Données projet'!$E$9+1,1))-AVERAGE(OFFSET($H$3,0,0,'Données projet'!$E$9+1,1))</f>
        <v>407.05634973057056</v>
      </c>
      <c r="T165" s="59">
        <f t="shared" si="142"/>
        <v>375.32891954889965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3.979039320256561E-13</v>
      </c>
      <c r="AJ165" s="13">
        <f>AI165*VLOOKUP('Données projet'!$B$10,Paramètres!$A$1:$I$89,3,0)*VLOOKUP('Données projet'!$B$10,Paramètres!$A$1:$I$89,5,0)</f>
        <v>3.6002347769681362E-13</v>
      </c>
      <c r="AK165" s="13">
        <f t="shared" si="164"/>
        <v>4.6593569189922594E-12</v>
      </c>
      <c r="AL165" s="20">
        <f t="shared" si="165"/>
        <v>8.7420875242334695E-12</v>
      </c>
      <c r="AM165" s="59">
        <f t="shared" si="113"/>
        <v>287.95080179857047</v>
      </c>
      <c r="AN165" s="59">
        <f ca="1">AVERAGE(OFFSET($AM$3,0,0,'Données projet'!$E$10+1,1))-AVERAGE(OFFSET($H$3,0,0,'Données projet'!$E$10+1,1))</f>
        <v>737.40414421611001</v>
      </c>
      <c r="AO165" s="59">
        <f t="shared" si="144"/>
        <v>245.32893490531674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164.22001112765099</v>
      </c>
      <c r="AV165" s="21">
        <f>EXP(-LN(2)/25)*AV164+(1-EXP(-LN(2)/25))/(LN(2)/25)*Calculateur!AQ165*Calculateur!AS165*VLOOKUP('Données projet'!$B$10,Paramètres!$A$1:$I$89,3,0)*0.475*44/12</f>
        <v>27.987459816778184</v>
      </c>
      <c r="AW165" s="21">
        <f>EXP(-LN(2)/2)*AW164+(1-EXP(-LN(2)/2))/(LN(2)/2)*AQ165*AT165*VLOOKUP('Données projet'!$B$10,Paramètres!$A$1:$I$89,3,0)*0.475*44/12</f>
        <v>4.0242411782225984</v>
      </c>
      <c r="AX165" s="21">
        <f t="shared" si="166"/>
        <v>196.2317121226518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4.7884896048344674E-14</v>
      </c>
      <c r="BF165" s="13">
        <f t="shared" si="167"/>
        <v>7.8374629847779921E-13</v>
      </c>
      <c r="BG165" s="20">
        <f t="shared" si="168"/>
        <v>1.4484243304663672E-12</v>
      </c>
      <c r="BH165" s="59">
        <f t="shared" si="116"/>
        <v>287.95080179856313</v>
      </c>
      <c r="BI165" s="59">
        <f ca="1">AVERAGE(OFFSET($BH$3,0,0,'Données projet'!$E$11+1,1))-AVERAGE(OFFSET($H$3,0,0,'Données projet'!$E$11+1,1))</f>
        <v>456.35333554128226</v>
      </c>
      <c r="BJ165" s="59">
        <f t="shared" si="146"/>
        <v>296.4517290984877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40.357663759858283</v>
      </c>
      <c r="BQ165" s="21">
        <f>EXP(-LN(2)/25)*BQ164+(1-EXP(-LN(2)/25))/(LN(2)/25)*Calculateur!BL165*Calculateur!BN165*VLOOKUP('Données projet'!$B$11,Paramètres!$A$1:$I$89,3,0)*0.475*44/12</f>
        <v>5.9229452011286057</v>
      </c>
      <c r="BR165" s="21">
        <f>EXP(-LN(2)/2)*BR164+(1-EXP(-LN(2)/2))/(LN(2)/2)*BL165*BO165*VLOOKUP('Données projet'!$B$11,Paramètres!$A$1:$I$89,3,0)*0.475*44/12</f>
        <v>2.7652917522792837E-8</v>
      </c>
      <c r="BS165" s="22">
        <f t="shared" si="169"/>
        <v>46.280608988639806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2.5579538487363607E-13</v>
      </c>
      <c r="BZ165" s="13">
        <f>BY165*VLOOKUP('Données projet'!$B$12,Paramètres!$A$1:$I$89,3,0)*VLOOKUP('Données projet'!$B$12,Paramètres!$A$1:$I$89,5,0)</f>
        <v>2.4341488824575211E-13</v>
      </c>
      <c r="CA165" s="13">
        <f t="shared" si="170"/>
        <v>3.2970717324875541E-12</v>
      </c>
      <c r="CB165" s="20">
        <f t="shared" si="171"/>
        <v>6.1663475311105072E-12</v>
      </c>
      <c r="CC165" s="59">
        <f t="shared" si="119"/>
        <v>287.95080179856785</v>
      </c>
      <c r="CD165" s="59">
        <f ca="1">AVERAGE(OFFSET($CC$3,0,0,'Données projet'!$E$12+1,1))-AVERAGE(OFFSET($H$3,0,0,'Données projet'!$E$12+1,1))</f>
        <v>486.36097333679697</v>
      </c>
      <c r="CE165" s="59">
        <f t="shared" si="148"/>
        <v>308.47736602748159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35.099024118558461</v>
      </c>
      <c r="CL165" s="21">
        <f>EXP(-LN(2)/25)*CL164+(1-EXP(-LN(2)/25))/(LN(2)/25)*Calculateur!CG165*Calculateur!CI165*VLOOKUP('Données projet'!$B$12,Paramètres!$A$1:$I$89,3,0)*0.475*44/12</f>
        <v>24.791447843874479</v>
      </c>
      <c r="CM165" s="21">
        <f>EXP(-LN(2)/2)*CM164+(1-EXP(-LN(2)/2))/(LN(2)/2)*CG165*CJ165*VLOOKUP('Données projet'!$B$12,Paramètres!$A$1:$I$89,3,0)*0.475*44/12</f>
        <v>5.4704510764028483E-4</v>
      </c>
      <c r="CN165" s="22">
        <f t="shared" si="172"/>
        <v>59.891019007540578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288.04417668716007</v>
      </c>
      <c r="S166" s="59">
        <f ca="1">AVERAGE(OFFSET($R$3,0,0,'Données projet'!$E$9+1,1))-AVERAGE(OFFSET($H$3,0,0,'Données projet'!$E$9+1,1))</f>
        <v>407.05634973057056</v>
      </c>
      <c r="T166" s="59">
        <f t="shared" si="142"/>
        <v>375.32891954889965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3.979039320256561E-13</v>
      </c>
      <c r="AJ166" s="13">
        <f>AI166*VLOOKUP('Données projet'!$B$10,Paramètres!$A$1:$I$89,3,0)*VLOOKUP('Données projet'!$B$10,Paramètres!$A$1:$I$89,5,0)</f>
        <v>3.6002347769681362E-13</v>
      </c>
      <c r="AK166" s="13">
        <f t="shared" si="164"/>
        <v>4.6593569189922594E-12</v>
      </c>
      <c r="AL166" s="20">
        <f t="shared" si="165"/>
        <v>8.7420875242334695E-12</v>
      </c>
      <c r="AM166" s="59">
        <f t="shared" si="113"/>
        <v>288.04417668716098</v>
      </c>
      <c r="AN166" s="59">
        <f ca="1">AVERAGE(OFFSET($AM$3,0,0,'Données projet'!$E$10+1,1))-AVERAGE(OFFSET($H$3,0,0,'Données projet'!$E$10+1,1))</f>
        <v>737.40414421611001</v>
      </c>
      <c r="AO166" s="59">
        <f t="shared" si="144"/>
        <v>245.32893490531674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160.99975687375414</v>
      </c>
      <c r="AV166" s="21">
        <f>EXP(-LN(2)/25)*AV165+(1-EXP(-LN(2)/25))/(LN(2)/25)*Calculateur!AQ166*Calculateur!AS166*VLOOKUP('Données projet'!$B$10,Paramètres!$A$1:$I$89,3,0)*0.475*44/12</f>
        <v>27.222141256291838</v>
      </c>
      <c r="AW166" s="21">
        <f>EXP(-LN(2)/2)*AW165+(1-EXP(-LN(2)/2))/(LN(2)/2)*AQ166*AT166*VLOOKUP('Données projet'!$B$10,Paramètres!$A$1:$I$89,3,0)*0.475*44/12</f>
        <v>2.8455682262513413</v>
      </c>
      <c r="AX166" s="21">
        <f t="shared" si="166"/>
        <v>191.06746635629733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4.7884896048344674E-14</v>
      </c>
      <c r="BF166" s="13">
        <f t="shared" si="167"/>
        <v>7.8374629847779921E-13</v>
      </c>
      <c r="BG166" s="20">
        <f t="shared" si="168"/>
        <v>1.4484243304663672E-12</v>
      </c>
      <c r="BH166" s="59">
        <f t="shared" si="116"/>
        <v>288.04417668715365</v>
      </c>
      <c r="BI166" s="59">
        <f ca="1">AVERAGE(OFFSET($BH$3,0,0,'Données projet'!$E$11+1,1))-AVERAGE(OFFSET($H$3,0,0,'Données projet'!$E$11+1,1))</f>
        <v>456.35333554128226</v>
      </c>
      <c r="BJ166" s="59">
        <f t="shared" si="146"/>
        <v>296.4517290984877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39.566274589271757</v>
      </c>
      <c r="BQ166" s="21">
        <f>EXP(-LN(2)/25)*BQ165+(1-EXP(-LN(2)/25))/(LN(2)/25)*Calculateur!BL166*Calculateur!BN166*VLOOKUP('Données projet'!$B$11,Paramètres!$A$1:$I$89,3,0)*0.475*44/12</f>
        <v>5.7609819531295932</v>
      </c>
      <c r="BR166" s="21">
        <f>EXP(-LN(2)/2)*BR165+(1-EXP(-LN(2)/2))/(LN(2)/2)*BL166*BO166*VLOOKUP('Données projet'!$B$11,Paramètres!$A$1:$I$89,3,0)*0.475*44/12</f>
        <v>1.955356549995912E-8</v>
      </c>
      <c r="BS166" s="22">
        <f t="shared" si="169"/>
        <v>45.327256561954918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2.5579538487363607E-13</v>
      </c>
      <c r="BZ166" s="13">
        <f>BY166*VLOOKUP('Données projet'!$B$12,Paramètres!$A$1:$I$89,3,0)*VLOOKUP('Données projet'!$B$12,Paramètres!$A$1:$I$89,5,0)</f>
        <v>2.4341488824575211E-13</v>
      </c>
      <c r="CA166" s="13">
        <f t="shared" si="170"/>
        <v>3.2970717324875541E-12</v>
      </c>
      <c r="CB166" s="20">
        <f t="shared" si="171"/>
        <v>6.1663475311105072E-12</v>
      </c>
      <c r="CC166" s="59">
        <f t="shared" si="119"/>
        <v>288.04417668715837</v>
      </c>
      <c r="CD166" s="59">
        <f ca="1">AVERAGE(OFFSET($CC$3,0,0,'Données projet'!$E$12+1,1))-AVERAGE(OFFSET($H$3,0,0,'Données projet'!$E$12+1,1))</f>
        <v>486.36097333679697</v>
      </c>
      <c r="CE166" s="59">
        <f t="shared" si="148"/>
        <v>308.47736602748159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34.41075366388435</v>
      </c>
      <c r="CL166" s="21">
        <f>EXP(-LN(2)/25)*CL165+(1-EXP(-LN(2)/25))/(LN(2)/25)*Calculateur!CG166*Calculateur!CI166*VLOOKUP('Données projet'!$B$12,Paramètres!$A$1:$I$89,3,0)*0.475*44/12</f>
        <v>24.11352439885815</v>
      </c>
      <c r="CM166" s="21">
        <f>EXP(-LN(2)/2)*CM165+(1-EXP(-LN(2)/2))/(LN(2)/2)*CG166*CJ166*VLOOKUP('Données projet'!$B$12,Paramètres!$A$1:$I$89,3,0)*0.475*44/12</f>
        <v>3.8681930522737023E-4</v>
      </c>
      <c r="CN166" s="22">
        <f t="shared" si="172"/>
        <v>58.524664882047723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288.13593173018853</v>
      </c>
      <c r="S167" s="59">
        <f ca="1">AVERAGE(OFFSET($R$3,0,0,'Données projet'!$E$9+1,1))-AVERAGE(OFFSET($H$3,0,0,'Données projet'!$E$9+1,1))</f>
        <v>407.05634973057056</v>
      </c>
      <c r="T167" s="59">
        <f t="shared" si="142"/>
        <v>375.32891954889965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3.979039320256561E-13</v>
      </c>
      <c r="AJ167" s="13">
        <f>AI167*VLOOKUP('Données projet'!$B$10,Paramètres!$A$1:$I$89,3,0)*VLOOKUP('Données projet'!$B$10,Paramètres!$A$1:$I$89,5,0)</f>
        <v>3.6002347769681362E-13</v>
      </c>
      <c r="AK167" s="13">
        <f t="shared" si="164"/>
        <v>4.6593569189922594E-12</v>
      </c>
      <c r="AL167" s="20">
        <f t="shared" si="165"/>
        <v>8.7420875242334695E-12</v>
      </c>
      <c r="AM167" s="59">
        <f t="shared" si="113"/>
        <v>288.13593173018944</v>
      </c>
      <c r="AN167" s="59">
        <f ca="1">AVERAGE(OFFSET($AM$3,0,0,'Données projet'!$E$10+1,1))-AVERAGE(OFFSET($H$3,0,0,'Données projet'!$E$10+1,1))</f>
        <v>737.40414421611001</v>
      </c>
      <c r="AO167" s="59">
        <f t="shared" si="144"/>
        <v>245.32893490531674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157.84264984161504</v>
      </c>
      <c r="AV167" s="21">
        <f>EXP(-LN(2)/25)*AV166+(1-EXP(-LN(2)/25))/(LN(2)/25)*Calculateur!AQ167*Calculateur!AS167*VLOOKUP('Données projet'!$B$10,Paramètres!$A$1:$I$89,3,0)*0.475*44/12</f>
        <v>26.477750372088344</v>
      </c>
      <c r="AW167" s="21">
        <f>EXP(-LN(2)/2)*AW166+(1-EXP(-LN(2)/2))/(LN(2)/2)*AQ167*AT167*VLOOKUP('Données projet'!$B$10,Paramètres!$A$1:$I$89,3,0)*0.475*44/12</f>
        <v>2.0121205891112997</v>
      </c>
      <c r="AX167" s="21">
        <f t="shared" si="166"/>
        <v>186.33252080281468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4.7884896048344674E-14</v>
      </c>
      <c r="BF167" s="13">
        <f t="shared" si="167"/>
        <v>7.8374629847779921E-13</v>
      </c>
      <c r="BG167" s="20">
        <f t="shared" si="168"/>
        <v>1.4484243304663672E-12</v>
      </c>
      <c r="BH167" s="59">
        <f t="shared" si="116"/>
        <v>288.13593173018211</v>
      </c>
      <c r="BI167" s="59">
        <f ca="1">AVERAGE(OFFSET($BH$3,0,0,'Données projet'!$E$11+1,1))-AVERAGE(OFFSET($H$3,0,0,'Données projet'!$E$11+1,1))</f>
        <v>456.35333554128226</v>
      </c>
      <c r="BJ167" s="59">
        <f t="shared" si="146"/>
        <v>296.4517290984877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38.7904040776207</v>
      </c>
      <c r="BQ167" s="21">
        <f>EXP(-LN(2)/25)*BQ166+(1-EXP(-LN(2)/25))/(LN(2)/25)*Calculateur!BL167*Calculateur!BN167*VLOOKUP('Données projet'!$B$11,Paramètres!$A$1:$I$89,3,0)*0.475*44/12</f>
        <v>5.6034475986643901</v>
      </c>
      <c r="BR167" s="21">
        <f>EXP(-LN(2)/2)*BR166+(1-EXP(-LN(2)/2))/(LN(2)/2)*BL167*BO167*VLOOKUP('Données projet'!$B$11,Paramètres!$A$1:$I$89,3,0)*0.475*44/12</f>
        <v>1.3826458761396419E-8</v>
      </c>
      <c r="BS167" s="22">
        <f t="shared" si="169"/>
        <v>44.393851690111546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2.5579538487363607E-13</v>
      </c>
      <c r="BZ167" s="13">
        <f>BY167*VLOOKUP('Données projet'!$B$12,Paramètres!$A$1:$I$89,3,0)*VLOOKUP('Données projet'!$B$12,Paramètres!$A$1:$I$89,5,0)</f>
        <v>2.4341488824575211E-13</v>
      </c>
      <c r="CA167" s="13">
        <f t="shared" si="170"/>
        <v>3.2970717324875541E-12</v>
      </c>
      <c r="CB167" s="20">
        <f t="shared" si="171"/>
        <v>6.1663475311105072E-12</v>
      </c>
      <c r="CC167" s="59">
        <f t="shared" si="119"/>
        <v>288.13593173018683</v>
      </c>
      <c r="CD167" s="59">
        <f ca="1">AVERAGE(OFFSET($CC$3,0,0,'Données projet'!$E$12+1,1))-AVERAGE(OFFSET($H$3,0,0,'Données projet'!$E$12+1,1))</f>
        <v>486.36097333679697</v>
      </c>
      <c r="CE167" s="59">
        <f t="shared" si="148"/>
        <v>308.47736602748159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33.735979773022869</v>
      </c>
      <c r="CL167" s="21">
        <f>EXP(-LN(2)/25)*CL166+(1-EXP(-LN(2)/25))/(LN(2)/25)*Calculateur!CG167*Calculateur!CI167*VLOOKUP('Données projet'!$B$12,Paramètres!$A$1:$I$89,3,0)*0.475*44/12</f>
        <v>23.454138806096239</v>
      </c>
      <c r="CM167" s="21">
        <f>EXP(-LN(2)/2)*CM166+(1-EXP(-LN(2)/2))/(LN(2)/2)*CG167*CJ167*VLOOKUP('Données projet'!$B$12,Paramètres!$A$1:$I$89,3,0)*0.475*44/12</f>
        <v>2.7352255382014242E-4</v>
      </c>
      <c r="CN167" s="22">
        <f t="shared" si="172"/>
        <v>57.190392101672927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288.226095028354</v>
      </c>
      <c r="S168" s="59">
        <f ca="1">AVERAGE(OFFSET($R$3,0,0,'Données projet'!$E$9+1,1))-AVERAGE(OFFSET($H$3,0,0,'Données projet'!$E$9+1,1))</f>
        <v>407.05634973057056</v>
      </c>
      <c r="T168" s="59">
        <f t="shared" si="142"/>
        <v>375.32891954889965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3.979039320256561E-13</v>
      </c>
      <c r="AJ168" s="13">
        <f>AI168*VLOOKUP('Données projet'!$B$10,Paramètres!$A$1:$I$89,3,0)*VLOOKUP('Données projet'!$B$10,Paramètres!$A$1:$I$89,5,0)</f>
        <v>3.6002347769681362E-13</v>
      </c>
      <c r="AK168" s="13">
        <f t="shared" si="164"/>
        <v>4.6593569189922594E-12</v>
      </c>
      <c r="AL168" s="20">
        <f t="shared" si="165"/>
        <v>8.7420875242334695E-12</v>
      </c>
      <c r="AM168" s="59">
        <f t="shared" si="113"/>
        <v>288.22609502835491</v>
      </c>
      <c r="AN168" s="59">
        <f ca="1">AVERAGE(OFFSET($AM$3,0,0,'Données projet'!$E$10+1,1))-AVERAGE(OFFSET($H$3,0,0,'Données projet'!$E$10+1,1))</f>
        <v>737.40414421611001</v>
      </c>
      <c r="AO168" s="59">
        <f t="shared" si="144"/>
        <v>245.32893490531674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154.74745175273105</v>
      </c>
      <c r="AV168" s="21">
        <f>EXP(-LN(2)/25)*AV167+(1-EXP(-LN(2)/25))/(LN(2)/25)*Calculateur!AQ168*Calculateur!AS168*VLOOKUP('Données projet'!$B$10,Paramètres!$A$1:$I$89,3,0)*0.475*44/12</f>
        <v>25.753714895759213</v>
      </c>
      <c r="AW168" s="21">
        <f>EXP(-LN(2)/2)*AW167+(1-EXP(-LN(2)/2))/(LN(2)/2)*AQ168*AT168*VLOOKUP('Données projet'!$B$10,Paramètres!$A$1:$I$89,3,0)*0.475*44/12</f>
        <v>1.4227841131256709</v>
      </c>
      <c r="AX168" s="21">
        <f t="shared" si="166"/>
        <v>181.92395076161591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4.7884896048344674E-14</v>
      </c>
      <c r="BF168" s="13">
        <f t="shared" si="167"/>
        <v>7.8374629847779921E-13</v>
      </c>
      <c r="BG168" s="20">
        <f t="shared" si="168"/>
        <v>1.4484243304663672E-12</v>
      </c>
      <c r="BH168" s="59">
        <f t="shared" si="116"/>
        <v>288.22609502834757</v>
      </c>
      <c r="BI168" s="59">
        <f ca="1">AVERAGE(OFFSET($BH$3,0,0,'Données projet'!$E$11+1,1))-AVERAGE(OFFSET($H$3,0,0,'Données projet'!$E$11+1,1))</f>
        <v>456.35333554128226</v>
      </c>
      <c r="BJ168" s="59">
        <f t="shared" si="146"/>
        <v>296.4517290984877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38.029747913468832</v>
      </c>
      <c r="BQ168" s="21">
        <f>EXP(-LN(2)/25)*BQ167+(1-EXP(-LN(2)/25))/(LN(2)/25)*Calculateur!BL168*Calculateur!BN168*VLOOKUP('Données projet'!$B$11,Paramètres!$A$1:$I$89,3,0)*0.475*44/12</f>
        <v>5.4502210294064097</v>
      </c>
      <c r="BR168" s="21">
        <f>EXP(-LN(2)/2)*BR167+(1-EXP(-LN(2)/2))/(LN(2)/2)*BL168*BO168*VLOOKUP('Données projet'!$B$11,Paramètres!$A$1:$I$89,3,0)*0.475*44/12</f>
        <v>9.7767827499795602E-9</v>
      </c>
      <c r="BS168" s="22">
        <f t="shared" si="169"/>
        <v>43.479968952652023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2.5579538487363607E-13</v>
      </c>
      <c r="BZ168" s="13">
        <f>BY168*VLOOKUP('Données projet'!$B$12,Paramètres!$A$1:$I$89,3,0)*VLOOKUP('Données projet'!$B$12,Paramètres!$A$1:$I$89,5,0)</f>
        <v>2.4341488824575211E-13</v>
      </c>
      <c r="CA168" s="13">
        <f t="shared" si="170"/>
        <v>3.2970717324875541E-12</v>
      </c>
      <c r="CB168" s="20">
        <f t="shared" si="171"/>
        <v>6.1663475311105072E-12</v>
      </c>
      <c r="CC168" s="59">
        <f t="shared" si="119"/>
        <v>288.22609502835229</v>
      </c>
      <c r="CD168" s="59">
        <f ca="1">AVERAGE(OFFSET($CC$3,0,0,'Données projet'!$E$12+1,1))-AVERAGE(OFFSET($H$3,0,0,'Données projet'!$E$12+1,1))</f>
        <v>486.36097333679697</v>
      </c>
      <c r="CE168" s="59">
        <f t="shared" si="148"/>
        <v>308.47736602748159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33.074437786589748</v>
      </c>
      <c r="CL168" s="21">
        <f>EXP(-LN(2)/25)*CL167+(1-EXP(-LN(2)/25))/(LN(2)/25)*Calculateur!CG168*Calculateur!CI168*VLOOKUP('Données projet'!$B$12,Paramètres!$A$1:$I$89,3,0)*0.475*44/12</f>
        <v>22.812784147043981</v>
      </c>
      <c r="CM168" s="21">
        <f>EXP(-LN(2)/2)*CM167+(1-EXP(-LN(2)/2))/(LN(2)/2)*CG168*CJ168*VLOOKUP('Données projet'!$B$12,Paramètres!$A$1:$I$89,3,0)*0.475*44/12</f>
        <v>1.9340965261368512E-4</v>
      </c>
      <c r="CN168" s="22">
        <f t="shared" si="172"/>
        <v>55.887415343286342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288.31469419487127</v>
      </c>
      <c r="S169" s="59">
        <f ca="1">AVERAGE(OFFSET($R$3,0,0,'Données projet'!$E$9+1,1))-AVERAGE(OFFSET($H$3,0,0,'Données projet'!$E$9+1,1))</f>
        <v>407.05634973057056</v>
      </c>
      <c r="T169" s="59">
        <f t="shared" si="142"/>
        <v>375.32891954889965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3.979039320256561E-13</v>
      </c>
      <c r="AJ169" s="13">
        <f>AI169*VLOOKUP('Données projet'!$B$10,Paramètres!$A$1:$I$89,3,0)*VLOOKUP('Données projet'!$B$10,Paramètres!$A$1:$I$89,5,0)</f>
        <v>3.6002347769681362E-13</v>
      </c>
      <c r="AK169" s="13">
        <f t="shared" si="164"/>
        <v>4.6593569189922594E-12</v>
      </c>
      <c r="AL169" s="20">
        <f t="shared" si="165"/>
        <v>8.7420875242334695E-12</v>
      </c>
      <c r="AM169" s="59">
        <f t="shared" si="113"/>
        <v>288.31469419487217</v>
      </c>
      <c r="AN169" s="59">
        <f ca="1">AVERAGE(OFFSET($AM$3,0,0,'Données projet'!$E$10+1,1))-AVERAGE(OFFSET($H$3,0,0,'Données projet'!$E$10+1,1))</f>
        <v>737.40414421611001</v>
      </c>
      <c r="AO169" s="59">
        <f t="shared" si="144"/>
        <v>245.32893490531674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151.71294861048565</v>
      </c>
      <c r="AV169" s="21">
        <f>EXP(-LN(2)/25)*AV168+(1-EXP(-LN(2)/25))/(LN(2)/25)*Calculateur!AQ169*Calculateur!AS169*VLOOKUP('Données projet'!$B$10,Paramètres!$A$1:$I$89,3,0)*0.475*44/12</f>
        <v>25.04947820760567</v>
      </c>
      <c r="AW169" s="21">
        <f>EXP(-LN(2)/2)*AW168+(1-EXP(-LN(2)/2))/(LN(2)/2)*AQ169*AT169*VLOOKUP('Données projet'!$B$10,Paramètres!$A$1:$I$89,3,0)*0.475*44/12</f>
        <v>1.0060602945556498</v>
      </c>
      <c r="AX169" s="21">
        <f t="shared" si="166"/>
        <v>177.76848711264697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4.7884896048344674E-14</v>
      </c>
      <c r="BF169" s="13">
        <f t="shared" si="167"/>
        <v>7.8374629847779921E-13</v>
      </c>
      <c r="BG169" s="20">
        <f t="shared" si="168"/>
        <v>1.4484243304663672E-12</v>
      </c>
      <c r="BH169" s="59">
        <f t="shared" si="116"/>
        <v>288.31469419486484</v>
      </c>
      <c r="BI169" s="59">
        <f ca="1">AVERAGE(OFFSET($BH$3,0,0,'Données projet'!$E$11+1,1))-AVERAGE(OFFSET($H$3,0,0,'Données projet'!$E$11+1,1))</f>
        <v>456.35333554128226</v>
      </c>
      <c r="BJ169" s="59">
        <f t="shared" si="146"/>
        <v>296.4517290984877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37.284007752741537</v>
      </c>
      <c r="BQ169" s="21">
        <f>EXP(-LN(2)/25)*BQ168+(1-EXP(-LN(2)/25))/(LN(2)/25)*Calculateur!BL169*Calculateur!BN169*VLOOKUP('Données projet'!$B$11,Paramètres!$A$1:$I$89,3,0)*0.475*44/12</f>
        <v>5.3011844487426245</v>
      </c>
      <c r="BR169" s="21">
        <f>EXP(-LN(2)/2)*BR168+(1-EXP(-LN(2)/2))/(LN(2)/2)*BL169*BO169*VLOOKUP('Données projet'!$B$11,Paramètres!$A$1:$I$89,3,0)*0.475*44/12</f>
        <v>6.9132293806982094E-9</v>
      </c>
      <c r="BS169" s="22">
        <f t="shared" si="169"/>
        <v>42.585192208397395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2.5579538487363607E-13</v>
      </c>
      <c r="BZ169" s="13">
        <f>BY169*VLOOKUP('Données projet'!$B$12,Paramètres!$A$1:$I$89,3,0)*VLOOKUP('Données projet'!$B$12,Paramètres!$A$1:$I$89,5,0)</f>
        <v>2.4341488824575211E-13</v>
      </c>
      <c r="CA169" s="13">
        <f t="shared" si="170"/>
        <v>3.2970717324875541E-12</v>
      </c>
      <c r="CB169" s="20">
        <f t="shared" si="171"/>
        <v>6.1663475311105072E-12</v>
      </c>
      <c r="CC169" s="59">
        <f t="shared" si="119"/>
        <v>288.31469419486956</v>
      </c>
      <c r="CD169" s="59">
        <f ca="1">AVERAGE(OFFSET($CC$3,0,0,'Données projet'!$E$12+1,1))-AVERAGE(OFFSET($H$3,0,0,'Données projet'!$E$12+1,1))</f>
        <v>486.36097333679697</v>
      </c>
      <c r="CE169" s="59">
        <f t="shared" si="148"/>
        <v>308.47736602748159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32.425868235009816</v>
      </c>
      <c r="CL169" s="21">
        <f>EXP(-LN(2)/25)*CL168+(1-EXP(-LN(2)/25))/(LN(2)/25)*Calculateur!CG169*Calculateur!CI169*VLOOKUP('Données projet'!$B$12,Paramètres!$A$1:$I$89,3,0)*0.475*44/12</f>
        <v>22.188967364870884</v>
      </c>
      <c r="CM169" s="21">
        <f>EXP(-LN(2)/2)*CM168+(1-EXP(-LN(2)/2))/(LN(2)/2)*CG169*CJ169*VLOOKUP('Données projet'!$B$12,Paramètres!$A$1:$I$89,3,0)*0.475*44/12</f>
        <v>1.3676127691007121E-4</v>
      </c>
      <c r="CN169" s="22">
        <f t="shared" si="172"/>
        <v>54.614972361157612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288.40175636392746</v>
      </c>
      <c r="S170" s="59">
        <f ca="1">AVERAGE(OFFSET($R$3,0,0,'Données projet'!$E$9+1,1))-AVERAGE(OFFSET($H$3,0,0,'Données projet'!$E$9+1,1))</f>
        <v>407.05634973057056</v>
      </c>
      <c r="T170" s="59">
        <f t="shared" si="142"/>
        <v>375.32891954889965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3.979039320256561E-13</v>
      </c>
      <c r="AJ170" s="13">
        <f>AI170*VLOOKUP('Données projet'!$B$10,Paramètres!$A$1:$I$89,3,0)*VLOOKUP('Données projet'!$B$10,Paramètres!$A$1:$I$89,5,0)</f>
        <v>3.6002347769681362E-13</v>
      </c>
      <c r="AK170" s="13">
        <f t="shared" si="164"/>
        <v>4.6593569189922594E-12</v>
      </c>
      <c r="AL170" s="20">
        <f t="shared" si="165"/>
        <v>8.7420875242334695E-12</v>
      </c>
      <c r="AM170" s="59">
        <f t="shared" si="113"/>
        <v>288.40175636392837</v>
      </c>
      <c r="AN170" s="59">
        <f ca="1">AVERAGE(OFFSET($AM$3,0,0,'Données projet'!$E$10+1,1))-AVERAGE(OFFSET($H$3,0,0,'Données projet'!$E$10+1,1))</f>
        <v>737.40414421611001</v>
      </c>
      <c r="AO170" s="59">
        <f t="shared" si="144"/>
        <v>245.32893490531674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148.73795022399554</v>
      </c>
      <c r="AV170" s="21">
        <f>EXP(-LN(2)/25)*AV169+(1-EXP(-LN(2)/25))/(LN(2)/25)*Calculateur!AQ170*Calculateur!AS170*VLOOKUP('Données projet'!$B$10,Paramètres!$A$1:$I$89,3,0)*0.475*44/12</f>
        <v>24.364498908723885</v>
      </c>
      <c r="AW170" s="21">
        <f>EXP(-LN(2)/2)*AW169+(1-EXP(-LN(2)/2))/(LN(2)/2)*AQ170*AT170*VLOOKUP('Données projet'!$B$10,Paramètres!$A$1:$I$89,3,0)*0.475*44/12</f>
        <v>0.71139205656283544</v>
      </c>
      <c r="AX170" s="21">
        <f t="shared" si="166"/>
        <v>173.81384118928224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4.7884896048344674E-14</v>
      </c>
      <c r="BF170" s="13">
        <f t="shared" si="167"/>
        <v>7.8374629847779921E-13</v>
      </c>
      <c r="BG170" s="20">
        <f t="shared" si="168"/>
        <v>1.4484243304663672E-12</v>
      </c>
      <c r="BH170" s="59">
        <f t="shared" si="116"/>
        <v>288.40175636392104</v>
      </c>
      <c r="BI170" s="59">
        <f ca="1">AVERAGE(OFFSET($BH$3,0,0,'Données projet'!$E$11+1,1))-AVERAGE(OFFSET($H$3,0,0,'Données projet'!$E$11+1,1))</f>
        <v>456.35333554128226</v>
      </c>
      <c r="BJ170" s="59">
        <f t="shared" si="146"/>
        <v>296.4517290984877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36.55289110170952</v>
      </c>
      <c r="BQ170" s="21">
        <f>EXP(-LN(2)/25)*BQ169+(1-EXP(-LN(2)/25))/(LN(2)/25)*Calculateur!BL170*Calculateur!BN170*VLOOKUP('Données projet'!$B$11,Paramètres!$A$1:$I$89,3,0)*0.475*44/12</f>
        <v>5.156223281214583</v>
      </c>
      <c r="BR170" s="21">
        <f>EXP(-LN(2)/2)*BR169+(1-EXP(-LN(2)/2))/(LN(2)/2)*BL170*BO170*VLOOKUP('Données projet'!$B$11,Paramètres!$A$1:$I$89,3,0)*0.475*44/12</f>
        <v>4.8883913749897801E-9</v>
      </c>
      <c r="BS170" s="22">
        <f t="shared" si="169"/>
        <v>41.709114387812491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2.5579538487363607E-13</v>
      </c>
      <c r="BZ170" s="13">
        <f>BY170*VLOOKUP('Données projet'!$B$12,Paramètres!$A$1:$I$89,3,0)*VLOOKUP('Données projet'!$B$12,Paramètres!$A$1:$I$89,5,0)</f>
        <v>2.4341488824575211E-13</v>
      </c>
      <c r="CA170" s="13">
        <f t="shared" si="170"/>
        <v>3.2970717324875541E-12</v>
      </c>
      <c r="CB170" s="20">
        <f t="shared" si="171"/>
        <v>6.1663475311105072E-12</v>
      </c>
      <c r="CC170" s="59">
        <f t="shared" si="119"/>
        <v>288.40175636392576</v>
      </c>
      <c r="CD170" s="59">
        <f ca="1">AVERAGE(OFFSET($CC$3,0,0,'Données projet'!$E$12+1,1))-AVERAGE(OFFSET($H$3,0,0,'Données projet'!$E$12+1,1))</f>
        <v>486.36097333679697</v>
      </c>
      <c r="CE170" s="59">
        <f t="shared" si="148"/>
        <v>308.47736602748159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31.790016736747997</v>
      </c>
      <c r="CL170" s="21">
        <f>EXP(-LN(2)/25)*CL169+(1-EXP(-LN(2)/25))/(LN(2)/25)*Calculateur!CG170*Calculateur!CI170*VLOOKUP('Données projet'!$B$12,Paramètres!$A$1:$I$89,3,0)*0.475*44/12</f>
        <v>21.582208885411408</v>
      </c>
      <c r="CM170" s="21">
        <f>EXP(-LN(2)/2)*CM169+(1-EXP(-LN(2)/2))/(LN(2)/2)*CG170*CJ170*VLOOKUP('Données projet'!$B$12,Paramètres!$A$1:$I$89,3,0)*0.475*44/12</f>
        <v>9.6704826306842558E-5</v>
      </c>
      <c r="CN170" s="22">
        <f t="shared" si="172"/>
        <v>53.37232232698571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288.48730819899237</v>
      </c>
      <c r="S171" s="59">
        <f ca="1">AVERAGE(OFFSET($R$3,0,0,'Données projet'!$E$9+1,1))-AVERAGE(OFFSET($H$3,0,0,'Données projet'!$E$9+1,1))</f>
        <v>407.05634973057056</v>
      </c>
      <c r="T171" s="59">
        <f t="shared" si="142"/>
        <v>375.32891954889965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3.979039320256561E-13</v>
      </c>
      <c r="AJ171" s="13">
        <f>AI171*VLOOKUP('Données projet'!$B$10,Paramètres!$A$1:$I$89,3,0)*VLOOKUP('Données projet'!$B$10,Paramètres!$A$1:$I$89,5,0)</f>
        <v>3.6002347769681362E-13</v>
      </c>
      <c r="AK171" s="13">
        <f t="shared" si="164"/>
        <v>4.6593569189922594E-12</v>
      </c>
      <c r="AL171" s="20">
        <f t="shared" si="165"/>
        <v>8.7420875242334695E-12</v>
      </c>
      <c r="AM171" s="59">
        <f t="shared" si="113"/>
        <v>288.48730819899328</v>
      </c>
      <c r="AN171" s="59">
        <f ca="1">AVERAGE(OFFSET($AM$3,0,0,'Données projet'!$E$10+1,1))-AVERAGE(OFFSET($H$3,0,0,'Données projet'!$E$10+1,1))</f>
        <v>737.40414421611001</v>
      </c>
      <c r="AO171" s="59">
        <f t="shared" si="144"/>
        <v>245.32893490531674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145.82128974129466</v>
      </c>
      <c r="AV171" s="21">
        <f>EXP(-LN(2)/25)*AV170+(1-EXP(-LN(2)/25))/(LN(2)/25)*Calculateur!AQ171*Calculateur!AS171*VLOOKUP('Données projet'!$B$10,Paramètres!$A$1:$I$89,3,0)*0.475*44/12</f>
        <v>23.698250404791519</v>
      </c>
      <c r="AW171" s="21">
        <f>EXP(-LN(2)/2)*AW170+(1-EXP(-LN(2)/2))/(LN(2)/2)*AQ171*AT171*VLOOKUP('Données projet'!$B$10,Paramètres!$A$1:$I$89,3,0)*0.475*44/12</f>
        <v>0.50303014727782491</v>
      </c>
      <c r="AX171" s="21">
        <f t="shared" si="166"/>
        <v>170.022570293364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4.7884896048344674E-14</v>
      </c>
      <c r="BF171" s="13">
        <f t="shared" si="167"/>
        <v>7.8374629847779921E-13</v>
      </c>
      <c r="BG171" s="20">
        <f t="shared" si="168"/>
        <v>1.4484243304663672E-12</v>
      </c>
      <c r="BH171" s="59">
        <f t="shared" si="116"/>
        <v>288.48730819898594</v>
      </c>
      <c r="BI171" s="59">
        <f ca="1">AVERAGE(OFFSET($BH$3,0,0,'Données projet'!$E$11+1,1))-AVERAGE(OFFSET($H$3,0,0,'Données projet'!$E$11+1,1))</f>
        <v>456.35333554128226</v>
      </c>
      <c r="BJ171" s="59">
        <f t="shared" si="146"/>
        <v>296.4517290984877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35.836111202267112</v>
      </c>
      <c r="BQ171" s="21">
        <f>EXP(-LN(2)/25)*BQ170+(1-EXP(-LN(2)/25))/(LN(2)/25)*Calculateur!BL171*Calculateur!BN171*VLOOKUP('Données projet'!$B$11,Paramètres!$A$1:$I$89,3,0)*0.475*44/12</f>
        <v>5.0152260844357723</v>
      </c>
      <c r="BR171" s="21">
        <f>EXP(-LN(2)/2)*BR170+(1-EXP(-LN(2)/2))/(LN(2)/2)*BL171*BO171*VLOOKUP('Données projet'!$B$11,Paramètres!$A$1:$I$89,3,0)*0.475*44/12</f>
        <v>3.4566146903491047E-9</v>
      </c>
      <c r="BS171" s="22">
        <f t="shared" si="169"/>
        <v>40.851337290159499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2.5579538487363607E-13</v>
      </c>
      <c r="BZ171" s="13">
        <f>BY171*VLOOKUP('Données projet'!$B$12,Paramètres!$A$1:$I$89,3,0)*VLOOKUP('Données projet'!$B$12,Paramètres!$A$1:$I$89,5,0)</f>
        <v>2.4341488824575211E-13</v>
      </c>
      <c r="CA171" s="13">
        <f t="shared" si="170"/>
        <v>3.2970717324875541E-12</v>
      </c>
      <c r="CB171" s="20">
        <f t="shared" si="171"/>
        <v>6.1663475311105072E-12</v>
      </c>
      <c r="CC171" s="59">
        <f t="shared" si="119"/>
        <v>288.48730819899066</v>
      </c>
      <c r="CD171" s="59">
        <f ca="1">AVERAGE(OFFSET($CC$3,0,0,'Données projet'!$E$12+1,1))-AVERAGE(OFFSET($H$3,0,0,'Données projet'!$E$12+1,1))</f>
        <v>486.36097333679697</v>
      </c>
      <c r="CE171" s="59">
        <f t="shared" si="148"/>
        <v>308.47736602748159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31.166633898535977</v>
      </c>
      <c r="CL171" s="21">
        <f>EXP(-LN(2)/25)*CL170+(1-EXP(-LN(2)/25))/(LN(2)/25)*Calculateur!CG171*Calculateur!CI171*VLOOKUP('Données projet'!$B$12,Paramètres!$A$1:$I$89,3,0)*0.475*44/12</f>
        <v>20.992042248480793</v>
      </c>
      <c r="CM171" s="21">
        <f>EXP(-LN(2)/2)*CM170+(1-EXP(-LN(2)/2))/(LN(2)/2)*CG171*CJ171*VLOOKUP('Données projet'!$B$12,Paramètres!$A$1:$I$89,3,0)*0.475*44/12</f>
        <v>6.8380638455035604E-5</v>
      </c>
      <c r="CN171" s="22">
        <f t="shared" si="172"/>
        <v>52.158744527655223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288.57137590098426</v>
      </c>
      <c r="S172" s="59">
        <f ca="1">AVERAGE(OFFSET($R$3,0,0,'Données projet'!$E$9+1,1))-AVERAGE(OFFSET($H$3,0,0,'Données projet'!$E$9+1,1))</f>
        <v>407.05634973057056</v>
      </c>
      <c r="T172" s="59">
        <f t="shared" si="142"/>
        <v>375.32891954889965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3.979039320256561E-13</v>
      </c>
      <c r="AJ172" s="13">
        <f>AI172*VLOOKUP('Données projet'!$B$10,Paramètres!$A$1:$I$89,3,0)*VLOOKUP('Données projet'!$B$10,Paramètres!$A$1:$I$89,5,0)</f>
        <v>3.6002347769681362E-13</v>
      </c>
      <c r="AK172" s="13">
        <f t="shared" si="164"/>
        <v>4.6593569189922594E-12</v>
      </c>
      <c r="AL172" s="20">
        <f t="shared" si="165"/>
        <v>8.7420875242334695E-12</v>
      </c>
      <c r="AM172" s="59">
        <f t="shared" si="113"/>
        <v>288.57137590098517</v>
      </c>
      <c r="AN172" s="59">
        <f ca="1">AVERAGE(OFFSET($AM$3,0,0,'Données projet'!$E$10+1,1))-AVERAGE(OFFSET($H$3,0,0,'Données projet'!$E$10+1,1))</f>
        <v>737.40414421611001</v>
      </c>
      <c r="AO172" s="59">
        <f t="shared" si="144"/>
        <v>245.32893490531674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142.96182319167229</v>
      </c>
      <c r="AV172" s="21">
        <f>EXP(-LN(2)/25)*AV171+(1-EXP(-LN(2)/25))/(LN(2)/25)*Calculateur!AQ172*Calculateur!AS172*VLOOKUP('Données projet'!$B$10,Paramètres!$A$1:$I$89,3,0)*0.475*44/12</f>
        <v>23.050220501235671</v>
      </c>
      <c r="AW172" s="21">
        <f>EXP(-LN(2)/2)*AW171+(1-EXP(-LN(2)/2))/(LN(2)/2)*AQ172*AT172*VLOOKUP('Données projet'!$B$10,Paramètres!$A$1:$I$89,3,0)*0.475*44/12</f>
        <v>0.35569602828141772</v>
      </c>
      <c r="AX172" s="21">
        <f t="shared" si="166"/>
        <v>166.36773972118939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4.7884896048344674E-14</v>
      </c>
      <c r="BF172" s="13">
        <f t="shared" si="167"/>
        <v>7.8374629847779921E-13</v>
      </c>
      <c r="BG172" s="20">
        <f t="shared" si="168"/>
        <v>1.4484243304663672E-12</v>
      </c>
      <c r="BH172" s="59">
        <f t="shared" si="116"/>
        <v>288.57137590097784</v>
      </c>
      <c r="BI172" s="59">
        <f ca="1">AVERAGE(OFFSET($BH$3,0,0,'Données projet'!$E$11+1,1))-AVERAGE(OFFSET($H$3,0,0,'Données projet'!$E$11+1,1))</f>
        <v>456.35333554128226</v>
      </c>
      <c r="BJ172" s="59">
        <f t="shared" si="146"/>
        <v>296.4517290984877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35.1333869194602</v>
      </c>
      <c r="BQ172" s="21">
        <f>EXP(-LN(2)/25)*BQ171+(1-EXP(-LN(2)/25))/(LN(2)/25)*Calculateur!BL172*Calculateur!BN172*VLOOKUP('Données projet'!$B$11,Paramètres!$A$1:$I$89,3,0)*0.475*44/12</f>
        <v>4.8780844634175988</v>
      </c>
      <c r="BR172" s="21">
        <f>EXP(-LN(2)/2)*BR171+(1-EXP(-LN(2)/2))/(LN(2)/2)*BL172*BO172*VLOOKUP('Données projet'!$B$11,Paramètres!$A$1:$I$89,3,0)*0.475*44/12</f>
        <v>2.4441956874948901E-9</v>
      </c>
      <c r="BS172" s="22">
        <f t="shared" si="169"/>
        <v>40.011471385321997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2.5579538487363607E-13</v>
      </c>
      <c r="BZ172" s="13">
        <f>BY172*VLOOKUP('Données projet'!$B$12,Paramètres!$A$1:$I$89,3,0)*VLOOKUP('Données projet'!$B$12,Paramètres!$A$1:$I$89,5,0)</f>
        <v>2.4341488824575211E-13</v>
      </c>
      <c r="CA172" s="13">
        <f t="shared" si="170"/>
        <v>3.2970717324875541E-12</v>
      </c>
      <c r="CB172" s="20">
        <f t="shared" si="171"/>
        <v>6.1663475311105072E-12</v>
      </c>
      <c r="CC172" s="59">
        <f t="shared" si="119"/>
        <v>288.57137590098256</v>
      </c>
      <c r="CD172" s="59">
        <f ca="1">AVERAGE(OFFSET($CC$3,0,0,'Données projet'!$E$12+1,1))-AVERAGE(OFFSET($H$3,0,0,'Données projet'!$E$12+1,1))</f>
        <v>486.36097333679697</v>
      </c>
      <c r="CE172" s="59">
        <f t="shared" si="148"/>
        <v>308.47736602748159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30.555475217555305</v>
      </c>
      <c r="CL172" s="21">
        <f>EXP(-LN(2)/25)*CL171+(1-EXP(-LN(2)/25))/(LN(2)/25)*Calculateur!CG172*Calculateur!CI172*VLOOKUP('Données projet'!$B$12,Paramètres!$A$1:$I$89,3,0)*0.475*44/12</f>
        <v>20.418013749272561</v>
      </c>
      <c r="CM172" s="21">
        <f>EXP(-LN(2)/2)*CM171+(1-EXP(-LN(2)/2))/(LN(2)/2)*CG172*CJ172*VLOOKUP('Données projet'!$B$12,Paramètres!$A$1:$I$89,3,0)*0.475*44/12</f>
        <v>4.8352413153421279E-5</v>
      </c>
      <c r="CN172" s="22">
        <f t="shared" si="172"/>
        <v>50.973537319241018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288.65398521629373</v>
      </c>
      <c r="S173" s="59">
        <f ca="1">AVERAGE(OFFSET($R$3,0,0,'Données projet'!$E$9+1,1))-AVERAGE(OFFSET($H$3,0,0,'Données projet'!$E$9+1,1))</f>
        <v>407.05634973057056</v>
      </c>
      <c r="T173" s="59">
        <f t="shared" si="142"/>
        <v>375.32891954889965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3.979039320256561E-13</v>
      </c>
      <c r="AJ173" s="13">
        <f>AI173*VLOOKUP('Données projet'!$B$10,Paramètres!$A$1:$I$89,3,0)*VLOOKUP('Données projet'!$B$10,Paramètres!$A$1:$I$89,5,0)</f>
        <v>3.6002347769681362E-13</v>
      </c>
      <c r="AK173" s="13">
        <f t="shared" si="164"/>
        <v>4.6593569189922594E-12</v>
      </c>
      <c r="AL173" s="20">
        <f t="shared" si="165"/>
        <v>8.7420875242334695E-12</v>
      </c>
      <c r="AM173" s="59">
        <f t="shared" si="113"/>
        <v>288.65398521629464</v>
      </c>
      <c r="AN173" s="59">
        <f ca="1">AVERAGE(OFFSET($AM$3,0,0,'Données projet'!$E$10+1,1))-AVERAGE(OFFSET($H$3,0,0,'Données projet'!$E$10+1,1))</f>
        <v>737.40414421611001</v>
      </c>
      <c r="AO173" s="59">
        <f t="shared" si="144"/>
        <v>245.32893490531674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140.15842903698564</v>
      </c>
      <c r="AV173" s="21">
        <f>EXP(-LN(2)/25)*AV172+(1-EXP(-LN(2)/25))/(LN(2)/25)*Calculateur!AQ173*Calculateur!AS173*VLOOKUP('Données projet'!$B$10,Paramètres!$A$1:$I$89,3,0)*0.475*44/12</f>
        <v>22.419911009470969</v>
      </c>
      <c r="AW173" s="21">
        <f>EXP(-LN(2)/2)*AW172+(1-EXP(-LN(2)/2))/(LN(2)/2)*AQ173*AT173*VLOOKUP('Données projet'!$B$10,Paramètres!$A$1:$I$89,3,0)*0.475*44/12</f>
        <v>0.25151507363891246</v>
      </c>
      <c r="AX173" s="21">
        <f t="shared" si="166"/>
        <v>162.82985512009552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4.7884896048344674E-14</v>
      </c>
      <c r="BF173" s="13">
        <f t="shared" si="167"/>
        <v>7.8374629847779921E-13</v>
      </c>
      <c r="BG173" s="20">
        <f t="shared" si="168"/>
        <v>1.4484243304663672E-12</v>
      </c>
      <c r="BH173" s="59">
        <f t="shared" si="116"/>
        <v>288.65398521628731</v>
      </c>
      <c r="BI173" s="59">
        <f ca="1">AVERAGE(OFFSET($BH$3,0,0,'Données projet'!$E$11+1,1))-AVERAGE(OFFSET($H$3,0,0,'Données projet'!$E$11+1,1))</f>
        <v>456.35333554128226</v>
      </c>
      <c r="BJ173" s="59">
        <f t="shared" si="146"/>
        <v>296.4517290984877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34.444442631219644</v>
      </c>
      <c r="BQ173" s="21">
        <f>EXP(-LN(2)/25)*BQ172+(1-EXP(-LN(2)/25))/(LN(2)/25)*Calculateur!BL173*Calculateur!BN173*VLOOKUP('Données projet'!$B$11,Paramètres!$A$1:$I$89,3,0)*0.475*44/12</f>
        <v>4.7446929872381318</v>
      </c>
      <c r="BR173" s="21">
        <f>EXP(-LN(2)/2)*BR172+(1-EXP(-LN(2)/2))/(LN(2)/2)*BL173*BO173*VLOOKUP('Données projet'!$B$11,Paramètres!$A$1:$I$89,3,0)*0.475*44/12</f>
        <v>1.7283073451745523E-9</v>
      </c>
      <c r="BS173" s="22">
        <f t="shared" si="169"/>
        <v>39.189135620186086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2.5579538487363607E-13</v>
      </c>
      <c r="BZ173" s="13">
        <f>BY173*VLOOKUP('Données projet'!$B$12,Paramètres!$A$1:$I$89,3,0)*VLOOKUP('Données projet'!$B$12,Paramètres!$A$1:$I$89,5,0)</f>
        <v>2.4341488824575211E-13</v>
      </c>
      <c r="CA173" s="13">
        <f t="shared" si="170"/>
        <v>3.2970717324875541E-12</v>
      </c>
      <c r="CB173" s="20">
        <f t="shared" si="171"/>
        <v>6.1663475311105072E-12</v>
      </c>
      <c r="CC173" s="59">
        <f t="shared" si="119"/>
        <v>288.65398521629203</v>
      </c>
      <c r="CD173" s="59">
        <f ca="1">AVERAGE(OFFSET($CC$3,0,0,'Données projet'!$E$12+1,1))-AVERAGE(OFFSET($H$3,0,0,'Données projet'!$E$12+1,1))</f>
        <v>486.36097333679697</v>
      </c>
      <c r="CE173" s="59">
        <f t="shared" si="148"/>
        <v>308.47736602748159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29.956300985538679</v>
      </c>
      <c r="CL173" s="21">
        <f>EXP(-LN(2)/25)*CL172+(1-EXP(-LN(2)/25))/(LN(2)/25)*Calculateur!CG173*Calculateur!CI173*VLOOKUP('Données projet'!$B$12,Paramètres!$A$1:$I$89,3,0)*0.475*44/12</f>
        <v>19.859682089562025</v>
      </c>
      <c r="CM173" s="21">
        <f>EXP(-LN(2)/2)*CM172+(1-EXP(-LN(2)/2))/(LN(2)/2)*CG173*CJ173*VLOOKUP('Données projet'!$B$12,Paramètres!$A$1:$I$89,3,0)*0.475*44/12</f>
        <v>3.4190319227517802E-5</v>
      </c>
      <c r="CN173" s="22">
        <f t="shared" si="172"/>
        <v>49.81601726541993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288.73516144466936</v>
      </c>
      <c r="S174" s="59">
        <f ca="1">AVERAGE(OFFSET($R$3,0,0,'Données projet'!$E$9+1,1))-AVERAGE(OFFSET($H$3,0,0,'Données projet'!$E$9+1,1))</f>
        <v>407.05634973057056</v>
      </c>
      <c r="T174" s="59">
        <f t="shared" si="142"/>
        <v>375.32891954889965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3.979039320256561E-13</v>
      </c>
      <c r="AJ174" s="13">
        <f>AI174*VLOOKUP('Données projet'!$B$10,Paramètres!$A$1:$I$89,3,0)*VLOOKUP('Données projet'!$B$10,Paramètres!$A$1:$I$89,5,0)</f>
        <v>3.6002347769681362E-13</v>
      </c>
      <c r="AK174" s="13">
        <f t="shared" si="164"/>
        <v>4.6593569189922594E-12</v>
      </c>
      <c r="AL174" s="20">
        <f t="shared" si="165"/>
        <v>8.7420875242334695E-12</v>
      </c>
      <c r="AM174" s="59">
        <f t="shared" si="113"/>
        <v>288.73516144467027</v>
      </c>
      <c r="AN174" s="59">
        <f ca="1">AVERAGE(OFFSET($AM$3,0,0,'Données projet'!$E$10+1,1))-AVERAGE(OFFSET($H$3,0,0,'Données projet'!$E$10+1,1))</f>
        <v>737.40414421611001</v>
      </c>
      <c r="AO174" s="59">
        <f t="shared" si="144"/>
        <v>245.32893490531674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137.4100077317708</v>
      </c>
      <c r="AV174" s="21">
        <f>EXP(-LN(2)/25)*AV173+(1-EXP(-LN(2)/25))/(LN(2)/25)*Calculateur!AQ174*Calculateur!AS174*VLOOKUP('Données projet'!$B$10,Paramètres!$A$1:$I$89,3,0)*0.475*44/12</f>
        <v>21.806837363905107</v>
      </c>
      <c r="AW174" s="21">
        <f>EXP(-LN(2)/2)*AW173+(1-EXP(-LN(2)/2))/(LN(2)/2)*AQ174*AT174*VLOOKUP('Données projet'!$B$10,Paramètres!$A$1:$I$89,3,0)*0.475*44/12</f>
        <v>0.17784801414070886</v>
      </c>
      <c r="AX174" s="21">
        <f t="shared" si="166"/>
        <v>159.39469310981664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4.7884896048344674E-14</v>
      </c>
      <c r="BF174" s="13">
        <f t="shared" si="167"/>
        <v>7.8374629847779921E-13</v>
      </c>
      <c r="BG174" s="20">
        <f t="shared" si="168"/>
        <v>1.4484243304663672E-12</v>
      </c>
      <c r="BH174" s="59">
        <f t="shared" si="116"/>
        <v>288.73516144466294</v>
      </c>
      <c r="BI174" s="59">
        <f ca="1">AVERAGE(OFFSET($BH$3,0,0,'Données projet'!$E$11+1,1))-AVERAGE(OFFSET($H$3,0,0,'Données projet'!$E$11+1,1))</f>
        <v>456.35333554128226</v>
      </c>
      <c r="BJ174" s="59">
        <f t="shared" si="146"/>
        <v>296.4517290984877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33.769008120256963</v>
      </c>
      <c r="BQ174" s="21">
        <f>EXP(-LN(2)/25)*BQ173+(1-EXP(-LN(2)/25))/(LN(2)/25)*Calculateur!BL174*Calculateur!BN174*VLOOKUP('Données projet'!$B$11,Paramètres!$A$1:$I$89,3,0)*0.475*44/12</f>
        <v>4.6149491079895446</v>
      </c>
      <c r="BR174" s="21">
        <f>EXP(-LN(2)/2)*BR173+(1-EXP(-LN(2)/2))/(LN(2)/2)*BL174*BO174*VLOOKUP('Données projet'!$B$11,Paramètres!$A$1:$I$89,3,0)*0.475*44/12</f>
        <v>1.222097843747445E-9</v>
      </c>
      <c r="BS174" s="22">
        <f t="shared" si="169"/>
        <v>38.383957229468606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2.5579538487363607E-13</v>
      </c>
      <c r="BZ174" s="13">
        <f>BY174*VLOOKUP('Données projet'!$B$12,Paramètres!$A$1:$I$89,3,0)*VLOOKUP('Données projet'!$B$12,Paramètres!$A$1:$I$89,5,0)</f>
        <v>2.4341488824575211E-13</v>
      </c>
      <c r="CA174" s="13">
        <f t="shared" si="170"/>
        <v>3.2970717324875541E-12</v>
      </c>
      <c r="CB174" s="20">
        <f t="shared" si="171"/>
        <v>6.1663475311105072E-12</v>
      </c>
      <c r="CC174" s="59">
        <f t="shared" si="119"/>
        <v>288.73516144466765</v>
      </c>
      <c r="CD174" s="59">
        <f ca="1">AVERAGE(OFFSET($CC$3,0,0,'Données projet'!$E$12+1,1))-AVERAGE(OFFSET($H$3,0,0,'Données projet'!$E$12+1,1))</f>
        <v>486.36097333679697</v>
      </c>
      <c r="CE174" s="59">
        <f t="shared" si="148"/>
        <v>308.47736602748159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29.368876194751703</v>
      </c>
      <c r="CL174" s="21">
        <f>EXP(-LN(2)/25)*CL173+(1-EXP(-LN(2)/25))/(LN(2)/25)*Calculateur!CG174*Calculateur!CI174*VLOOKUP('Données projet'!$B$12,Paramètres!$A$1:$I$89,3,0)*0.475*44/12</f>
        <v>19.316618038447661</v>
      </c>
      <c r="CM174" s="21">
        <f>EXP(-LN(2)/2)*CM173+(1-EXP(-LN(2)/2))/(LN(2)/2)*CG174*CJ174*VLOOKUP('Données projet'!$B$12,Paramètres!$A$1:$I$89,3,0)*0.475*44/12</f>
        <v>2.4176206576710639E-5</v>
      </c>
      <c r="CN174" s="22">
        <f t="shared" si="172"/>
        <v>48.685518409405944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288.81492944696549</v>
      </c>
      <c r="S175" s="59">
        <f ca="1">AVERAGE(OFFSET($R$3,0,0,'Données projet'!$E$9+1,1))-AVERAGE(OFFSET($H$3,0,0,'Données projet'!$E$9+1,1))</f>
        <v>407.05634973057056</v>
      </c>
      <c r="T175" s="59">
        <f t="shared" si="142"/>
        <v>375.32891954889965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3.979039320256561E-13</v>
      </c>
      <c r="AJ175" s="13">
        <f>AI175*VLOOKUP('Données projet'!$B$10,Paramètres!$A$1:$I$89,3,0)*VLOOKUP('Données projet'!$B$10,Paramètres!$A$1:$I$89,5,0)</f>
        <v>3.6002347769681362E-13</v>
      </c>
      <c r="AK175" s="13">
        <f t="shared" si="164"/>
        <v>4.6593569189922594E-12</v>
      </c>
      <c r="AL175" s="20">
        <f t="shared" si="165"/>
        <v>8.7420875242334695E-12</v>
      </c>
      <c r="AM175" s="59">
        <f t="shared" si="113"/>
        <v>288.8149294469664</v>
      </c>
      <c r="AN175" s="59">
        <f ca="1">AVERAGE(OFFSET($AM$3,0,0,'Données projet'!$E$10+1,1))-AVERAGE(OFFSET($H$3,0,0,'Données projet'!$E$10+1,1))</f>
        <v>737.40414421611001</v>
      </c>
      <c r="AO175" s="59">
        <f t="shared" si="144"/>
        <v>245.32893490531674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134.71548129197976</v>
      </c>
      <c r="AV175" s="21">
        <f>EXP(-LN(2)/25)*AV174+(1-EXP(-LN(2)/25))/(LN(2)/25)*Calculateur!AQ175*Calculateur!AS175*VLOOKUP('Données projet'!$B$10,Paramètres!$A$1:$I$89,3,0)*0.475*44/12</f>
        <v>21.210528249417386</v>
      </c>
      <c r="AW175" s="21">
        <f>EXP(-LN(2)/2)*AW174+(1-EXP(-LN(2)/2))/(LN(2)/2)*AQ175*AT175*VLOOKUP('Données projet'!$B$10,Paramètres!$A$1:$I$89,3,0)*0.475*44/12</f>
        <v>0.12575753681945623</v>
      </c>
      <c r="AX175" s="21">
        <f t="shared" si="166"/>
        <v>156.05176707821661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4.7884896048344674E-14</v>
      </c>
      <c r="BF175" s="13">
        <f t="shared" si="167"/>
        <v>7.8374629847779921E-13</v>
      </c>
      <c r="BG175" s="20">
        <f t="shared" si="168"/>
        <v>1.4484243304663672E-12</v>
      </c>
      <c r="BH175" s="59">
        <f t="shared" si="116"/>
        <v>288.81492944695907</v>
      </c>
      <c r="BI175" s="59">
        <f ca="1">AVERAGE(OFFSET($BH$3,0,0,'Données projet'!$E$11+1,1))-AVERAGE(OFFSET($H$3,0,0,'Données projet'!$E$11+1,1))</f>
        <v>456.35333554128226</v>
      </c>
      <c r="BJ175" s="59">
        <f t="shared" si="146"/>
        <v>296.4517290984877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33.106818468079886</v>
      </c>
      <c r="BQ175" s="21">
        <f>EXP(-LN(2)/25)*BQ174+(1-EXP(-LN(2)/25))/(LN(2)/25)*Calculateur!BL175*Calculateur!BN175*VLOOKUP('Données projet'!$B$11,Paramètres!$A$1:$I$89,3,0)*0.475*44/12</f>
        <v>4.4887530819419448</v>
      </c>
      <c r="BR175" s="21">
        <f>EXP(-LN(2)/2)*BR174+(1-EXP(-LN(2)/2))/(LN(2)/2)*BL175*BO175*VLOOKUP('Données projet'!$B$11,Paramètres!$A$1:$I$89,3,0)*0.475*44/12</f>
        <v>8.6415367258727617E-10</v>
      </c>
      <c r="BS175" s="22">
        <f t="shared" si="169"/>
        <v>37.595571550885985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2.5579538487363607E-13</v>
      </c>
      <c r="BZ175" s="13">
        <f>BY175*VLOOKUP('Données projet'!$B$12,Paramètres!$A$1:$I$89,3,0)*VLOOKUP('Données projet'!$B$12,Paramètres!$A$1:$I$89,5,0)</f>
        <v>2.4341488824575211E-13</v>
      </c>
      <c r="CA175" s="13">
        <f t="shared" si="170"/>
        <v>3.2970717324875541E-12</v>
      </c>
      <c r="CB175" s="20">
        <f t="shared" si="171"/>
        <v>6.1663475311105072E-12</v>
      </c>
      <c r="CC175" s="59">
        <f t="shared" si="119"/>
        <v>288.81492944696379</v>
      </c>
      <c r="CD175" s="59">
        <f ca="1">AVERAGE(OFFSET($CC$3,0,0,'Données projet'!$E$12+1,1))-AVERAGE(OFFSET($H$3,0,0,'Données projet'!$E$12+1,1))</f>
        <v>486.36097333679697</v>
      </c>
      <c r="CE175" s="59">
        <f t="shared" si="148"/>
        <v>308.47736602748159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28.792970445818316</v>
      </c>
      <c r="CL175" s="21">
        <f>EXP(-LN(2)/25)*CL174+(1-EXP(-LN(2)/25))/(LN(2)/25)*Calculateur!CG175*Calculateur!CI175*VLOOKUP('Données projet'!$B$12,Paramètres!$A$1:$I$89,3,0)*0.475*44/12</f>
        <v>18.788404102369515</v>
      </c>
      <c r="CM175" s="21">
        <f>EXP(-LN(2)/2)*CM174+(1-EXP(-LN(2)/2))/(LN(2)/2)*CG175*CJ175*VLOOKUP('Données projet'!$B$12,Paramètres!$A$1:$I$89,3,0)*0.475*44/12</f>
        <v>1.7095159613758901E-5</v>
      </c>
      <c r="CN175" s="22">
        <f t="shared" si="172"/>
        <v>47.581391643347445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288.89331365275632</v>
      </c>
      <c r="S176" s="59">
        <f ca="1">AVERAGE(OFFSET($R$3,0,0,'Données projet'!$E$9+1,1))-AVERAGE(OFFSET($H$3,0,0,'Données projet'!$E$9+1,1))</f>
        <v>407.05634973057056</v>
      </c>
      <c r="T176" s="59">
        <f t="shared" si="142"/>
        <v>375.32891954889965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3.979039320256561E-13</v>
      </c>
      <c r="AJ176" s="13">
        <f>AI176*VLOOKUP('Données projet'!$B$10,Paramètres!$A$1:$I$89,3,0)*VLOOKUP('Données projet'!$B$10,Paramètres!$A$1:$I$89,5,0)</f>
        <v>3.6002347769681362E-13</v>
      </c>
      <c r="AK176" s="13">
        <f t="shared" si="164"/>
        <v>4.6593569189922594E-12</v>
      </c>
      <c r="AL176" s="20">
        <f t="shared" si="165"/>
        <v>8.7420875242334695E-12</v>
      </c>
      <c r="AM176" s="59">
        <f t="shared" si="113"/>
        <v>288.89331365275723</v>
      </c>
      <c r="AN176" s="59">
        <f ca="1">AVERAGE(OFFSET($AM$3,0,0,'Données projet'!$E$10+1,1))-AVERAGE(OFFSET($H$3,0,0,'Données projet'!$E$10+1,1))</f>
        <v>737.40414421611001</v>
      </c>
      <c r="AO176" s="59">
        <f t="shared" si="144"/>
        <v>245.32893490531674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132.07379287217418</v>
      </c>
      <c r="AV176" s="21">
        <f>EXP(-LN(2)/25)*AV175+(1-EXP(-LN(2)/25))/(LN(2)/25)*Calculateur!AQ176*Calculateur!AS176*VLOOKUP('Données projet'!$B$10,Paramètres!$A$1:$I$89,3,0)*0.475*44/12</f>
        <v>20.630525239023864</v>
      </c>
      <c r="AW176" s="21">
        <f>EXP(-LN(2)/2)*AW175+(1-EXP(-LN(2)/2))/(LN(2)/2)*AQ176*AT176*VLOOKUP('Données projet'!$B$10,Paramètres!$A$1:$I$89,3,0)*0.475*44/12</f>
        <v>8.892400707035443E-2</v>
      </c>
      <c r="AX176" s="21">
        <f t="shared" si="166"/>
        <v>152.79324211826838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4.7884896048344674E-14</v>
      </c>
      <c r="BF176" s="13">
        <f t="shared" si="167"/>
        <v>7.8374629847779921E-13</v>
      </c>
      <c r="BG176" s="20">
        <f t="shared" si="168"/>
        <v>1.4484243304663672E-12</v>
      </c>
      <c r="BH176" s="59">
        <f t="shared" si="116"/>
        <v>288.8933136527499</v>
      </c>
      <c r="BI176" s="59">
        <f ca="1">AVERAGE(OFFSET($BH$3,0,0,'Données projet'!$E$11+1,1))-AVERAGE(OFFSET($H$3,0,0,'Données projet'!$E$11+1,1))</f>
        <v>456.35333554128226</v>
      </c>
      <c r="BJ176" s="59">
        <f t="shared" si="146"/>
        <v>296.4517290984877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32.457613951086195</v>
      </c>
      <c r="BQ176" s="21">
        <f>EXP(-LN(2)/25)*BQ175+(1-EXP(-LN(2)/25))/(LN(2)/25)*Calculateur!BL176*Calculateur!BN176*VLOOKUP('Données projet'!$B$11,Paramètres!$A$1:$I$89,3,0)*0.475*44/12</f>
        <v>4.3660078928629771</v>
      </c>
      <c r="BR176" s="21">
        <f>EXP(-LN(2)/2)*BR175+(1-EXP(-LN(2)/2))/(LN(2)/2)*BL176*BO176*VLOOKUP('Données projet'!$B$11,Paramètres!$A$1:$I$89,3,0)*0.475*44/12</f>
        <v>6.1104892187372251E-10</v>
      </c>
      <c r="BS176" s="22">
        <f t="shared" si="169"/>
        <v>36.823621844560215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2.5579538487363607E-13</v>
      </c>
      <c r="BZ176" s="13">
        <f>BY176*VLOOKUP('Données projet'!$B$12,Paramètres!$A$1:$I$89,3,0)*VLOOKUP('Données projet'!$B$12,Paramètres!$A$1:$I$89,5,0)</f>
        <v>2.4341488824575211E-13</v>
      </c>
      <c r="CA176" s="13">
        <f t="shared" si="170"/>
        <v>3.2970717324875541E-12</v>
      </c>
      <c r="CB176" s="20">
        <f t="shared" si="171"/>
        <v>6.1663475311105072E-12</v>
      </c>
      <c r="CC176" s="59">
        <f t="shared" si="119"/>
        <v>288.89331365275461</v>
      </c>
      <c r="CD176" s="59">
        <f ca="1">AVERAGE(OFFSET($CC$3,0,0,'Données projet'!$E$12+1,1))-AVERAGE(OFFSET($H$3,0,0,'Données projet'!$E$12+1,1))</f>
        <v>486.36097333679697</v>
      </c>
      <c r="CE176" s="59">
        <f t="shared" si="148"/>
        <v>308.47736602748159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28.228357857353689</v>
      </c>
      <c r="CL176" s="21">
        <f>EXP(-LN(2)/25)*CL175+(1-EXP(-LN(2)/25))/(LN(2)/25)*Calculateur!CG176*Calculateur!CI176*VLOOKUP('Données projet'!$B$12,Paramètres!$A$1:$I$89,3,0)*0.475*44/12</f>
        <v>18.274634204150992</v>
      </c>
      <c r="CM176" s="21">
        <f>EXP(-LN(2)/2)*CM175+(1-EXP(-LN(2)/2))/(LN(2)/2)*CG176*CJ176*VLOOKUP('Données projet'!$B$12,Paramètres!$A$1:$I$89,3,0)*0.475*44/12</f>
        <v>1.208810328835532E-5</v>
      </c>
      <c r="CN176" s="22">
        <f t="shared" si="172"/>
        <v>46.503004149607975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288.97033806781758</v>
      </c>
      <c r="S177" s="59">
        <f ca="1">AVERAGE(OFFSET($R$3,0,0,'Données projet'!$E$9+1,1))-AVERAGE(OFFSET($H$3,0,0,'Données projet'!$E$9+1,1))</f>
        <v>407.05634973057056</v>
      </c>
      <c r="T177" s="59">
        <f t="shared" si="142"/>
        <v>375.32891954889965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3.979039320256561E-13</v>
      </c>
      <c r="AJ177" s="13">
        <f>AI177*VLOOKUP('Données projet'!$B$10,Paramètres!$A$1:$I$89,3,0)*VLOOKUP('Données projet'!$B$10,Paramètres!$A$1:$I$89,5,0)</f>
        <v>3.6002347769681362E-13</v>
      </c>
      <c r="AK177" s="13">
        <f t="shared" si="164"/>
        <v>4.6593569189922594E-12</v>
      </c>
      <c r="AL177" s="20">
        <f t="shared" si="165"/>
        <v>8.7420875242334695E-12</v>
      </c>
      <c r="AM177" s="59">
        <f t="shared" si="113"/>
        <v>288.97033806781849</v>
      </c>
      <c r="AN177" s="59">
        <f ca="1">AVERAGE(OFFSET($AM$3,0,0,'Données projet'!$E$10+1,1))-AVERAGE(OFFSET($H$3,0,0,'Données projet'!$E$10+1,1))</f>
        <v>737.40414421611001</v>
      </c>
      <c r="AO177" s="59">
        <f t="shared" si="144"/>
        <v>245.32893490531674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129.48390635101015</v>
      </c>
      <c r="AV177" s="21">
        <f>EXP(-LN(2)/25)*AV176+(1-EXP(-LN(2)/25))/(LN(2)/25)*Calculateur!AQ177*Calculateur!AS177*VLOOKUP('Données projet'!$B$10,Paramètres!$A$1:$I$89,3,0)*0.475*44/12</f>
        <v>20.066382441450585</v>
      </c>
      <c r="AW177" s="21">
        <f>EXP(-LN(2)/2)*AW176+(1-EXP(-LN(2)/2))/(LN(2)/2)*AQ177*AT177*VLOOKUP('Données projet'!$B$10,Paramètres!$A$1:$I$89,3,0)*0.475*44/12</f>
        <v>6.2878768409728114E-2</v>
      </c>
      <c r="AX177" s="21">
        <f t="shared" si="166"/>
        <v>149.61316756087044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4.7884896048344674E-14</v>
      </c>
      <c r="BF177" s="13">
        <f t="shared" si="167"/>
        <v>7.8374629847779921E-13</v>
      </c>
      <c r="BG177" s="20">
        <f t="shared" si="168"/>
        <v>1.4484243304663672E-12</v>
      </c>
      <c r="BH177" s="59">
        <f t="shared" si="116"/>
        <v>288.97033806781116</v>
      </c>
      <c r="BI177" s="59">
        <f ca="1">AVERAGE(OFFSET($BH$3,0,0,'Données projet'!$E$11+1,1))-AVERAGE(OFFSET($H$3,0,0,'Données projet'!$E$11+1,1))</f>
        <v>456.35333554128226</v>
      </c>
      <c r="BJ177" s="59">
        <f t="shared" si="146"/>
        <v>296.4517290984877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31.821139938695094</v>
      </c>
      <c r="BQ177" s="21">
        <f>EXP(-LN(2)/25)*BQ176+(1-EXP(-LN(2)/25))/(LN(2)/25)*Calculateur!BL177*Calculateur!BN177*VLOOKUP('Données projet'!$B$11,Paramètres!$A$1:$I$89,3,0)*0.475*44/12</f>
        <v>4.2466191774342628</v>
      </c>
      <c r="BR177" s="21">
        <f>EXP(-LN(2)/2)*BR176+(1-EXP(-LN(2)/2))/(LN(2)/2)*BL177*BO177*VLOOKUP('Données projet'!$B$11,Paramètres!$A$1:$I$89,3,0)*0.475*44/12</f>
        <v>4.3207683629363808E-10</v>
      </c>
      <c r="BS177" s="22">
        <f t="shared" si="169"/>
        <v>36.067759116561433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2.5579538487363607E-13</v>
      </c>
      <c r="BZ177" s="13">
        <f>BY177*VLOOKUP('Données projet'!$B$12,Paramètres!$A$1:$I$89,3,0)*VLOOKUP('Données projet'!$B$12,Paramètres!$A$1:$I$89,5,0)</f>
        <v>2.4341488824575211E-13</v>
      </c>
      <c r="CA177" s="13">
        <f t="shared" si="170"/>
        <v>3.2970717324875541E-12</v>
      </c>
      <c r="CB177" s="20">
        <f t="shared" si="171"/>
        <v>6.1663475311105072E-12</v>
      </c>
      <c r="CC177" s="59">
        <f t="shared" si="119"/>
        <v>288.97033806781587</v>
      </c>
      <c r="CD177" s="59">
        <f ca="1">AVERAGE(OFFSET($CC$3,0,0,'Données projet'!$E$12+1,1))-AVERAGE(OFFSET($H$3,0,0,'Données projet'!$E$12+1,1))</f>
        <v>486.36097333679697</v>
      </c>
      <c r="CE177" s="59">
        <f t="shared" si="148"/>
        <v>308.47736602748159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27.674816977369179</v>
      </c>
      <c r="CL177" s="21">
        <f>EXP(-LN(2)/25)*CL176+(1-EXP(-LN(2)/25))/(LN(2)/25)*Calculateur!CG177*Calculateur!CI177*VLOOKUP('Données projet'!$B$12,Paramètres!$A$1:$I$89,3,0)*0.475*44/12</f>
        <v>17.774913370817238</v>
      </c>
      <c r="CM177" s="21">
        <f>EXP(-LN(2)/2)*CM176+(1-EXP(-LN(2)/2))/(LN(2)/2)*CG177*CJ177*VLOOKUP('Données projet'!$B$12,Paramètres!$A$1:$I$89,3,0)*0.475*44/12</f>
        <v>8.5475798068794505E-6</v>
      </c>
      <c r="CN177" s="22">
        <f t="shared" si="172"/>
        <v>45.449738895766231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289.04602628147825</v>
      </c>
      <c r="S178" s="59">
        <f ca="1">AVERAGE(OFFSET($R$3,0,0,'Données projet'!$E$9+1,1))-AVERAGE(OFFSET($H$3,0,0,'Données projet'!$E$9+1,1))</f>
        <v>407.05634973057056</v>
      </c>
      <c r="T178" s="59">
        <f t="shared" si="142"/>
        <v>375.32891954889965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3.979039320256561E-13</v>
      </c>
      <c r="AJ178" s="13">
        <f>AI178*VLOOKUP('Données projet'!$B$10,Paramètres!$A$1:$I$89,3,0)*VLOOKUP('Données projet'!$B$10,Paramètres!$A$1:$I$89,5,0)</f>
        <v>3.6002347769681362E-13</v>
      </c>
      <c r="AK178" s="13">
        <f t="shared" si="164"/>
        <v>4.6593569189922594E-12</v>
      </c>
      <c r="AL178" s="20">
        <f t="shared" si="165"/>
        <v>8.7420875242334695E-12</v>
      </c>
      <c r="AM178" s="59">
        <f t="shared" si="113"/>
        <v>289.04602628147916</v>
      </c>
      <c r="AN178" s="59">
        <f ca="1">AVERAGE(OFFSET($AM$3,0,0,'Données projet'!$E$10+1,1))-AVERAGE(OFFSET($H$3,0,0,'Données projet'!$E$10+1,1))</f>
        <v>737.40414421611001</v>
      </c>
      <c r="AO178" s="59">
        <f t="shared" si="144"/>
        <v>245.32893490531674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126.94480592485134</v>
      </c>
      <c r="AV178" s="21">
        <f>EXP(-LN(2)/25)*AV177+(1-EXP(-LN(2)/25))/(LN(2)/25)*Calculateur!AQ178*Calculateur!AS178*VLOOKUP('Données projet'!$B$10,Paramètres!$A$1:$I$89,3,0)*0.475*44/12</f>
        <v>19.517666158343928</v>
      </c>
      <c r="AW178" s="21">
        <f>EXP(-LN(2)/2)*AW177+(1-EXP(-LN(2)/2))/(LN(2)/2)*AQ178*AT178*VLOOKUP('Données projet'!$B$10,Paramètres!$A$1:$I$89,3,0)*0.475*44/12</f>
        <v>4.4462003535177215E-2</v>
      </c>
      <c r="AX178" s="21">
        <f t="shared" si="166"/>
        <v>146.50693408673047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4.7884896048344674E-14</v>
      </c>
      <c r="BF178" s="13">
        <f t="shared" si="167"/>
        <v>7.8374629847779921E-13</v>
      </c>
      <c r="BG178" s="20">
        <f t="shared" si="168"/>
        <v>1.4484243304663672E-12</v>
      </c>
      <c r="BH178" s="59">
        <f t="shared" si="116"/>
        <v>289.04602628147182</v>
      </c>
      <c r="BI178" s="59">
        <f ca="1">AVERAGE(OFFSET($BH$3,0,0,'Données projet'!$E$11+1,1))-AVERAGE(OFFSET($H$3,0,0,'Données projet'!$E$11+1,1))</f>
        <v>456.35333554128226</v>
      </c>
      <c r="BJ178" s="59">
        <f t="shared" si="146"/>
        <v>296.4517290984877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31.197146793476168</v>
      </c>
      <c r="BQ178" s="21">
        <f>EXP(-LN(2)/25)*BQ177+(1-EXP(-LN(2)/25))/(LN(2)/25)*Calculateur!BL178*Calculateur!BN178*VLOOKUP('Données projet'!$B$11,Paramètres!$A$1:$I$89,3,0)*0.475*44/12</f>
        <v>4.1304951527073257</v>
      </c>
      <c r="BR178" s="21">
        <f>EXP(-LN(2)/2)*BR177+(1-EXP(-LN(2)/2))/(LN(2)/2)*BL178*BO178*VLOOKUP('Données projet'!$B$11,Paramètres!$A$1:$I$89,3,0)*0.475*44/12</f>
        <v>3.0552446093686126E-10</v>
      </c>
      <c r="BS178" s="22">
        <f t="shared" si="169"/>
        <v>35.327641946489017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2.5579538487363607E-13</v>
      </c>
      <c r="BZ178" s="13">
        <f>BY178*VLOOKUP('Données projet'!$B$12,Paramètres!$A$1:$I$89,3,0)*VLOOKUP('Données projet'!$B$12,Paramètres!$A$1:$I$89,5,0)</f>
        <v>2.4341488824575211E-13</v>
      </c>
      <c r="CA178" s="13">
        <f t="shared" si="170"/>
        <v>3.2970717324875541E-12</v>
      </c>
      <c r="CB178" s="20">
        <f t="shared" si="171"/>
        <v>6.1663475311105072E-12</v>
      </c>
      <c r="CC178" s="59">
        <f t="shared" si="119"/>
        <v>289.04602628147654</v>
      </c>
      <c r="CD178" s="59">
        <f ca="1">AVERAGE(OFFSET($CC$3,0,0,'Données projet'!$E$12+1,1))-AVERAGE(OFFSET($H$3,0,0,'Données projet'!$E$12+1,1))</f>
        <v>486.36097333679697</v>
      </c>
      <c r="CE178" s="59">
        <f t="shared" si="148"/>
        <v>308.47736602748159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27.132130696414567</v>
      </c>
      <c r="CL178" s="21">
        <f>EXP(-LN(2)/25)*CL177+(1-EXP(-LN(2)/25))/(LN(2)/25)*Calculateur!CG178*Calculateur!CI178*VLOOKUP('Données projet'!$B$12,Paramètres!$A$1:$I$89,3,0)*0.475*44/12</f>
        <v>17.28885742995017</v>
      </c>
      <c r="CM178" s="21">
        <f>EXP(-LN(2)/2)*CM177+(1-EXP(-LN(2)/2))/(LN(2)/2)*CG178*CJ178*VLOOKUP('Données projet'!$B$12,Paramètres!$A$1:$I$89,3,0)*0.475*44/12</f>
        <v>6.0440516441776599E-6</v>
      </c>
      <c r="CN178" s="22">
        <f t="shared" si="172"/>
        <v>44.420994170416378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289.12040147384545</v>
      </c>
      <c r="S179" s="59">
        <f ca="1">AVERAGE(OFFSET($R$3,0,0,'Données projet'!$E$9+1,1))-AVERAGE(OFFSET($H$3,0,0,'Données projet'!$E$9+1,1))</f>
        <v>407.05634973057056</v>
      </c>
      <c r="T179" s="59">
        <f t="shared" si="142"/>
        <v>375.32891954889965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3.979039320256561E-13</v>
      </c>
      <c r="AJ179" s="13">
        <f>AI179*VLOOKUP('Données projet'!$B$10,Paramètres!$A$1:$I$89,3,0)*VLOOKUP('Données projet'!$B$10,Paramètres!$A$1:$I$89,5,0)</f>
        <v>3.6002347769681362E-13</v>
      </c>
      <c r="AK179" s="13">
        <f t="shared" si="164"/>
        <v>4.6593569189922594E-12</v>
      </c>
      <c r="AL179" s="20">
        <f t="shared" si="165"/>
        <v>8.7420875242334695E-12</v>
      </c>
      <c r="AM179" s="59">
        <f t="shared" si="113"/>
        <v>289.12040147384636</v>
      </c>
      <c r="AN179" s="59">
        <f ca="1">AVERAGE(OFFSET($AM$3,0,0,'Données projet'!$E$10+1,1))-AVERAGE(OFFSET($H$3,0,0,'Données projet'!$E$10+1,1))</f>
        <v>737.40414421611001</v>
      </c>
      <c r="AO179" s="59">
        <f t="shared" si="144"/>
        <v>245.32893490531674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124.45549570935117</v>
      </c>
      <c r="AV179" s="21">
        <f>EXP(-LN(2)/25)*AV178+(1-EXP(-LN(2)/25))/(LN(2)/25)*Calculateur!AQ179*Calculateur!AS179*VLOOKUP('Données projet'!$B$10,Paramètres!$A$1:$I$89,3,0)*0.475*44/12</f>
        <v>18.983954550854559</v>
      </c>
      <c r="AW179" s="21">
        <f>EXP(-LN(2)/2)*AW178+(1-EXP(-LN(2)/2))/(LN(2)/2)*AQ179*AT179*VLOOKUP('Données projet'!$B$10,Paramètres!$A$1:$I$89,3,0)*0.475*44/12</f>
        <v>3.1439384204864057E-2</v>
      </c>
      <c r="AX179" s="21">
        <f t="shared" si="166"/>
        <v>143.47088964441059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4.7884896048344674E-14</v>
      </c>
      <c r="BF179" s="13">
        <f t="shared" si="167"/>
        <v>7.8374629847779921E-13</v>
      </c>
      <c r="BG179" s="20">
        <f t="shared" si="168"/>
        <v>1.4484243304663672E-12</v>
      </c>
      <c r="BH179" s="59">
        <f t="shared" si="116"/>
        <v>289.12040147383902</v>
      </c>
      <c r="BI179" s="59">
        <f ca="1">AVERAGE(OFFSET($BH$3,0,0,'Données projet'!$E$11+1,1))-AVERAGE(OFFSET($H$3,0,0,'Données projet'!$E$11+1,1))</f>
        <v>456.35333554128226</v>
      </c>
      <c r="BJ179" s="59">
        <f t="shared" si="146"/>
        <v>296.4517290984877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30.585389773236749</v>
      </c>
      <c r="BQ179" s="21">
        <f>EXP(-LN(2)/25)*BQ178+(1-EXP(-LN(2)/25))/(LN(2)/25)*Calculateur!BL179*Calculateur!BN179*VLOOKUP('Données projet'!$B$11,Paramètres!$A$1:$I$89,3,0)*0.475*44/12</f>
        <v>4.0175465455432438</v>
      </c>
      <c r="BR179" s="21">
        <f>EXP(-LN(2)/2)*BR178+(1-EXP(-LN(2)/2))/(LN(2)/2)*BL179*BO179*VLOOKUP('Données projet'!$B$11,Paramètres!$A$1:$I$89,3,0)*0.475*44/12</f>
        <v>2.1603841814681904E-10</v>
      </c>
      <c r="BS179" s="22">
        <f t="shared" si="169"/>
        <v>34.602936318996036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2.5579538487363607E-13</v>
      </c>
      <c r="BZ179" s="13">
        <f>BY179*VLOOKUP('Données projet'!$B$12,Paramètres!$A$1:$I$89,3,0)*VLOOKUP('Données projet'!$B$12,Paramètres!$A$1:$I$89,5,0)</f>
        <v>2.4341488824575211E-13</v>
      </c>
      <c r="CA179" s="13">
        <f t="shared" si="170"/>
        <v>3.2970717324875541E-12</v>
      </c>
      <c r="CB179" s="20">
        <f t="shared" si="171"/>
        <v>6.1663475311105072E-12</v>
      </c>
      <c r="CC179" s="59">
        <f t="shared" si="119"/>
        <v>289.12040147384374</v>
      </c>
      <c r="CD179" s="59">
        <f ca="1">AVERAGE(OFFSET($CC$3,0,0,'Données projet'!$E$12+1,1))-AVERAGE(OFFSET($H$3,0,0,'Données projet'!$E$12+1,1))</f>
        <v>486.36097333679697</v>
      </c>
      <c r="CE179" s="59">
        <f t="shared" si="148"/>
        <v>308.47736602748159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26.600086162423526</v>
      </c>
      <c r="CL179" s="21">
        <f>EXP(-LN(2)/25)*CL178+(1-EXP(-LN(2)/25))/(LN(2)/25)*Calculateur!CG179*Calculateur!CI179*VLOOKUP('Données projet'!$B$12,Paramètres!$A$1:$I$89,3,0)*0.475*44/12</f>
        <v>16.816092714346684</v>
      </c>
      <c r="CM179" s="21">
        <f>EXP(-LN(2)/2)*CM178+(1-EXP(-LN(2)/2))/(LN(2)/2)*CG179*CJ179*VLOOKUP('Données projet'!$B$12,Paramètres!$A$1:$I$89,3,0)*0.475*44/12</f>
        <v>4.2737899034397253E-6</v>
      </c>
      <c r="CN179" s="22">
        <f t="shared" si="172"/>
        <v>43.416183150560116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289.19348642290311</v>
      </c>
      <c r="S180" s="59">
        <f ca="1">AVERAGE(OFFSET($R$3,0,0,'Données projet'!$E$9+1,1))-AVERAGE(OFFSET($H$3,0,0,'Données projet'!$E$9+1,1))</f>
        <v>407.05634973057056</v>
      </c>
      <c r="T180" s="59">
        <f t="shared" si="142"/>
        <v>375.32891954889965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3.979039320256561E-13</v>
      </c>
      <c r="AJ180" s="13">
        <f>AI180*VLOOKUP('Données projet'!$B$10,Paramètres!$A$1:$I$89,3,0)*VLOOKUP('Données projet'!$B$10,Paramètres!$A$1:$I$89,5,0)</f>
        <v>3.6002347769681362E-13</v>
      </c>
      <c r="AK180" s="13">
        <f t="shared" si="164"/>
        <v>4.6593569189922594E-12</v>
      </c>
      <c r="AL180" s="20">
        <f t="shared" si="165"/>
        <v>8.7420875242334695E-12</v>
      </c>
      <c r="AM180" s="59">
        <f t="shared" si="113"/>
        <v>289.19348642290402</v>
      </c>
      <c r="AN180" s="59">
        <f ca="1">AVERAGE(OFFSET($AM$3,0,0,'Données projet'!$E$10+1,1))-AVERAGE(OFFSET($H$3,0,0,'Données projet'!$E$10+1,1))</f>
        <v>737.40414421611001</v>
      </c>
      <c r="AO180" s="59">
        <f t="shared" si="144"/>
        <v>245.32893490531674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122.01499934884765</v>
      </c>
      <c r="AV180" s="21">
        <f>EXP(-LN(2)/25)*AV179+(1-EXP(-LN(2)/25))/(LN(2)/25)*Calculateur!AQ180*Calculateur!AS180*VLOOKUP('Données projet'!$B$10,Paramètres!$A$1:$I$89,3,0)*0.475*44/12</f>
        <v>18.464837315338659</v>
      </c>
      <c r="AW180" s="21">
        <f>EXP(-LN(2)/2)*AW179+(1-EXP(-LN(2)/2))/(LN(2)/2)*AQ180*AT180*VLOOKUP('Données projet'!$B$10,Paramètres!$A$1:$I$89,3,0)*0.475*44/12</f>
        <v>2.2231001767588607E-2</v>
      </c>
      <c r="AX180" s="21">
        <f t="shared" si="166"/>
        <v>140.50206766595389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4.7884896048344674E-14</v>
      </c>
      <c r="BF180" s="13">
        <f t="shared" si="167"/>
        <v>7.8374629847779921E-13</v>
      </c>
      <c r="BG180" s="20">
        <f t="shared" si="168"/>
        <v>1.4484243304663672E-12</v>
      </c>
      <c r="BH180" s="59">
        <f t="shared" si="116"/>
        <v>289.19348642289668</v>
      </c>
      <c r="BI180" s="59">
        <f ca="1">AVERAGE(OFFSET($BH$3,0,0,'Données projet'!$E$11+1,1))-AVERAGE(OFFSET($H$3,0,0,'Données projet'!$E$11+1,1))</f>
        <v>456.35333554128226</v>
      </c>
      <c r="BJ180" s="59">
        <f t="shared" si="146"/>
        <v>296.4517290984877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29.985628935029286</v>
      </c>
      <c r="BQ180" s="21">
        <f>EXP(-LN(2)/25)*BQ179+(1-EXP(-LN(2)/25))/(LN(2)/25)*Calculateur!BL180*Calculateur!BN180*VLOOKUP('Données projet'!$B$11,Paramètres!$A$1:$I$89,3,0)*0.475*44/12</f>
        <v>3.9076865239817731</v>
      </c>
      <c r="BR180" s="21">
        <f>EXP(-LN(2)/2)*BR179+(1-EXP(-LN(2)/2))/(LN(2)/2)*BL180*BO180*VLOOKUP('Données projet'!$B$11,Paramètres!$A$1:$I$89,3,0)*0.475*44/12</f>
        <v>1.5276223046843063E-10</v>
      </c>
      <c r="BS180" s="22">
        <f t="shared" si="169"/>
        <v>33.893315459163816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2.5579538487363607E-13</v>
      </c>
      <c r="BZ180" s="13">
        <f>BY180*VLOOKUP('Données projet'!$B$12,Paramètres!$A$1:$I$89,3,0)*VLOOKUP('Données projet'!$B$12,Paramètres!$A$1:$I$89,5,0)</f>
        <v>2.4341488824575211E-13</v>
      </c>
      <c r="CA180" s="13">
        <f t="shared" si="170"/>
        <v>3.2970717324875541E-12</v>
      </c>
      <c r="CB180" s="20">
        <f t="shared" si="171"/>
        <v>6.1663475311105072E-12</v>
      </c>
      <c r="CC180" s="59">
        <f t="shared" si="119"/>
        <v>289.1934864229014</v>
      </c>
      <c r="CD180" s="59">
        <f ca="1">AVERAGE(OFFSET($CC$3,0,0,'Données projet'!$E$12+1,1))-AVERAGE(OFFSET($H$3,0,0,'Données projet'!$E$12+1,1))</f>
        <v>486.36097333679697</v>
      </c>
      <c r="CE180" s="59">
        <f t="shared" si="148"/>
        <v>308.47736602748159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26.078474697228927</v>
      </c>
      <c r="CL180" s="21">
        <f>EXP(-LN(2)/25)*CL179+(1-EXP(-LN(2)/25))/(LN(2)/25)*Calculateur!CG180*Calculateur!CI180*VLOOKUP('Données projet'!$B$12,Paramètres!$A$1:$I$89,3,0)*0.475*44/12</f>
        <v>16.356255774752992</v>
      </c>
      <c r="CM180" s="21">
        <f>EXP(-LN(2)/2)*CM179+(1-EXP(-LN(2)/2))/(LN(2)/2)*CG180*CJ180*VLOOKUP('Données projet'!$B$12,Paramètres!$A$1:$I$89,3,0)*0.475*44/12</f>
        <v>3.0220258220888299E-6</v>
      </c>
      <c r="CN180" s="22">
        <f t="shared" si="172"/>
        <v>42.434733494007745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289.26530351148801</v>
      </c>
      <c r="S181" s="59">
        <f ca="1">AVERAGE(OFFSET($R$3,0,0,'Données projet'!$E$9+1,1))-AVERAGE(OFFSET($H$3,0,0,'Données projet'!$E$9+1,1))</f>
        <v>407.05634973057056</v>
      </c>
      <c r="T181" s="59">
        <f t="shared" si="142"/>
        <v>375.32891954889965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3.979039320256561E-13</v>
      </c>
      <c r="AJ181" s="13">
        <f>AI181*VLOOKUP('Données projet'!$B$10,Paramètres!$A$1:$I$89,3,0)*VLOOKUP('Données projet'!$B$10,Paramètres!$A$1:$I$89,5,0)</f>
        <v>3.6002347769681362E-13</v>
      </c>
      <c r="AK181" s="13">
        <f t="shared" si="164"/>
        <v>4.6593569189922594E-12</v>
      </c>
      <c r="AL181" s="20">
        <f t="shared" si="165"/>
        <v>8.7420875242334695E-12</v>
      </c>
      <c r="AM181" s="59">
        <f t="shared" si="113"/>
        <v>289.26530351148892</v>
      </c>
      <c r="AN181" s="59">
        <f ca="1">AVERAGE(OFFSET($AM$3,0,0,'Données projet'!$E$10+1,1))-AVERAGE(OFFSET($H$3,0,0,'Données projet'!$E$10+1,1))</f>
        <v>737.40414421611001</v>
      </c>
      <c r="AO181" s="59">
        <f t="shared" si="144"/>
        <v>245.32893490531674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119.62235963341782</v>
      </c>
      <c r="AV181" s="21">
        <f>EXP(-LN(2)/25)*AV180+(1-EXP(-LN(2)/25))/(LN(2)/25)*Calculateur!AQ181*Calculateur!AS181*VLOOKUP('Données projet'!$B$10,Paramètres!$A$1:$I$89,3,0)*0.475*44/12</f>
        <v>17.959915367927131</v>
      </c>
      <c r="AW181" s="21">
        <f>EXP(-LN(2)/2)*AW180+(1-EXP(-LN(2)/2))/(LN(2)/2)*AQ181*AT181*VLOOKUP('Données projet'!$B$10,Paramètres!$A$1:$I$89,3,0)*0.475*44/12</f>
        <v>1.5719692102432029E-2</v>
      </c>
      <c r="AX181" s="21">
        <f t="shared" si="166"/>
        <v>137.59799469344739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4.7884896048344674E-14</v>
      </c>
      <c r="BF181" s="13">
        <f t="shared" si="167"/>
        <v>7.8374629847779921E-13</v>
      </c>
      <c r="BG181" s="20">
        <f t="shared" si="168"/>
        <v>1.4484243304663672E-12</v>
      </c>
      <c r="BH181" s="59">
        <f t="shared" si="116"/>
        <v>289.26530351148159</v>
      </c>
      <c r="BI181" s="59">
        <f ca="1">AVERAGE(OFFSET($BH$3,0,0,'Données projet'!$E$11+1,1))-AVERAGE(OFFSET($H$3,0,0,'Données projet'!$E$11+1,1))</f>
        <v>456.35333554128226</v>
      </c>
      <c r="BJ181" s="59">
        <f t="shared" si="146"/>
        <v>296.4517290984877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29.397629041041082</v>
      </c>
      <c r="BQ181" s="21">
        <f>EXP(-LN(2)/25)*BQ180+(1-EXP(-LN(2)/25))/(LN(2)/25)*Calculateur!BL181*Calculateur!BN181*VLOOKUP('Données projet'!$B$11,Paramètres!$A$1:$I$89,3,0)*0.475*44/12</f>
        <v>3.8008306304871882</v>
      </c>
      <c r="BR181" s="21">
        <f>EXP(-LN(2)/2)*BR180+(1-EXP(-LN(2)/2))/(LN(2)/2)*BL181*BO181*VLOOKUP('Données projet'!$B$11,Paramètres!$A$1:$I$89,3,0)*0.475*44/12</f>
        <v>1.0801920907340952E-10</v>
      </c>
      <c r="BS181" s="22">
        <f t="shared" si="169"/>
        <v>33.198459671636286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2.5579538487363607E-13</v>
      </c>
      <c r="BZ181" s="13">
        <f>BY181*VLOOKUP('Données projet'!$B$12,Paramètres!$A$1:$I$89,3,0)*VLOOKUP('Données projet'!$B$12,Paramètres!$A$1:$I$89,5,0)</f>
        <v>2.4341488824575211E-13</v>
      </c>
      <c r="CA181" s="13">
        <f t="shared" si="170"/>
        <v>3.2970717324875541E-12</v>
      </c>
      <c r="CB181" s="20">
        <f t="shared" si="171"/>
        <v>6.1663475311105072E-12</v>
      </c>
      <c r="CC181" s="59">
        <f t="shared" si="119"/>
        <v>289.26530351148631</v>
      </c>
      <c r="CD181" s="59">
        <f ca="1">AVERAGE(OFFSET($CC$3,0,0,'Données projet'!$E$12+1,1))-AVERAGE(OFFSET($H$3,0,0,'Données projet'!$E$12+1,1))</f>
        <v>486.36097333679697</v>
      </c>
      <c r="CE181" s="59">
        <f t="shared" si="148"/>
        <v>308.47736602748159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25.567091714715218</v>
      </c>
      <c r="CL181" s="21">
        <f>EXP(-LN(2)/25)*CL180+(1-EXP(-LN(2)/25))/(LN(2)/25)*Calculateur!CG181*Calculateur!CI181*VLOOKUP('Données projet'!$B$12,Paramètres!$A$1:$I$89,3,0)*0.475*44/12</f>
        <v>15.908993100454262</v>
      </c>
      <c r="CM181" s="21">
        <f>EXP(-LN(2)/2)*CM180+(1-EXP(-LN(2)/2))/(LN(2)/2)*CG181*CJ181*VLOOKUP('Données projet'!$B$12,Paramètres!$A$1:$I$89,3,0)*0.475*44/12</f>
        <v>2.1368949517198626E-6</v>
      </c>
      <c r="CN181" s="22">
        <f t="shared" si="172"/>
        <v>41.476086952064428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289.33587473414497</v>
      </c>
      <c r="S182" s="59">
        <f ca="1">AVERAGE(OFFSET($R$3,0,0,'Données projet'!$E$9+1,1))-AVERAGE(OFFSET($H$3,0,0,'Données projet'!$E$9+1,1))</f>
        <v>407.05634973057056</v>
      </c>
      <c r="T182" s="59">
        <f t="shared" si="142"/>
        <v>375.32891954889965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3.979039320256561E-13</v>
      </c>
      <c r="AJ182" s="13">
        <f>AI182*VLOOKUP('Données projet'!$B$10,Paramètres!$A$1:$I$89,3,0)*VLOOKUP('Données projet'!$B$10,Paramètres!$A$1:$I$89,5,0)</f>
        <v>3.6002347769681362E-13</v>
      </c>
      <c r="AK182" s="13">
        <f t="shared" si="164"/>
        <v>4.6593569189922594E-12</v>
      </c>
      <c r="AL182" s="20">
        <f t="shared" si="165"/>
        <v>8.7420875242334695E-12</v>
      </c>
      <c r="AM182" s="59">
        <f t="shared" si="113"/>
        <v>289.33587473414588</v>
      </c>
      <c r="AN182" s="59">
        <f ca="1">AVERAGE(OFFSET($AM$3,0,0,'Données projet'!$E$10+1,1))-AVERAGE(OFFSET($H$3,0,0,'Données projet'!$E$10+1,1))</f>
        <v>737.40414421611001</v>
      </c>
      <c r="AO182" s="59">
        <f t="shared" si="144"/>
        <v>245.32893490531674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117.27663812344143</v>
      </c>
      <c r="AV182" s="21">
        <f>EXP(-LN(2)/25)*AV181+(1-EXP(-LN(2)/25))/(LN(2)/25)*Calculateur!AQ182*Calculateur!AS182*VLOOKUP('Données projet'!$B$10,Paramètres!$A$1:$I$89,3,0)*0.475*44/12</f>
        <v>17.468800537720263</v>
      </c>
      <c r="AW182" s="21">
        <f>EXP(-LN(2)/2)*AW181+(1-EXP(-LN(2)/2))/(LN(2)/2)*AQ182*AT182*VLOOKUP('Données projet'!$B$10,Paramètres!$A$1:$I$89,3,0)*0.475*44/12</f>
        <v>1.1115500883794304E-2</v>
      </c>
      <c r="AX182" s="21">
        <f t="shared" si="166"/>
        <v>134.75655416204549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4.7884896048344674E-14</v>
      </c>
      <c r="BF182" s="13">
        <f t="shared" si="167"/>
        <v>7.8374629847779921E-13</v>
      </c>
      <c r="BG182" s="20">
        <f t="shared" si="168"/>
        <v>1.4484243304663672E-12</v>
      </c>
      <c r="BH182" s="59">
        <f t="shared" si="116"/>
        <v>289.33587473413854</v>
      </c>
      <c r="BI182" s="59">
        <f ca="1">AVERAGE(OFFSET($BH$3,0,0,'Données projet'!$E$11+1,1))-AVERAGE(OFFSET($H$3,0,0,'Données projet'!$E$11+1,1))</f>
        <v>456.35333554128226</v>
      </c>
      <c r="BJ182" s="59">
        <f t="shared" si="146"/>
        <v>296.4517290984877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28.821159466329462</v>
      </c>
      <c r="BQ182" s="21">
        <f>EXP(-LN(2)/25)*BQ181+(1-EXP(-LN(2)/25))/(LN(2)/25)*Calculateur!BL182*Calculateur!BN182*VLOOKUP('Données projet'!$B$11,Paramètres!$A$1:$I$89,3,0)*0.475*44/12</f>
        <v>3.6968967170195199</v>
      </c>
      <c r="BR182" s="21">
        <f>EXP(-LN(2)/2)*BR181+(1-EXP(-LN(2)/2))/(LN(2)/2)*BL182*BO182*VLOOKUP('Données projet'!$B$11,Paramètres!$A$1:$I$89,3,0)*0.475*44/12</f>
        <v>7.6381115234215314E-11</v>
      </c>
      <c r="BS182" s="22">
        <f t="shared" si="169"/>
        <v>32.518056183425365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2.5579538487363607E-13</v>
      </c>
      <c r="BZ182" s="13">
        <f>BY182*VLOOKUP('Données projet'!$B$12,Paramètres!$A$1:$I$89,3,0)*VLOOKUP('Données projet'!$B$12,Paramètres!$A$1:$I$89,5,0)</f>
        <v>2.4341488824575211E-13</v>
      </c>
      <c r="CA182" s="13">
        <f t="shared" si="170"/>
        <v>3.2970717324875541E-12</v>
      </c>
      <c r="CB182" s="20">
        <f t="shared" si="171"/>
        <v>6.1663475311105072E-12</v>
      </c>
      <c r="CC182" s="59">
        <f t="shared" si="119"/>
        <v>289.33587473414326</v>
      </c>
      <c r="CD182" s="59">
        <f ca="1">AVERAGE(OFFSET($CC$3,0,0,'Données projet'!$E$12+1,1))-AVERAGE(OFFSET($H$3,0,0,'Données projet'!$E$12+1,1))</f>
        <v>486.36097333679697</v>
      </c>
      <c r="CE182" s="59">
        <f t="shared" si="148"/>
        <v>308.47736602748159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25.065736640575782</v>
      </c>
      <c r="CL182" s="21">
        <f>EXP(-LN(2)/25)*CL181+(1-EXP(-LN(2)/25))/(LN(2)/25)*Calculateur!CG182*Calculateur!CI182*VLOOKUP('Données projet'!$B$12,Paramètres!$A$1:$I$89,3,0)*0.475*44/12</f>
        <v>15.473960847504754</v>
      </c>
      <c r="CM182" s="21">
        <f>EXP(-LN(2)/2)*CM181+(1-EXP(-LN(2)/2))/(LN(2)/2)*CG182*CJ182*VLOOKUP('Données projet'!$B$12,Paramètres!$A$1:$I$89,3,0)*0.475*44/12</f>
        <v>1.511012911044415E-6</v>
      </c>
      <c r="CN182" s="22">
        <f t="shared" si="172"/>
        <v>40.539698999093446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289.40522170386248</v>
      </c>
      <c r="S183" s="59">
        <f ca="1">AVERAGE(OFFSET($R$3,0,0,'Données projet'!$E$9+1,1))-AVERAGE(OFFSET($H$3,0,0,'Données projet'!$E$9+1,1))</f>
        <v>407.05634973057056</v>
      </c>
      <c r="T183" s="59">
        <f t="shared" si="142"/>
        <v>375.32891954889965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3.979039320256561E-13</v>
      </c>
      <c r="AJ183" s="13">
        <f>AI183*VLOOKUP('Données projet'!$B$10,Paramètres!$A$1:$I$89,3,0)*VLOOKUP('Données projet'!$B$10,Paramètres!$A$1:$I$89,5,0)</f>
        <v>3.6002347769681362E-13</v>
      </c>
      <c r="AK183" s="13">
        <f t="shared" si="164"/>
        <v>4.6593569189922594E-12</v>
      </c>
      <c r="AL183" s="20">
        <f t="shared" si="165"/>
        <v>8.7420875242334695E-12</v>
      </c>
      <c r="AM183" s="59">
        <f t="shared" si="113"/>
        <v>289.40522170386339</v>
      </c>
      <c r="AN183" s="59">
        <f ca="1">AVERAGE(OFFSET($AM$3,0,0,'Données projet'!$E$10+1,1))-AVERAGE(OFFSET($H$3,0,0,'Données projet'!$E$10+1,1))</f>
        <v>737.40414421611001</v>
      </c>
      <c r="AO183" s="59">
        <f t="shared" si="144"/>
        <v>245.32893490531674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114.97691478152683</v>
      </c>
      <c r="AV183" s="21">
        <f>EXP(-LN(2)/25)*AV182+(1-EXP(-LN(2)/25))/(LN(2)/25)*Calculateur!AQ183*Calculateur!AS183*VLOOKUP('Données projet'!$B$10,Paramètres!$A$1:$I$89,3,0)*0.475*44/12</f>
        <v>16.991115268372006</v>
      </c>
      <c r="AW183" s="21">
        <f>EXP(-LN(2)/2)*AW182+(1-EXP(-LN(2)/2))/(LN(2)/2)*AQ183*AT183*VLOOKUP('Données projet'!$B$10,Paramètres!$A$1:$I$89,3,0)*0.475*44/12</f>
        <v>7.8598460512160143E-3</v>
      </c>
      <c r="AX183" s="21">
        <f t="shared" si="166"/>
        <v>131.97588989595005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4.7884896048344674E-14</v>
      </c>
      <c r="BF183" s="13">
        <f t="shared" si="167"/>
        <v>7.8374629847779921E-13</v>
      </c>
      <c r="BG183" s="20">
        <f t="shared" si="168"/>
        <v>1.4484243304663672E-12</v>
      </c>
      <c r="BH183" s="59">
        <f t="shared" si="116"/>
        <v>289.40522170385606</v>
      </c>
      <c r="BI183" s="59">
        <f ca="1">AVERAGE(OFFSET($BH$3,0,0,'Données projet'!$E$11+1,1))-AVERAGE(OFFSET($H$3,0,0,'Données projet'!$E$11+1,1))</f>
        <v>456.35333554128226</v>
      </c>
      <c r="BJ183" s="59">
        <f t="shared" si="146"/>
        <v>296.4517290984877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28.255994108366217</v>
      </c>
      <c r="BQ183" s="21">
        <f>EXP(-LN(2)/25)*BQ182+(1-EXP(-LN(2)/25))/(LN(2)/25)*Calculateur!BL183*Calculateur!BN183*VLOOKUP('Données projet'!$B$11,Paramètres!$A$1:$I$89,3,0)*0.475*44/12</f>
        <v>3.5958048818812722</v>
      </c>
      <c r="BR183" s="21">
        <f>EXP(-LN(2)/2)*BR182+(1-EXP(-LN(2)/2))/(LN(2)/2)*BL183*BO183*VLOOKUP('Données projet'!$B$11,Paramètres!$A$1:$I$89,3,0)*0.475*44/12</f>
        <v>5.4009604536704761E-11</v>
      </c>
      <c r="BS183" s="22">
        <f t="shared" si="169"/>
        <v>31.851798990301496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2.5579538487363607E-13</v>
      </c>
      <c r="BZ183" s="13">
        <f>BY183*VLOOKUP('Données projet'!$B$12,Paramètres!$A$1:$I$89,3,0)*VLOOKUP('Données projet'!$B$12,Paramètres!$A$1:$I$89,5,0)</f>
        <v>2.4341488824575211E-13</v>
      </c>
      <c r="CA183" s="13">
        <f t="shared" si="170"/>
        <v>3.2970717324875541E-12</v>
      </c>
      <c r="CB183" s="20">
        <f t="shared" si="171"/>
        <v>6.1663475311105072E-12</v>
      </c>
      <c r="CC183" s="59">
        <f t="shared" si="119"/>
        <v>289.40522170386078</v>
      </c>
      <c r="CD183" s="59">
        <f ca="1">AVERAGE(OFFSET($CC$3,0,0,'Données projet'!$E$12+1,1))-AVERAGE(OFFSET($H$3,0,0,'Données projet'!$E$12+1,1))</f>
        <v>486.36097333679697</v>
      </c>
      <c r="CE183" s="59">
        <f t="shared" si="148"/>
        <v>308.47736602748159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24.57421283364382</v>
      </c>
      <c r="CL183" s="21">
        <f>EXP(-LN(2)/25)*CL182+(1-EXP(-LN(2)/25))/(LN(2)/25)*Calculateur!CG183*Calculateur!CI183*VLOOKUP('Données projet'!$B$12,Paramètres!$A$1:$I$89,3,0)*0.475*44/12</f>
        <v>15.050824574389502</v>
      </c>
      <c r="CM183" s="21">
        <f>EXP(-LN(2)/2)*CM182+(1-EXP(-LN(2)/2))/(LN(2)/2)*CG183*CJ183*VLOOKUP('Données projet'!$B$12,Paramètres!$A$1:$I$89,3,0)*0.475*44/12</f>
        <v>1.0684474758599313E-6</v>
      </c>
      <c r="CN183" s="22">
        <f t="shared" si="172"/>
        <v>39.625038476480796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289.47336565869193</v>
      </c>
      <c r="S184" s="59">
        <f ca="1">AVERAGE(OFFSET($R$3,0,0,'Données projet'!$E$9+1,1))-AVERAGE(OFFSET($H$3,0,0,'Données projet'!$E$9+1,1))</f>
        <v>407.05634973057056</v>
      </c>
      <c r="T184" s="59">
        <f t="shared" si="142"/>
        <v>375.32891954889965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3.979039320256561E-13</v>
      </c>
      <c r="AJ184" s="13">
        <f>AI184*VLOOKUP('Données projet'!$B$10,Paramètres!$A$1:$I$89,3,0)*VLOOKUP('Données projet'!$B$10,Paramètres!$A$1:$I$89,5,0)</f>
        <v>3.6002347769681362E-13</v>
      </c>
      <c r="AK184" s="13">
        <f t="shared" si="164"/>
        <v>4.6593569189922594E-12</v>
      </c>
      <c r="AL184" s="20">
        <f t="shared" si="165"/>
        <v>8.7420875242334695E-12</v>
      </c>
      <c r="AM184" s="59">
        <f t="shared" si="113"/>
        <v>289.47336565869284</v>
      </c>
      <c r="AN184" s="59">
        <f ca="1">AVERAGE(OFFSET($AM$3,0,0,'Données projet'!$E$10+1,1))-AVERAGE(OFFSET($H$3,0,0,'Données projet'!$E$10+1,1))</f>
        <v>737.40414421611001</v>
      </c>
      <c r="AO184" s="59">
        <f t="shared" si="144"/>
        <v>245.32893490531674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112.72228761165444</v>
      </c>
      <c r="AV184" s="21">
        <f>EXP(-LN(2)/25)*AV183+(1-EXP(-LN(2)/25))/(LN(2)/25)*Calculateur!AQ184*Calculateur!AS184*VLOOKUP('Données projet'!$B$10,Paramètres!$A$1:$I$89,3,0)*0.475*44/12</f>
        <v>16.526492327834454</v>
      </c>
      <c r="AW184" s="21">
        <f>EXP(-LN(2)/2)*AW183+(1-EXP(-LN(2)/2))/(LN(2)/2)*AQ184*AT184*VLOOKUP('Données projet'!$B$10,Paramètres!$A$1:$I$89,3,0)*0.475*44/12</f>
        <v>5.5577504418971519E-3</v>
      </c>
      <c r="AX184" s="21">
        <f t="shared" si="166"/>
        <v>129.25433768993079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4.7884896048344674E-14</v>
      </c>
      <c r="BF184" s="13">
        <f t="shared" si="167"/>
        <v>7.8374629847779921E-13</v>
      </c>
      <c r="BG184" s="20">
        <f t="shared" si="168"/>
        <v>1.4484243304663672E-12</v>
      </c>
      <c r="BH184" s="59">
        <f t="shared" si="116"/>
        <v>289.47336565868551</v>
      </c>
      <c r="BI184" s="59">
        <f ca="1">AVERAGE(OFFSET($BH$3,0,0,'Données projet'!$E$11+1,1))-AVERAGE(OFFSET($H$3,0,0,'Données projet'!$E$11+1,1))</f>
        <v>456.35333554128226</v>
      </c>
      <c r="BJ184" s="59">
        <f t="shared" si="146"/>
        <v>296.4517290984877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27.7019112983558</v>
      </c>
      <c r="BQ184" s="21">
        <f>EXP(-LN(2)/25)*BQ183+(1-EXP(-LN(2)/25))/(LN(2)/25)*Calculateur!BL184*Calculateur!BN184*VLOOKUP('Données projet'!$B$11,Paramètres!$A$1:$I$89,3,0)*0.475*44/12</f>
        <v>3.4974774082910685</v>
      </c>
      <c r="BR184" s="21">
        <f>EXP(-LN(2)/2)*BR183+(1-EXP(-LN(2)/2))/(LN(2)/2)*BL184*BO184*VLOOKUP('Données projet'!$B$11,Paramètres!$A$1:$I$89,3,0)*0.475*44/12</f>
        <v>3.8190557617107657E-11</v>
      </c>
      <c r="BS184" s="22">
        <f t="shared" si="169"/>
        <v>31.19938870668506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2.5579538487363607E-13</v>
      </c>
      <c r="BZ184" s="13">
        <f>BY184*VLOOKUP('Données projet'!$B$12,Paramètres!$A$1:$I$89,3,0)*VLOOKUP('Données projet'!$B$12,Paramètres!$A$1:$I$89,5,0)</f>
        <v>2.4341488824575211E-13</v>
      </c>
      <c r="CA184" s="13">
        <f t="shared" si="170"/>
        <v>3.2970717324875541E-12</v>
      </c>
      <c r="CB184" s="20">
        <f t="shared" si="171"/>
        <v>6.1663475311105072E-12</v>
      </c>
      <c r="CC184" s="59">
        <f t="shared" si="119"/>
        <v>289.47336565869023</v>
      </c>
      <c r="CD184" s="59">
        <f ca="1">AVERAGE(OFFSET($CC$3,0,0,'Données projet'!$E$12+1,1))-AVERAGE(OFFSET($H$3,0,0,'Données projet'!$E$12+1,1))</f>
        <v>486.36097333679697</v>
      </c>
      <c r="CE184" s="59">
        <f t="shared" si="148"/>
        <v>308.47736602748159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24.092327508765873</v>
      </c>
      <c r="CL184" s="21">
        <f>EXP(-LN(2)/25)*CL183+(1-EXP(-LN(2)/25))/(LN(2)/25)*Calculateur!CG184*Calculateur!CI184*VLOOKUP('Données projet'!$B$12,Paramètres!$A$1:$I$89,3,0)*0.475*44/12</f>
        <v>14.639258984914356</v>
      </c>
      <c r="CM184" s="21">
        <f>EXP(-LN(2)/2)*CM183+(1-EXP(-LN(2)/2))/(LN(2)/2)*CG184*CJ184*VLOOKUP('Données projet'!$B$12,Paramètres!$A$1:$I$89,3,0)*0.475*44/12</f>
        <v>7.5550645552220748E-7</v>
      </c>
      <c r="CN184" s="22">
        <f t="shared" si="172"/>
        <v>38.731587249186681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289.54032746825226</v>
      </c>
      <c r="S185" s="59">
        <f ca="1">AVERAGE(OFFSET($R$3,0,0,'Données projet'!$E$9+1,1))-AVERAGE(OFFSET($H$3,0,0,'Données projet'!$E$9+1,1))</f>
        <v>407.05634973057056</v>
      </c>
      <c r="T185" s="59">
        <f t="shared" si="142"/>
        <v>375.32891954889965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3.979039320256561E-13</v>
      </c>
      <c r="AJ185" s="13">
        <f>AI185*VLOOKUP('Données projet'!$B$10,Paramètres!$A$1:$I$89,3,0)*VLOOKUP('Données projet'!$B$10,Paramètres!$A$1:$I$89,5,0)</f>
        <v>3.6002347769681362E-13</v>
      </c>
      <c r="AK185" s="13">
        <f t="shared" si="164"/>
        <v>4.6593569189922594E-12</v>
      </c>
      <c r="AL185" s="20">
        <f t="shared" si="165"/>
        <v>8.7420875242334695E-12</v>
      </c>
      <c r="AM185" s="59">
        <f t="shared" si="113"/>
        <v>289.54032746825317</v>
      </c>
      <c r="AN185" s="59">
        <f ca="1">AVERAGE(OFFSET($AM$3,0,0,'Données projet'!$E$10+1,1))-AVERAGE(OFFSET($H$3,0,0,'Données projet'!$E$10+1,1))</f>
        <v>737.40414421611001</v>
      </c>
      <c r="AO185" s="59">
        <f t="shared" si="144"/>
        <v>245.32893490531674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110.51187230539647</v>
      </c>
      <c r="AV185" s="21">
        <f>EXP(-LN(2)/25)*AV184+(1-EXP(-LN(2)/25))/(LN(2)/25)*Calculateur!AQ185*Calculateur!AS185*VLOOKUP('Données projet'!$B$10,Paramètres!$A$1:$I$89,3,0)*0.475*44/12</f>
        <v>16.07457452603936</v>
      </c>
      <c r="AW185" s="21">
        <f>EXP(-LN(2)/2)*AW184+(1-EXP(-LN(2)/2))/(LN(2)/2)*AQ185*AT185*VLOOKUP('Données projet'!$B$10,Paramètres!$A$1:$I$89,3,0)*0.475*44/12</f>
        <v>3.9299230256080071E-3</v>
      </c>
      <c r="AX185" s="21">
        <f t="shared" si="166"/>
        <v>126.59037675446143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4.7884896048344674E-14</v>
      </c>
      <c r="BF185" s="13">
        <f t="shared" si="167"/>
        <v>7.8374629847779921E-13</v>
      </c>
      <c r="BG185" s="20">
        <f t="shared" si="168"/>
        <v>1.4484243304663672E-12</v>
      </c>
      <c r="BH185" s="59">
        <f t="shared" si="116"/>
        <v>289.54032746824583</v>
      </c>
      <c r="BI185" s="59">
        <f ca="1">AVERAGE(OFFSET($BH$3,0,0,'Données projet'!$E$11+1,1))-AVERAGE(OFFSET($H$3,0,0,'Données projet'!$E$11+1,1))</f>
        <v>456.35333554128226</v>
      </c>
      <c r="BJ185" s="59">
        <f t="shared" si="146"/>
        <v>296.4517290984877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27.158693714292543</v>
      </c>
      <c r="BQ185" s="21">
        <f>EXP(-LN(2)/25)*BQ184+(1-EXP(-LN(2)/25))/(LN(2)/25)*Calculateur!BL185*Calculateur!BN185*VLOOKUP('Données projet'!$B$11,Paramètres!$A$1:$I$89,3,0)*0.475*44/12</f>
        <v>3.4018387046370058</v>
      </c>
      <c r="BR185" s="21">
        <f>EXP(-LN(2)/2)*BR184+(1-EXP(-LN(2)/2))/(LN(2)/2)*BL185*BO185*VLOOKUP('Données projet'!$B$11,Paramètres!$A$1:$I$89,3,0)*0.475*44/12</f>
        <v>2.700480226835238E-11</v>
      </c>
      <c r="BS185" s="22">
        <f t="shared" si="169"/>
        <v>30.560532418956551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2.5579538487363607E-13</v>
      </c>
      <c r="BZ185" s="13">
        <f>BY185*VLOOKUP('Données projet'!$B$12,Paramètres!$A$1:$I$89,3,0)*VLOOKUP('Données projet'!$B$12,Paramètres!$A$1:$I$89,5,0)</f>
        <v>2.4341488824575211E-13</v>
      </c>
      <c r="CA185" s="13">
        <f t="shared" si="170"/>
        <v>3.2970717324875541E-12</v>
      </c>
      <c r="CB185" s="20">
        <f t="shared" si="171"/>
        <v>6.1663475311105072E-12</v>
      </c>
      <c r="CC185" s="59">
        <f t="shared" si="119"/>
        <v>289.54032746825055</v>
      </c>
      <c r="CD185" s="59">
        <f ca="1">AVERAGE(OFFSET($CC$3,0,0,'Données projet'!$E$12+1,1))-AVERAGE(OFFSET($H$3,0,0,'Données projet'!$E$12+1,1))</f>
        <v>486.36097333679697</v>
      </c>
      <c r="CE185" s="59">
        <f t="shared" si="148"/>
        <v>308.47736602748159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23.619891661187758</v>
      </c>
      <c r="CL185" s="21">
        <f>EXP(-LN(2)/25)*CL184+(1-EXP(-LN(2)/25))/(LN(2)/25)*Calculateur!CG185*Calculateur!CI185*VLOOKUP('Données projet'!$B$12,Paramètres!$A$1:$I$89,3,0)*0.475*44/12</f>
        <v>14.238947678126701</v>
      </c>
      <c r="CM185" s="21">
        <f>EXP(-LN(2)/2)*CM184+(1-EXP(-LN(2)/2))/(LN(2)/2)*CG185*CJ185*VLOOKUP('Données projet'!$B$12,Paramètres!$A$1:$I$89,3,0)*0.475*44/12</f>
        <v>5.3422373792996566E-7</v>
      </c>
      <c r="CN185" s="22">
        <f t="shared" si="172"/>
        <v>37.858839873538194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289.6061276401208</v>
      </c>
      <c r="S186" s="59">
        <f ca="1">AVERAGE(OFFSET($R$3,0,0,'Données projet'!$E$9+1,1))-AVERAGE(OFFSET($H$3,0,0,'Données projet'!$E$9+1,1))</f>
        <v>407.05634973057056</v>
      </c>
      <c r="T186" s="59">
        <f t="shared" si="142"/>
        <v>375.32891954889965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3.979039320256561E-13</v>
      </c>
      <c r="AJ186" s="13">
        <f>AI186*VLOOKUP('Données projet'!$B$10,Paramètres!$A$1:$I$89,3,0)*VLOOKUP('Données projet'!$B$10,Paramètres!$A$1:$I$89,5,0)</f>
        <v>3.6002347769681362E-13</v>
      </c>
      <c r="AK186" s="13">
        <f t="shared" si="164"/>
        <v>4.6593569189922594E-12</v>
      </c>
      <c r="AL186" s="20">
        <f t="shared" si="165"/>
        <v>8.7420875242334695E-12</v>
      </c>
      <c r="AM186" s="59">
        <f t="shared" si="113"/>
        <v>289.60612764012171</v>
      </c>
      <c r="AN186" s="59">
        <f ca="1">AVERAGE(OFFSET($AM$3,0,0,'Données projet'!$E$10+1,1))-AVERAGE(OFFSET($H$3,0,0,'Données projet'!$E$10+1,1))</f>
        <v>737.40414421611001</v>
      </c>
      <c r="AO186" s="59">
        <f t="shared" si="144"/>
        <v>245.32893490531674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108.344801895074</v>
      </c>
      <c r="AV186" s="21">
        <f>EXP(-LN(2)/25)*AV185+(1-EXP(-LN(2)/25))/(LN(2)/25)*Calculateur!AQ186*Calculateur!AS186*VLOOKUP('Données projet'!$B$10,Paramètres!$A$1:$I$89,3,0)*0.475*44/12</f>
        <v>15.635014440299678</v>
      </c>
      <c r="AW186" s="21">
        <f>EXP(-LN(2)/2)*AW185+(1-EXP(-LN(2)/2))/(LN(2)/2)*AQ186*AT186*VLOOKUP('Données projet'!$B$10,Paramètres!$A$1:$I$89,3,0)*0.475*44/12</f>
        <v>2.7788752209485759E-3</v>
      </c>
      <c r="AX186" s="21">
        <f t="shared" si="166"/>
        <v>123.98259521059462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4.7884896048344674E-14</v>
      </c>
      <c r="BF186" s="13">
        <f t="shared" si="167"/>
        <v>7.8374629847779921E-13</v>
      </c>
      <c r="BG186" s="20">
        <f t="shared" si="168"/>
        <v>1.4484243304663672E-12</v>
      </c>
      <c r="BH186" s="59">
        <f t="shared" si="116"/>
        <v>289.60612764011438</v>
      </c>
      <c r="BI186" s="59">
        <f ca="1">AVERAGE(OFFSET($BH$3,0,0,'Données projet'!$E$11+1,1))-AVERAGE(OFFSET($H$3,0,0,'Données projet'!$E$11+1,1))</f>
        <v>456.35333554128226</v>
      </c>
      <c r="BJ186" s="59">
        <f t="shared" si="146"/>
        <v>296.4517290984877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26.626128295722758</v>
      </c>
      <c r="BQ186" s="21">
        <f>EXP(-LN(2)/25)*BQ185+(1-EXP(-LN(2)/25))/(LN(2)/25)*Calculateur!BL186*Calculateur!BN186*VLOOKUP('Données projet'!$B$11,Paramètres!$A$1:$I$89,3,0)*0.475*44/12</f>
        <v>3.3088152463637845</v>
      </c>
      <c r="BR186" s="21">
        <f>EXP(-LN(2)/2)*BR185+(1-EXP(-LN(2)/2))/(LN(2)/2)*BL186*BO186*VLOOKUP('Données projet'!$B$11,Paramètres!$A$1:$I$89,3,0)*0.475*44/12</f>
        <v>1.9095278808553829E-11</v>
      </c>
      <c r="BS186" s="22">
        <f t="shared" si="169"/>
        <v>29.934943542105639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2.5579538487363607E-13</v>
      </c>
      <c r="BZ186" s="13">
        <f>BY186*VLOOKUP('Données projet'!$B$12,Paramètres!$A$1:$I$89,3,0)*VLOOKUP('Données projet'!$B$12,Paramètres!$A$1:$I$89,5,0)</f>
        <v>2.4341488824575211E-13</v>
      </c>
      <c r="CA186" s="13">
        <f t="shared" si="170"/>
        <v>3.2970717324875541E-12</v>
      </c>
      <c r="CB186" s="20">
        <f t="shared" si="171"/>
        <v>6.1663475311105072E-12</v>
      </c>
      <c r="CC186" s="59">
        <f t="shared" si="119"/>
        <v>289.6061276401191</v>
      </c>
      <c r="CD186" s="59">
        <f ca="1">AVERAGE(OFFSET($CC$3,0,0,'Données projet'!$E$12+1,1))-AVERAGE(OFFSET($H$3,0,0,'Données projet'!$E$12+1,1))</f>
        <v>486.36097333679697</v>
      </c>
      <c r="CE186" s="59">
        <f t="shared" si="148"/>
        <v>308.47736602748159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23.156719992423234</v>
      </c>
      <c r="CL186" s="21">
        <f>EXP(-LN(2)/25)*CL185+(1-EXP(-LN(2)/25))/(LN(2)/25)*Calculateur!CG186*Calculateur!CI186*VLOOKUP('Données projet'!$B$12,Paramètres!$A$1:$I$89,3,0)*0.475*44/12</f>
        <v>13.849582905074612</v>
      </c>
      <c r="CM186" s="21">
        <f>EXP(-LN(2)/2)*CM185+(1-EXP(-LN(2)/2))/(LN(2)/2)*CG186*CJ186*VLOOKUP('Données projet'!$B$12,Paramètres!$A$1:$I$89,3,0)*0.475*44/12</f>
        <v>3.7775322776110374E-7</v>
      </c>
      <c r="CN186" s="22">
        <f t="shared" si="172"/>
        <v>37.006303275251071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289.67078632611458</v>
      </c>
      <c r="S187" s="59">
        <f ca="1">AVERAGE(OFFSET($R$3,0,0,'Données projet'!$E$9+1,1))-AVERAGE(OFFSET($H$3,0,0,'Données projet'!$E$9+1,1))</f>
        <v>407.05634973057056</v>
      </c>
      <c r="T187" s="59">
        <f t="shared" si="142"/>
        <v>375.32891954889965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3.979039320256561E-13</v>
      </c>
      <c r="AJ187" s="13">
        <f>AI187*VLOOKUP('Données projet'!$B$10,Paramètres!$A$1:$I$89,3,0)*VLOOKUP('Données projet'!$B$10,Paramètres!$A$1:$I$89,5,0)</f>
        <v>3.6002347769681362E-13</v>
      </c>
      <c r="AK187" s="13">
        <f t="shared" si="164"/>
        <v>4.6593569189922594E-12</v>
      </c>
      <c r="AL187" s="20">
        <f t="shared" si="165"/>
        <v>8.7420875242334695E-12</v>
      </c>
      <c r="AM187" s="59">
        <f t="shared" si="113"/>
        <v>289.67078632611549</v>
      </c>
      <c r="AN187" s="59">
        <f ca="1">AVERAGE(OFFSET($AM$3,0,0,'Données projet'!$E$10+1,1))-AVERAGE(OFFSET($H$3,0,0,'Données projet'!$E$10+1,1))</f>
        <v>737.40414421611001</v>
      </c>
      <c r="AO187" s="59">
        <f t="shared" si="144"/>
        <v>245.32893490531674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106.22022641371552</v>
      </c>
      <c r="AV187" s="21">
        <f>EXP(-LN(2)/25)*AV186+(1-EXP(-LN(2)/25))/(LN(2)/25)*Calculateur!AQ187*Calculateur!AS187*VLOOKUP('Données projet'!$B$10,Paramètres!$A$1:$I$89,3,0)*0.475*44/12</f>
        <v>15.207474148220008</v>
      </c>
      <c r="AW187" s="21">
        <f>EXP(-LN(2)/2)*AW186+(1-EXP(-LN(2)/2))/(LN(2)/2)*AQ187*AT187*VLOOKUP('Données projet'!$B$10,Paramètres!$A$1:$I$89,3,0)*0.475*44/12</f>
        <v>1.9649615128040036E-3</v>
      </c>
      <c r="AX187" s="21">
        <f t="shared" si="166"/>
        <v>121.42966552344832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4.7884896048344674E-14</v>
      </c>
      <c r="BF187" s="13">
        <f t="shared" si="167"/>
        <v>7.8374629847779921E-13</v>
      </c>
      <c r="BG187" s="20">
        <f t="shared" si="168"/>
        <v>1.4484243304663672E-12</v>
      </c>
      <c r="BH187" s="59">
        <f t="shared" si="116"/>
        <v>289.67078632610816</v>
      </c>
      <c r="BI187" s="59">
        <f ca="1">AVERAGE(OFFSET($BH$3,0,0,'Données projet'!$E$11+1,1))-AVERAGE(OFFSET($H$3,0,0,'Données projet'!$E$11+1,1))</f>
        <v>456.35333554128226</v>
      </c>
      <c r="BJ187" s="59">
        <f t="shared" si="146"/>
        <v>296.4517290984877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26.104006160178294</v>
      </c>
      <c r="BQ187" s="21">
        <f>EXP(-LN(2)/25)*BQ186+(1-EXP(-LN(2)/25))/(LN(2)/25)*Calculateur!BL187*Calculateur!BN187*VLOOKUP('Données projet'!$B$11,Paramètres!$A$1:$I$89,3,0)*0.475*44/12</f>
        <v>3.2183355194489356</v>
      </c>
      <c r="BR187" s="21">
        <f>EXP(-LN(2)/2)*BR186+(1-EXP(-LN(2)/2))/(LN(2)/2)*BL187*BO187*VLOOKUP('Données projet'!$B$11,Paramètres!$A$1:$I$89,3,0)*0.475*44/12</f>
        <v>1.350240113417619E-11</v>
      </c>
      <c r="BS187" s="22">
        <f t="shared" si="169"/>
        <v>29.322341679640733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2.5579538487363607E-13</v>
      </c>
      <c r="BZ187" s="13">
        <f>BY187*VLOOKUP('Données projet'!$B$12,Paramètres!$A$1:$I$89,3,0)*VLOOKUP('Données projet'!$B$12,Paramètres!$A$1:$I$89,5,0)</f>
        <v>2.4341488824575211E-13</v>
      </c>
      <c r="CA187" s="13">
        <f t="shared" si="170"/>
        <v>3.2970717324875541E-12</v>
      </c>
      <c r="CB187" s="20">
        <f t="shared" si="171"/>
        <v>6.1663475311105072E-12</v>
      </c>
      <c r="CC187" s="59">
        <f t="shared" si="119"/>
        <v>289.67078632611288</v>
      </c>
      <c r="CD187" s="59">
        <f ca="1">AVERAGE(OFFSET($CC$3,0,0,'Données projet'!$E$12+1,1))-AVERAGE(OFFSET($H$3,0,0,'Données projet'!$E$12+1,1))</f>
        <v>486.36097333679697</v>
      </c>
      <c r="CE187" s="59">
        <f t="shared" si="148"/>
        <v>308.47736602748159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22.702630837576361</v>
      </c>
      <c r="CL187" s="21">
        <f>EXP(-LN(2)/25)*CL186+(1-EXP(-LN(2)/25))/(LN(2)/25)*Calculateur!CG187*Calculateur!CI187*VLOOKUP('Données projet'!$B$12,Paramètres!$A$1:$I$89,3,0)*0.475*44/12</f>
        <v>13.470865332217436</v>
      </c>
      <c r="CM187" s="21">
        <f>EXP(-LN(2)/2)*CM186+(1-EXP(-LN(2)/2))/(LN(2)/2)*CG187*CJ187*VLOOKUP('Données projet'!$B$12,Paramètres!$A$1:$I$89,3,0)*0.475*44/12</f>
        <v>2.6711186896498283E-7</v>
      </c>
      <c r="CN187" s="22">
        <f t="shared" si="172"/>
        <v>36.173496436905666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289.73432332846158</v>
      </c>
      <c r="S188" s="59">
        <f ca="1">AVERAGE(OFFSET($R$3,0,0,'Données projet'!$E$9+1,1))-AVERAGE(OFFSET($H$3,0,0,'Données projet'!$E$9+1,1))</f>
        <v>407.05634973057056</v>
      </c>
      <c r="T188" s="59">
        <f t="shared" si="142"/>
        <v>375.32891954889965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3.979039320256561E-13</v>
      </c>
      <c r="AJ188" s="13">
        <f>AI188*VLOOKUP('Données projet'!$B$10,Paramètres!$A$1:$I$89,3,0)*VLOOKUP('Données projet'!$B$10,Paramètres!$A$1:$I$89,5,0)</f>
        <v>3.6002347769681362E-13</v>
      </c>
      <c r="AK188" s="13">
        <f t="shared" si="164"/>
        <v>4.6593569189922594E-12</v>
      </c>
      <c r="AL188" s="20">
        <f t="shared" si="165"/>
        <v>8.7420875242334695E-12</v>
      </c>
      <c r="AM188" s="59">
        <f t="shared" si="113"/>
        <v>289.73432332846249</v>
      </c>
      <c r="AN188" s="59">
        <f ca="1">AVERAGE(OFFSET($AM$3,0,0,'Données projet'!$E$10+1,1))-AVERAGE(OFFSET($H$3,0,0,'Données projet'!$E$10+1,1))</f>
        <v>737.40414421611001</v>
      </c>
      <c r="AO188" s="59">
        <f t="shared" si="144"/>
        <v>245.32893490531674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104.1373125616834</v>
      </c>
      <c r="AV188" s="21">
        <f>EXP(-LN(2)/25)*AV187+(1-EXP(-LN(2)/25))/(LN(2)/25)*Calculateur!AQ188*Calculateur!AS188*VLOOKUP('Données projet'!$B$10,Paramètres!$A$1:$I$89,3,0)*0.475*44/12</f>
        <v>14.791624967910623</v>
      </c>
      <c r="AW188" s="21">
        <f>EXP(-LN(2)/2)*AW187+(1-EXP(-LN(2)/2))/(LN(2)/2)*AQ188*AT188*VLOOKUP('Données projet'!$B$10,Paramètres!$A$1:$I$89,3,0)*0.475*44/12</f>
        <v>1.389437610474288E-3</v>
      </c>
      <c r="AX188" s="21">
        <f t="shared" si="166"/>
        <v>118.93032696720449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4.7884896048344674E-14</v>
      </c>
      <c r="BF188" s="13">
        <f t="shared" si="167"/>
        <v>7.8374629847779921E-13</v>
      </c>
      <c r="BG188" s="20">
        <f t="shared" si="168"/>
        <v>1.4484243304663672E-12</v>
      </c>
      <c r="BH188" s="59">
        <f t="shared" si="116"/>
        <v>289.73432332845516</v>
      </c>
      <c r="BI188" s="59">
        <f ca="1">AVERAGE(OFFSET($BH$3,0,0,'Données projet'!$E$11+1,1))-AVERAGE(OFFSET($H$3,0,0,'Données projet'!$E$11+1,1))</f>
        <v>456.35333554128226</v>
      </c>
      <c r="BJ188" s="59">
        <f t="shared" si="146"/>
        <v>296.4517290984877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25.5921225212488</v>
      </c>
      <c r="BQ188" s="21">
        <f>EXP(-LN(2)/25)*BQ187+(1-EXP(-LN(2)/25))/(LN(2)/25)*Calculateur!BL188*Calculateur!BN188*VLOOKUP('Données projet'!$B$11,Paramètres!$A$1:$I$89,3,0)*0.475*44/12</f>
        <v>3.130329965424695</v>
      </c>
      <c r="BR188" s="21">
        <f>EXP(-LN(2)/2)*BR187+(1-EXP(-LN(2)/2))/(LN(2)/2)*BL188*BO188*VLOOKUP('Données projet'!$B$11,Paramètres!$A$1:$I$89,3,0)*0.475*44/12</f>
        <v>9.5476394042769143E-12</v>
      </c>
      <c r="BS188" s="22">
        <f t="shared" si="169"/>
        <v>28.722452486683043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2.5579538487363607E-13</v>
      </c>
      <c r="BZ188" s="13">
        <f>BY188*VLOOKUP('Données projet'!$B$12,Paramètres!$A$1:$I$89,3,0)*VLOOKUP('Données projet'!$B$12,Paramètres!$A$1:$I$89,5,0)</f>
        <v>2.4341488824575211E-13</v>
      </c>
      <c r="CA188" s="13">
        <f t="shared" si="170"/>
        <v>3.2970717324875541E-12</v>
      </c>
      <c r="CB188" s="20">
        <f t="shared" si="171"/>
        <v>6.1663475311105072E-12</v>
      </c>
      <c r="CC188" s="59">
        <f t="shared" si="119"/>
        <v>289.73432332845988</v>
      </c>
      <c r="CD188" s="59">
        <f ca="1">AVERAGE(OFFSET($CC$3,0,0,'Données projet'!$E$12+1,1))-AVERAGE(OFFSET($H$3,0,0,'Données projet'!$E$12+1,1))</f>
        <v>486.36097333679697</v>
      </c>
      <c r="CE188" s="59">
        <f t="shared" si="148"/>
        <v>308.47736602748159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22.257446094088998</v>
      </c>
      <c r="CL188" s="21">
        <f>EXP(-LN(2)/25)*CL187+(1-EXP(-LN(2)/25))/(LN(2)/25)*Calculateur!CG188*Calculateur!CI188*VLOOKUP('Données projet'!$B$12,Paramètres!$A$1:$I$89,3,0)*0.475*44/12</f>
        <v>13.10250381130593</v>
      </c>
      <c r="CM188" s="21">
        <f>EXP(-LN(2)/2)*CM187+(1-EXP(-LN(2)/2))/(LN(2)/2)*CG188*CJ188*VLOOKUP('Données projet'!$B$12,Paramètres!$A$1:$I$89,3,0)*0.475*44/12</f>
        <v>1.8887661388055187E-7</v>
      </c>
      <c r="CN188" s="22">
        <f t="shared" si="172"/>
        <v>35.359950094271539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289.79675810586525</v>
      </c>
      <c r="S189" s="59">
        <f ca="1">AVERAGE(OFFSET($R$3,0,0,'Données projet'!$E$9+1,1))-AVERAGE(OFFSET($H$3,0,0,'Données projet'!$E$9+1,1))</f>
        <v>407.05634973057056</v>
      </c>
      <c r="T189" s="59">
        <f t="shared" si="142"/>
        <v>375.32891954889965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3.979039320256561E-13</v>
      </c>
      <c r="AJ189" s="13">
        <f>AI189*VLOOKUP('Données projet'!$B$10,Paramètres!$A$1:$I$89,3,0)*VLOOKUP('Données projet'!$B$10,Paramètres!$A$1:$I$89,5,0)</f>
        <v>3.6002347769681362E-13</v>
      </c>
      <c r="AK189" s="13">
        <f t="shared" si="164"/>
        <v>4.6593569189922594E-12</v>
      </c>
      <c r="AL189" s="20">
        <f t="shared" si="165"/>
        <v>8.7420875242334695E-12</v>
      </c>
      <c r="AM189" s="59">
        <f t="shared" si="113"/>
        <v>289.79675810586616</v>
      </c>
      <c r="AN189" s="59">
        <f ca="1">AVERAGE(OFFSET($AM$3,0,0,'Données projet'!$E$10+1,1))-AVERAGE(OFFSET($H$3,0,0,'Données projet'!$E$10+1,1))</f>
        <v>737.40414421611001</v>
      </c>
      <c r="AO189" s="59">
        <f t="shared" si="144"/>
        <v>245.32893490531674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102.09524337983763</v>
      </c>
      <c r="AV189" s="21">
        <f>EXP(-LN(2)/25)*AV188+(1-EXP(-LN(2)/25))/(LN(2)/25)*Calculateur!AQ189*Calculateur!AS189*VLOOKUP('Données projet'!$B$10,Paramètres!$A$1:$I$89,3,0)*0.475*44/12</f>
        <v>14.387147205305357</v>
      </c>
      <c r="AW189" s="21">
        <f>EXP(-LN(2)/2)*AW188+(1-EXP(-LN(2)/2))/(LN(2)/2)*AQ189*AT189*VLOOKUP('Données projet'!$B$10,Paramètres!$A$1:$I$89,3,0)*0.475*44/12</f>
        <v>9.8248075640200178E-4</v>
      </c>
      <c r="AX189" s="21">
        <f t="shared" si="166"/>
        <v>116.48337306589939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4.7884896048344674E-14</v>
      </c>
      <c r="BF189" s="13">
        <f t="shared" si="167"/>
        <v>7.8374629847779921E-13</v>
      </c>
      <c r="BG189" s="20">
        <f t="shared" si="168"/>
        <v>1.4484243304663672E-12</v>
      </c>
      <c r="BH189" s="59">
        <f t="shared" si="116"/>
        <v>289.79675810585883</v>
      </c>
      <c r="BI189" s="59">
        <f ca="1">AVERAGE(OFFSET($BH$3,0,0,'Données projet'!$E$11+1,1))-AVERAGE(OFFSET($H$3,0,0,'Données projet'!$E$11+1,1))</f>
        <v>456.35333554128226</v>
      </c>
      <c r="BJ189" s="59">
        <f t="shared" si="146"/>
        <v>296.4517290984877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25.090276608260524</v>
      </c>
      <c r="BQ189" s="21">
        <f>EXP(-LN(2)/25)*BQ188+(1-EXP(-LN(2)/25))/(LN(2)/25)*Calculateur!BL189*Calculateur!BN189*VLOOKUP('Données projet'!$B$11,Paramètres!$A$1:$I$89,3,0)*0.475*44/12</f>
        <v>3.0447309279032582</v>
      </c>
      <c r="BR189" s="21">
        <f>EXP(-LN(2)/2)*BR188+(1-EXP(-LN(2)/2))/(LN(2)/2)*BL189*BO189*VLOOKUP('Données projet'!$B$11,Paramètres!$A$1:$I$89,3,0)*0.475*44/12</f>
        <v>6.7512005670880951E-12</v>
      </c>
      <c r="BS189" s="22">
        <f t="shared" si="169"/>
        <v>28.135007536170534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2.5579538487363607E-13</v>
      </c>
      <c r="BZ189" s="13">
        <f>BY189*VLOOKUP('Données projet'!$B$12,Paramètres!$A$1:$I$89,3,0)*VLOOKUP('Données projet'!$B$12,Paramètres!$A$1:$I$89,5,0)</f>
        <v>2.4341488824575211E-13</v>
      </c>
      <c r="CA189" s="13">
        <f t="shared" si="170"/>
        <v>3.2970717324875541E-12</v>
      </c>
      <c r="CB189" s="20">
        <f t="shared" si="171"/>
        <v>6.1663475311105072E-12</v>
      </c>
      <c r="CC189" s="59">
        <f t="shared" si="119"/>
        <v>289.79675810586355</v>
      </c>
      <c r="CD189" s="59">
        <f ca="1">AVERAGE(OFFSET($CC$3,0,0,'Données projet'!$E$12+1,1))-AVERAGE(OFFSET($H$3,0,0,'Données projet'!$E$12+1,1))</f>
        <v>486.36097333679697</v>
      </c>
      <c r="CE189" s="59">
        <f t="shared" si="148"/>
        <v>308.47736602748159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21.82099115188554</v>
      </c>
      <c r="CL189" s="21">
        <f>EXP(-LN(2)/25)*CL188+(1-EXP(-LN(2)/25))/(LN(2)/25)*Calculateur!CG189*Calculateur!CI189*VLOOKUP('Données projet'!$B$12,Paramètres!$A$1:$I$89,3,0)*0.475*44/12</f>
        <v>12.74421515555504</v>
      </c>
      <c r="CM189" s="21">
        <f>EXP(-LN(2)/2)*CM188+(1-EXP(-LN(2)/2))/(LN(2)/2)*CG189*CJ189*VLOOKUP('Données projet'!$B$12,Paramètres!$A$1:$I$89,3,0)*0.475*44/12</f>
        <v>1.3355593448249141E-7</v>
      </c>
      <c r="CN189" s="22">
        <f t="shared" si="172"/>
        <v>34.565206440996512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289.85810977946426</v>
      </c>
      <c r="S190" s="59">
        <f ca="1">AVERAGE(OFFSET($R$3,0,0,'Données projet'!$E$9+1,1))-AVERAGE(OFFSET($H$3,0,0,'Données projet'!$E$9+1,1))</f>
        <v>407.05634973057056</v>
      </c>
      <c r="T190" s="59">
        <f t="shared" si="142"/>
        <v>375.32891954889965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3.979039320256561E-13</v>
      </c>
      <c r="AJ190" s="13">
        <f>AI190*VLOOKUP('Données projet'!$B$10,Paramètres!$A$1:$I$89,3,0)*VLOOKUP('Données projet'!$B$10,Paramètres!$A$1:$I$89,5,0)</f>
        <v>3.6002347769681362E-13</v>
      </c>
      <c r="AK190" s="13">
        <f t="shared" si="164"/>
        <v>4.6593569189922594E-12</v>
      </c>
      <c r="AL190" s="20">
        <f t="shared" si="165"/>
        <v>8.7420875242334695E-12</v>
      </c>
      <c r="AM190" s="59">
        <f t="shared" si="113"/>
        <v>289.85810977946517</v>
      </c>
      <c r="AN190" s="59">
        <f ca="1">AVERAGE(OFFSET($AM$3,0,0,'Données projet'!$E$10+1,1))-AVERAGE(OFFSET($H$3,0,0,'Données projet'!$E$10+1,1))</f>
        <v>737.40414421611001</v>
      </c>
      <c r="AO190" s="59">
        <f t="shared" si="144"/>
        <v>245.32893490531674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100.09321792910863</v>
      </c>
      <c r="AV190" s="21">
        <f>EXP(-LN(2)/25)*AV189+(1-EXP(-LN(2)/25))/(LN(2)/25)*Calculateur!AQ190*Calculateur!AS190*VLOOKUP('Données projet'!$B$10,Paramètres!$A$1:$I$89,3,0)*0.475*44/12</f>
        <v>13.993729908389094</v>
      </c>
      <c r="AW190" s="21">
        <f>EXP(-LN(2)/2)*AW189+(1-EXP(-LN(2)/2))/(LN(2)/2)*AQ190*AT190*VLOOKUP('Données projet'!$B$10,Paramètres!$A$1:$I$89,3,0)*0.475*44/12</f>
        <v>6.9471880523714398E-4</v>
      </c>
      <c r="AX190" s="21">
        <f t="shared" si="166"/>
        <v>114.08764255630297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4.7884896048344674E-14</v>
      </c>
      <c r="BF190" s="13">
        <f t="shared" si="167"/>
        <v>7.8374629847779921E-13</v>
      </c>
      <c r="BG190" s="20">
        <f t="shared" si="168"/>
        <v>1.4484243304663672E-12</v>
      </c>
      <c r="BH190" s="59">
        <f t="shared" si="116"/>
        <v>289.85810977945783</v>
      </c>
      <c r="BI190" s="59">
        <f ca="1">AVERAGE(OFFSET($BH$3,0,0,'Données projet'!$E$11+1,1))-AVERAGE(OFFSET($H$3,0,0,'Données projet'!$E$11+1,1))</f>
        <v>456.35333554128226</v>
      </c>
      <c r="BJ190" s="59">
        <f t="shared" si="146"/>
        <v>296.4517290984877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24.598271587530164</v>
      </c>
      <c r="BQ190" s="21">
        <f>EXP(-LN(2)/25)*BQ189+(1-EXP(-LN(2)/25))/(LN(2)/25)*Calculateur!BL190*Calculateur!BN190*VLOOKUP('Données projet'!$B$11,Paramètres!$A$1:$I$89,3,0)*0.475*44/12</f>
        <v>2.9614726005643028</v>
      </c>
      <c r="BR190" s="21">
        <f>EXP(-LN(2)/2)*BR189+(1-EXP(-LN(2)/2))/(LN(2)/2)*BL190*BO190*VLOOKUP('Données projet'!$B$11,Paramètres!$A$1:$I$89,3,0)*0.475*44/12</f>
        <v>4.7738197021384571E-12</v>
      </c>
      <c r="BS190" s="22">
        <f t="shared" si="169"/>
        <v>27.559744188099241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2.5579538487363607E-13</v>
      </c>
      <c r="BZ190" s="13">
        <f>BY190*VLOOKUP('Données projet'!$B$12,Paramètres!$A$1:$I$89,3,0)*VLOOKUP('Données projet'!$B$12,Paramètres!$A$1:$I$89,5,0)</f>
        <v>2.4341488824575211E-13</v>
      </c>
      <c r="CA190" s="13">
        <f t="shared" si="170"/>
        <v>3.2970717324875541E-12</v>
      </c>
      <c r="CB190" s="20">
        <f t="shared" si="171"/>
        <v>6.1663475311105072E-12</v>
      </c>
      <c r="CC190" s="59">
        <f t="shared" si="119"/>
        <v>289.85810977946255</v>
      </c>
      <c r="CD190" s="59">
        <f ca="1">AVERAGE(OFFSET($CC$3,0,0,'Données projet'!$E$12+1,1))-AVERAGE(OFFSET($H$3,0,0,'Données projet'!$E$12+1,1))</f>
        <v>486.36097333679697</v>
      </c>
      <c r="CE190" s="59">
        <f t="shared" si="148"/>
        <v>308.47736602748159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21.393094824887463</v>
      </c>
      <c r="CL190" s="21">
        <f>EXP(-LN(2)/25)*CL189+(1-EXP(-LN(2)/25))/(LN(2)/25)*Calculateur!CG190*Calculateur!CI190*VLOOKUP('Données projet'!$B$12,Paramètres!$A$1:$I$89,3,0)*0.475*44/12</f>
        <v>12.39572392193724</v>
      </c>
      <c r="CM190" s="21">
        <f>EXP(-LN(2)/2)*CM189+(1-EXP(-LN(2)/2))/(LN(2)/2)*CG190*CJ190*VLOOKUP('Données projet'!$B$12,Paramètres!$A$1:$I$89,3,0)*0.475*44/12</f>
        <v>9.4438306940275935E-8</v>
      </c>
      <c r="CN190" s="22">
        <f t="shared" si="172"/>
        <v>33.788818841263009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289.91839713868808</v>
      </c>
      <c r="S191" s="59">
        <f ca="1">AVERAGE(OFFSET($R$3,0,0,'Données projet'!$E$9+1,1))-AVERAGE(OFFSET($H$3,0,0,'Données projet'!$E$9+1,1))</f>
        <v>407.05634973057056</v>
      </c>
      <c r="T191" s="59">
        <f t="shared" si="142"/>
        <v>375.32891954889965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3.979039320256561E-13</v>
      </c>
      <c r="AJ191" s="13">
        <f>AI191*VLOOKUP('Données projet'!$B$10,Paramètres!$A$1:$I$89,3,0)*VLOOKUP('Données projet'!$B$10,Paramètres!$A$1:$I$89,5,0)</f>
        <v>3.6002347769681362E-13</v>
      </c>
      <c r="AK191" s="13">
        <f t="shared" si="164"/>
        <v>4.6593569189922594E-12</v>
      </c>
      <c r="AL191" s="20">
        <f t="shared" si="165"/>
        <v>8.7420875242334695E-12</v>
      </c>
      <c r="AM191" s="59">
        <f t="shared" si="113"/>
        <v>289.91839713868899</v>
      </c>
      <c r="AN191" s="59">
        <f ca="1">AVERAGE(OFFSET($AM$3,0,0,'Données projet'!$E$10+1,1))-AVERAGE(OFFSET($H$3,0,0,'Données projet'!$E$10+1,1))</f>
        <v>737.40414421611001</v>
      </c>
      <c r="AO191" s="59">
        <f t="shared" si="144"/>
        <v>245.32893490531674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98.130450976353487</v>
      </c>
      <c r="AV191" s="21">
        <f>EXP(-LN(2)/25)*AV190+(1-EXP(-LN(2)/25))/(LN(2)/25)*Calculateur!AQ191*Calculateur!AS191*VLOOKUP('Données projet'!$B$10,Paramètres!$A$1:$I$89,3,0)*0.475*44/12</f>
        <v>13.611070628145921</v>
      </c>
      <c r="AW191" s="21">
        <f>EXP(-LN(2)/2)*AW190+(1-EXP(-LN(2)/2))/(LN(2)/2)*AQ191*AT191*VLOOKUP('Données projet'!$B$10,Paramètres!$A$1:$I$89,3,0)*0.475*44/12</f>
        <v>4.9124037820100089E-4</v>
      </c>
      <c r="AX191" s="21">
        <f t="shared" si="166"/>
        <v>111.74201284487761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4.7884896048344674E-14</v>
      </c>
      <c r="BF191" s="13">
        <f t="shared" si="167"/>
        <v>7.8374629847779921E-13</v>
      </c>
      <c r="BG191" s="20">
        <f t="shared" si="168"/>
        <v>1.4484243304663672E-12</v>
      </c>
      <c r="BH191" s="59">
        <f t="shared" si="116"/>
        <v>289.91839713868166</v>
      </c>
      <c r="BI191" s="59">
        <f ca="1">AVERAGE(OFFSET($BH$3,0,0,'Données projet'!$E$11+1,1))-AVERAGE(OFFSET($H$3,0,0,'Données projet'!$E$11+1,1))</f>
        <v>456.35333554128226</v>
      </c>
      <c r="BJ191" s="59">
        <f t="shared" si="146"/>
        <v>296.4517290984877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24.115914485162897</v>
      </c>
      <c r="BQ191" s="21">
        <f>EXP(-LN(2)/25)*BQ190+(1-EXP(-LN(2)/25))/(LN(2)/25)*Calculateur!BL191*Calculateur!BN191*VLOOKUP('Données projet'!$B$11,Paramètres!$A$1:$I$89,3,0)*0.475*44/12</f>
        <v>2.8804909765647966</v>
      </c>
      <c r="BR191" s="21">
        <f>EXP(-LN(2)/2)*BR190+(1-EXP(-LN(2)/2))/(LN(2)/2)*BL191*BO191*VLOOKUP('Données projet'!$B$11,Paramètres!$A$1:$I$89,3,0)*0.475*44/12</f>
        <v>3.3756002835440475E-12</v>
      </c>
      <c r="BS191" s="22">
        <f t="shared" si="169"/>
        <v>26.996405461731069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2.5579538487363607E-13</v>
      </c>
      <c r="BZ191" s="13">
        <f>BY191*VLOOKUP('Données projet'!$B$12,Paramètres!$A$1:$I$89,3,0)*VLOOKUP('Données projet'!$B$12,Paramètres!$A$1:$I$89,5,0)</f>
        <v>2.4341488824575211E-13</v>
      </c>
      <c r="CA191" s="13">
        <f t="shared" si="170"/>
        <v>3.2970717324875541E-12</v>
      </c>
      <c r="CB191" s="20">
        <f t="shared" si="171"/>
        <v>6.1663475311105072E-12</v>
      </c>
      <c r="CC191" s="59">
        <f t="shared" si="119"/>
        <v>289.91839713868637</v>
      </c>
      <c r="CD191" s="59">
        <f ca="1">AVERAGE(OFFSET($CC$3,0,0,'Données projet'!$E$12+1,1))-AVERAGE(OFFSET($H$3,0,0,'Données projet'!$E$12+1,1))</f>
        <v>486.36097333679697</v>
      </c>
      <c r="CE191" s="59">
        <f t="shared" si="148"/>
        <v>308.47736602748159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20.97358928387083</v>
      </c>
      <c r="CL191" s="21">
        <f>EXP(-LN(2)/25)*CL190+(1-EXP(-LN(2)/25))/(LN(2)/25)*Calculateur!CG191*Calculateur!CI191*VLOOKUP('Données projet'!$B$12,Paramètres!$A$1:$I$89,3,0)*0.475*44/12</f>
        <v>12.056762199429075</v>
      </c>
      <c r="CM191" s="21">
        <f>EXP(-LN(2)/2)*CM190+(1-EXP(-LN(2)/2))/(LN(2)/2)*CG191*CJ191*VLOOKUP('Données projet'!$B$12,Paramètres!$A$1:$I$89,3,0)*0.475*44/12</f>
        <v>6.6777967241245707E-8</v>
      </c>
      <c r="CN191" s="22">
        <f t="shared" si="172"/>
        <v>33.030351550077867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289.9776386470117</v>
      </c>
      <c r="S192" s="59">
        <f ca="1">AVERAGE(OFFSET($R$3,0,0,'Données projet'!$E$9+1,1))-AVERAGE(OFFSET($H$3,0,0,'Données projet'!$E$9+1,1))</f>
        <v>407.05634973057056</v>
      </c>
      <c r="T192" s="59">
        <f t="shared" si="142"/>
        <v>375.32891954889965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3.979039320256561E-13</v>
      </c>
      <c r="AJ192" s="13">
        <f>AI192*VLOOKUP('Données projet'!$B$10,Paramètres!$A$1:$I$89,3,0)*VLOOKUP('Données projet'!$B$10,Paramètres!$A$1:$I$89,5,0)</f>
        <v>3.6002347769681362E-13</v>
      </c>
      <c r="AK192" s="13">
        <f t="shared" si="164"/>
        <v>4.6593569189922594E-12</v>
      </c>
      <c r="AL192" s="20">
        <f t="shared" si="165"/>
        <v>8.7420875242334695E-12</v>
      </c>
      <c r="AM192" s="59">
        <f t="shared" si="113"/>
        <v>289.97763864701261</v>
      </c>
      <c r="AN192" s="59">
        <f ca="1">AVERAGE(OFFSET($AM$3,0,0,'Données projet'!$E$10+1,1))-AVERAGE(OFFSET($H$3,0,0,'Données projet'!$E$10+1,1))</f>
        <v>737.40414421611001</v>
      </c>
      <c r="AO192" s="59">
        <f t="shared" si="144"/>
        <v>245.32893490531674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96.206172686372227</v>
      </c>
      <c r="AV192" s="21">
        <f>EXP(-LN(2)/25)*AV191+(1-EXP(-LN(2)/25))/(LN(2)/25)*Calculateur!AQ192*Calculateur!AS192*VLOOKUP('Données projet'!$B$10,Paramètres!$A$1:$I$89,3,0)*0.475*44/12</f>
        <v>13.238875186044174</v>
      </c>
      <c r="AW192" s="21">
        <f>EXP(-LN(2)/2)*AW191+(1-EXP(-LN(2)/2))/(LN(2)/2)*AQ192*AT192*VLOOKUP('Données projet'!$B$10,Paramètres!$A$1:$I$89,3,0)*0.475*44/12</f>
        <v>3.4735940261857199E-4</v>
      </c>
      <c r="AX192" s="21">
        <f t="shared" si="166"/>
        <v>109.44539523181902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4.7884896048344674E-14</v>
      </c>
      <c r="BF192" s="13">
        <f t="shared" si="167"/>
        <v>7.8374629847779921E-13</v>
      </c>
      <c r="BG192" s="20">
        <f t="shared" si="168"/>
        <v>1.4484243304663672E-12</v>
      </c>
      <c r="BH192" s="59">
        <f t="shared" si="116"/>
        <v>289.97763864700528</v>
      </c>
      <c r="BI192" s="59">
        <f ca="1">AVERAGE(OFFSET($BH$3,0,0,'Données projet'!$E$11+1,1))-AVERAGE(OFFSET($H$3,0,0,'Données projet'!$E$11+1,1))</f>
        <v>456.35333554128226</v>
      </c>
      <c r="BJ192" s="59">
        <f t="shared" si="146"/>
        <v>296.4517290984877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23.643016111364268</v>
      </c>
      <c r="BQ192" s="21">
        <f>EXP(-LN(2)/25)*BQ191+(1-EXP(-LN(2)/25))/(LN(2)/25)*Calculateur!BL192*Calculateur!BN192*VLOOKUP('Données projet'!$B$11,Paramètres!$A$1:$I$89,3,0)*0.475*44/12</f>
        <v>2.8017237993321951</v>
      </c>
      <c r="BR192" s="21">
        <f>EXP(-LN(2)/2)*BR191+(1-EXP(-LN(2)/2))/(LN(2)/2)*BL192*BO192*VLOOKUP('Données projet'!$B$11,Paramètres!$A$1:$I$89,3,0)*0.475*44/12</f>
        <v>2.3869098510692286E-12</v>
      </c>
      <c r="BS192" s="22">
        <f t="shared" si="169"/>
        <v>26.44473991069885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2.5579538487363607E-13</v>
      </c>
      <c r="BZ192" s="13">
        <f>BY192*VLOOKUP('Données projet'!$B$12,Paramètres!$A$1:$I$89,3,0)*VLOOKUP('Données projet'!$B$12,Paramètres!$A$1:$I$89,5,0)</f>
        <v>2.4341488824575211E-13</v>
      </c>
      <c r="CA192" s="13">
        <f t="shared" si="170"/>
        <v>3.2970717324875541E-12</v>
      </c>
      <c r="CB192" s="20">
        <f t="shared" si="171"/>
        <v>6.1663475311105072E-12</v>
      </c>
      <c r="CC192" s="59">
        <f t="shared" si="119"/>
        <v>289.97763864701</v>
      </c>
      <c r="CD192" s="59">
        <f ca="1">AVERAGE(OFFSET($CC$3,0,0,'Données projet'!$E$12+1,1))-AVERAGE(OFFSET($H$3,0,0,'Données projet'!$E$12+1,1))</f>
        <v>486.36097333679697</v>
      </c>
      <c r="CE192" s="59">
        <f t="shared" si="148"/>
        <v>308.47736602748159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20.562309990640419</v>
      </c>
      <c r="CL192" s="21">
        <f>EXP(-LN(2)/25)*CL191+(1-EXP(-LN(2)/25))/(LN(2)/25)*Calculateur!CG192*Calculateur!CI192*VLOOKUP('Données projet'!$B$12,Paramètres!$A$1:$I$89,3,0)*0.475*44/12</f>
        <v>11.72706940304812</v>
      </c>
      <c r="CM192" s="21">
        <f>EXP(-LN(2)/2)*CM191+(1-EXP(-LN(2)/2))/(LN(2)/2)*CG192*CJ192*VLOOKUP('Données projet'!$B$12,Paramètres!$A$1:$I$89,3,0)*0.475*44/12</f>
        <v>4.7219153470137968E-8</v>
      </c>
      <c r="CN192" s="22">
        <f t="shared" si="172"/>
        <v>32.289379440907688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290.03585244761013</v>
      </c>
      <c r="S193" s="59">
        <f ca="1">AVERAGE(OFFSET($R$3,0,0,'Données projet'!$E$9+1,1))-AVERAGE(OFFSET($H$3,0,0,'Données projet'!$E$9+1,1))</f>
        <v>407.05634973057056</v>
      </c>
      <c r="T193" s="59">
        <f t="shared" si="142"/>
        <v>375.32891954889965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3.979039320256561E-13</v>
      </c>
      <c r="AJ193" s="13">
        <f>AI193*VLOOKUP('Données projet'!$B$10,Paramètres!$A$1:$I$89,3,0)*VLOOKUP('Données projet'!$B$10,Paramètres!$A$1:$I$89,5,0)</f>
        <v>3.6002347769681362E-13</v>
      </c>
      <c r="AK193" s="13">
        <f t="shared" si="164"/>
        <v>4.6593569189922594E-12</v>
      </c>
      <c r="AL193" s="20">
        <f t="shared" si="165"/>
        <v>8.7420875242334695E-12</v>
      </c>
      <c r="AM193" s="59">
        <f t="shared" si="113"/>
        <v>290.03585244761103</v>
      </c>
      <c r="AN193" s="59">
        <f ca="1">AVERAGE(OFFSET($AM$3,0,0,'Données projet'!$E$10+1,1))-AVERAGE(OFFSET($H$3,0,0,'Données projet'!$E$10+1,1))</f>
        <v>737.40414421611001</v>
      </c>
      <c r="AO193" s="59">
        <f t="shared" si="144"/>
        <v>245.32893490531674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94.319628319963641</v>
      </c>
      <c r="AV193" s="21">
        <f>EXP(-LN(2)/25)*AV192+(1-EXP(-LN(2)/25))/(LN(2)/25)*Calculateur!AQ193*Calculateur!AS193*VLOOKUP('Données projet'!$B$10,Paramètres!$A$1:$I$89,3,0)*0.475*44/12</f>
        <v>12.876857447879608</v>
      </c>
      <c r="AW193" s="21">
        <f>EXP(-LN(2)/2)*AW192+(1-EXP(-LN(2)/2))/(LN(2)/2)*AQ193*AT193*VLOOKUP('Données projet'!$B$10,Paramètres!$A$1:$I$89,3,0)*0.475*44/12</f>
        <v>2.4562018910050045E-4</v>
      </c>
      <c r="AX193" s="21">
        <f t="shared" si="166"/>
        <v>107.19673138803236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4.7884896048344674E-14</v>
      </c>
      <c r="BF193" s="13">
        <f t="shared" si="167"/>
        <v>7.8374629847779921E-13</v>
      </c>
      <c r="BG193" s="20">
        <f t="shared" si="168"/>
        <v>1.4484243304663672E-12</v>
      </c>
      <c r="BH193" s="59">
        <f t="shared" si="116"/>
        <v>290.0358524476037</v>
      </c>
      <c r="BI193" s="59">
        <f ca="1">AVERAGE(OFFSET($BH$3,0,0,'Données projet'!$E$11+1,1))-AVERAGE(OFFSET($H$3,0,0,'Données projet'!$E$11+1,1))</f>
        <v>456.35333554128226</v>
      </c>
      <c r="BJ193" s="59">
        <f t="shared" si="146"/>
        <v>296.4517290984877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23.179390986236307</v>
      </c>
      <c r="BQ193" s="21">
        <f>EXP(-LN(2)/25)*BQ192+(1-EXP(-LN(2)/25))/(LN(2)/25)*Calculateur!BL193*Calculateur!BN193*VLOOKUP('Données projet'!$B$11,Paramètres!$A$1:$I$89,3,0)*0.475*44/12</f>
        <v>2.7251105147032049</v>
      </c>
      <c r="BR193" s="21">
        <f>EXP(-LN(2)/2)*BR192+(1-EXP(-LN(2)/2))/(LN(2)/2)*BL193*BO193*VLOOKUP('Données projet'!$B$11,Paramètres!$A$1:$I$89,3,0)*0.475*44/12</f>
        <v>1.6878001417720238E-12</v>
      </c>
      <c r="BS193" s="22">
        <f t="shared" si="169"/>
        <v>25.904501500941198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2.5579538487363607E-13</v>
      </c>
      <c r="BZ193" s="13">
        <f>BY193*VLOOKUP('Données projet'!$B$12,Paramètres!$A$1:$I$89,3,0)*VLOOKUP('Données projet'!$B$12,Paramètres!$A$1:$I$89,5,0)</f>
        <v>2.4341488824575211E-13</v>
      </c>
      <c r="CA193" s="13">
        <f t="shared" si="170"/>
        <v>3.2970717324875541E-12</v>
      </c>
      <c r="CB193" s="20">
        <f t="shared" si="171"/>
        <v>6.1663475311105072E-12</v>
      </c>
      <c r="CC193" s="59">
        <f t="shared" si="119"/>
        <v>290.03585244760842</v>
      </c>
      <c r="CD193" s="59">
        <f ca="1">AVERAGE(OFFSET($CC$3,0,0,'Données projet'!$E$12+1,1))-AVERAGE(OFFSET($H$3,0,0,'Données projet'!$E$12+1,1))</f>
        <v>486.36097333679697</v>
      </c>
      <c r="CE193" s="59">
        <f t="shared" si="148"/>
        <v>308.47736602748159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20.159095633494658</v>
      </c>
      <c r="CL193" s="21">
        <f>EXP(-LN(2)/25)*CL192+(1-EXP(-LN(2)/25))/(LN(2)/25)*Calculateur!CG193*Calculateur!CI193*VLOOKUP('Données projet'!$B$12,Paramètres!$A$1:$I$89,3,0)*0.475*44/12</f>
        <v>11.406392073521991</v>
      </c>
      <c r="CM193" s="21">
        <f>EXP(-LN(2)/2)*CM192+(1-EXP(-LN(2)/2))/(LN(2)/2)*CG193*CJ193*VLOOKUP('Données projet'!$B$12,Paramètres!$A$1:$I$89,3,0)*0.475*44/12</f>
        <v>3.3388983620622854E-8</v>
      </c>
      <c r="CN193" s="22">
        <f t="shared" si="172"/>
        <v>31.565487740405633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290.09305636891469</v>
      </c>
      <c r="S194" s="59">
        <f ca="1">AVERAGE(OFFSET($R$3,0,0,'Données projet'!$E$9+1,1))-AVERAGE(OFFSET($H$3,0,0,'Données projet'!$E$9+1,1))</f>
        <v>407.05634973057056</v>
      </c>
      <c r="T194" s="59">
        <f t="shared" si="142"/>
        <v>375.32891954889965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3.979039320256561E-13</v>
      </c>
      <c r="AJ194" s="13">
        <f>AI194*VLOOKUP('Données projet'!$B$10,Paramètres!$A$1:$I$89,3,0)*VLOOKUP('Données projet'!$B$10,Paramètres!$A$1:$I$89,5,0)</f>
        <v>3.6002347769681362E-13</v>
      </c>
      <c r="AK194" s="13">
        <f t="shared" si="164"/>
        <v>4.6593569189922594E-12</v>
      </c>
      <c r="AL194" s="20">
        <f t="shared" si="165"/>
        <v>8.7420875242334695E-12</v>
      </c>
      <c r="AM194" s="59">
        <f t="shared" si="113"/>
        <v>290.0930563689156</v>
      </c>
      <c r="AN194" s="59">
        <f ca="1">AVERAGE(OFFSET($AM$3,0,0,'Données projet'!$E$10+1,1))-AVERAGE(OFFSET($H$3,0,0,'Données projet'!$E$10+1,1))</f>
        <v>737.40414421611001</v>
      </c>
      <c r="AO194" s="59">
        <f t="shared" si="144"/>
        <v>245.32893490531674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92.470077937901877</v>
      </c>
      <c r="AV194" s="21">
        <f>EXP(-LN(2)/25)*AV193+(1-EXP(-LN(2)/25))/(LN(2)/25)*Calculateur!AQ194*Calculateur!AS194*VLOOKUP('Données projet'!$B$10,Paramètres!$A$1:$I$89,3,0)*0.475*44/12</f>
        <v>12.524739103802837</v>
      </c>
      <c r="AW194" s="21">
        <f>EXP(-LN(2)/2)*AW193+(1-EXP(-LN(2)/2))/(LN(2)/2)*AQ194*AT194*VLOOKUP('Données projet'!$B$10,Paramètres!$A$1:$I$89,3,0)*0.475*44/12</f>
        <v>1.73679701309286E-4</v>
      </c>
      <c r="AX194" s="21">
        <f t="shared" si="166"/>
        <v>104.99499072140603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4.7884896048344674E-14</v>
      </c>
      <c r="BF194" s="13">
        <f t="shared" si="167"/>
        <v>7.8374629847779921E-13</v>
      </c>
      <c r="BG194" s="20">
        <f t="shared" si="168"/>
        <v>1.4484243304663672E-12</v>
      </c>
      <c r="BH194" s="59">
        <f t="shared" si="116"/>
        <v>290.09305636890826</v>
      </c>
      <c r="BI194" s="59">
        <f ca="1">AVERAGE(OFFSET($BH$3,0,0,'Données projet'!$E$11+1,1))-AVERAGE(OFFSET($H$3,0,0,'Données projet'!$E$11+1,1))</f>
        <v>456.35333554128226</v>
      </c>
      <c r="BJ194" s="59">
        <f t="shared" si="146"/>
        <v>296.4517290984877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22.7248572670287</v>
      </c>
      <c r="BQ194" s="21">
        <f>EXP(-LN(2)/25)*BQ193+(1-EXP(-LN(2)/25))/(LN(2)/25)*Calculateur!BL194*Calculateur!BN194*VLOOKUP('Données projet'!$B$11,Paramètres!$A$1:$I$89,3,0)*0.475*44/12</f>
        <v>2.6505922243713123</v>
      </c>
      <c r="BR194" s="21">
        <f>EXP(-LN(2)/2)*BR193+(1-EXP(-LN(2)/2))/(LN(2)/2)*BL194*BO194*VLOOKUP('Données projet'!$B$11,Paramètres!$A$1:$I$89,3,0)*0.475*44/12</f>
        <v>1.1934549255346143E-12</v>
      </c>
      <c r="BS194" s="22">
        <f t="shared" si="169"/>
        <v>25.375449491401206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2.5579538487363607E-13</v>
      </c>
      <c r="BZ194" s="13">
        <f>BY194*VLOOKUP('Données projet'!$B$12,Paramètres!$A$1:$I$89,3,0)*VLOOKUP('Données projet'!$B$12,Paramètres!$A$1:$I$89,5,0)</f>
        <v>2.4341488824575211E-13</v>
      </c>
      <c r="CA194" s="13">
        <f t="shared" si="170"/>
        <v>3.2970717324875541E-12</v>
      </c>
      <c r="CB194" s="20">
        <f t="shared" si="171"/>
        <v>6.1663475311105072E-12</v>
      </c>
      <c r="CC194" s="59">
        <f t="shared" si="119"/>
        <v>290.09305636891298</v>
      </c>
      <c r="CD194" s="59">
        <f ca="1">AVERAGE(OFFSET($CC$3,0,0,'Données projet'!$E$12+1,1))-AVERAGE(OFFSET($H$3,0,0,'Données projet'!$E$12+1,1))</f>
        <v>486.36097333679697</v>
      </c>
      <c r="CE194" s="59">
        <f t="shared" si="148"/>
        <v>308.47736602748159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19.763788063956053</v>
      </c>
      <c r="CL194" s="21">
        <f>EXP(-LN(2)/25)*CL193+(1-EXP(-LN(2)/25))/(LN(2)/25)*Calculateur!CG194*Calculateur!CI194*VLOOKUP('Données projet'!$B$12,Paramètres!$A$1:$I$89,3,0)*0.475*44/12</f>
        <v>11.094483682435442</v>
      </c>
      <c r="CM194" s="21">
        <f>EXP(-LN(2)/2)*CM193+(1-EXP(-LN(2)/2))/(LN(2)/2)*CG194*CJ194*VLOOKUP('Données projet'!$B$12,Paramètres!$A$1:$I$89,3,0)*0.475*44/12</f>
        <v>2.3609576735068984E-8</v>
      </c>
      <c r="CN194" s="22">
        <f t="shared" si="172"/>
        <v>30.858271770001071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290.14926793007351</v>
      </c>
      <c r="S195" s="59">
        <f ca="1">AVERAGE(OFFSET($R$3,0,0,'Données projet'!$E$9+1,1))-AVERAGE(OFFSET($H$3,0,0,'Données projet'!$E$9+1,1))</f>
        <v>407.05634973057056</v>
      </c>
      <c r="T195" s="59">
        <f t="shared" si="142"/>
        <v>375.32891954889965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3.979039320256561E-13</v>
      </c>
      <c r="AJ195" s="13">
        <f>AI195*VLOOKUP('Données projet'!$B$10,Paramètres!$A$1:$I$89,3,0)*VLOOKUP('Données projet'!$B$10,Paramètres!$A$1:$I$89,5,0)</f>
        <v>3.6002347769681362E-13</v>
      </c>
      <c r="AK195" s="13">
        <f t="shared" si="164"/>
        <v>4.6593569189922594E-12</v>
      </c>
      <c r="AL195" s="20">
        <f t="shared" si="165"/>
        <v>8.7420875242334695E-12</v>
      </c>
      <c r="AM195" s="59">
        <f t="shared" si="113"/>
        <v>290.14926793007442</v>
      </c>
      <c r="AN195" s="59">
        <f ca="1">AVERAGE(OFFSET($AM$3,0,0,'Données projet'!$E$10+1,1))-AVERAGE(OFFSET($H$3,0,0,'Données projet'!$E$10+1,1))</f>
        <v>737.40414421611001</v>
      </c>
      <c r="AO195" s="59">
        <f t="shared" si="144"/>
        <v>245.32893490531674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90.656796110718005</v>
      </c>
      <c r="AV195" s="21">
        <f>EXP(-LN(2)/25)*AV194+(1-EXP(-LN(2)/25))/(LN(2)/25)*Calculateur!AQ195*Calculateur!AS195*VLOOKUP('Données projet'!$B$10,Paramètres!$A$1:$I$89,3,0)*0.475*44/12</f>
        <v>12.182249454361944</v>
      </c>
      <c r="AW195" s="21">
        <f>EXP(-LN(2)/2)*AW194+(1-EXP(-LN(2)/2))/(LN(2)/2)*AQ195*AT195*VLOOKUP('Données projet'!$B$10,Paramètres!$A$1:$I$89,3,0)*0.475*44/12</f>
        <v>1.2281009455025022E-4</v>
      </c>
      <c r="AX195" s="21">
        <f t="shared" si="166"/>
        <v>102.83916837517449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4.7884896048344674E-14</v>
      </c>
      <c r="BF195" s="13">
        <f t="shared" si="167"/>
        <v>7.8374629847779921E-13</v>
      </c>
      <c r="BG195" s="20">
        <f t="shared" si="168"/>
        <v>1.4484243304663672E-12</v>
      </c>
      <c r="BH195" s="59">
        <f t="shared" si="116"/>
        <v>290.14926793006708</v>
      </c>
      <c r="BI195" s="59">
        <f ca="1">AVERAGE(OFFSET($BH$3,0,0,'Données projet'!$E$11+1,1))-AVERAGE(OFFSET($H$3,0,0,'Données projet'!$E$11+1,1))</f>
        <v>456.35333554128226</v>
      </c>
      <c r="BJ195" s="59">
        <f t="shared" si="146"/>
        <v>296.4517290984877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22.279236676816559</v>
      </c>
      <c r="BQ195" s="21">
        <f>EXP(-LN(2)/25)*BQ194+(1-EXP(-LN(2)/25))/(LN(2)/25)*Calculateur!BL195*Calculateur!BN195*VLOOKUP('Données projet'!$B$11,Paramètres!$A$1:$I$89,3,0)*0.475*44/12</f>
        <v>2.5781116406072915</v>
      </c>
      <c r="BR195" s="21">
        <f>EXP(-LN(2)/2)*BR194+(1-EXP(-LN(2)/2))/(LN(2)/2)*BL195*BO195*VLOOKUP('Données projet'!$B$11,Paramètres!$A$1:$I$89,3,0)*0.475*44/12</f>
        <v>8.4390007088601188E-13</v>
      </c>
      <c r="BS195" s="22">
        <f t="shared" si="169"/>
        <v>24.857348317424695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2.5579538487363607E-13</v>
      </c>
      <c r="BZ195" s="13">
        <f>BY195*VLOOKUP('Données projet'!$B$12,Paramètres!$A$1:$I$89,3,0)*VLOOKUP('Données projet'!$B$12,Paramètres!$A$1:$I$89,5,0)</f>
        <v>2.4341488824575211E-13</v>
      </c>
      <c r="CA195" s="13">
        <f t="shared" si="170"/>
        <v>3.2970717324875541E-12</v>
      </c>
      <c r="CB195" s="20">
        <f t="shared" si="171"/>
        <v>6.1663475311105072E-12</v>
      </c>
      <c r="CC195" s="59">
        <f t="shared" si="119"/>
        <v>290.1492679300718</v>
      </c>
      <c r="CD195" s="59">
        <f ca="1">AVERAGE(OFFSET($CC$3,0,0,'Données projet'!$E$12+1,1))-AVERAGE(OFFSET($H$3,0,0,'Données projet'!$E$12+1,1))</f>
        <v>486.36097333679697</v>
      </c>
      <c r="CE195" s="59">
        <f t="shared" si="148"/>
        <v>308.47736602748159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19.37623223474229</v>
      </c>
      <c r="CL195" s="21">
        <f>EXP(-LN(2)/25)*CL194+(1-EXP(-LN(2)/25))/(LN(2)/25)*Calculateur!CG195*Calculateur!CI195*VLOOKUP('Données projet'!$B$12,Paramètres!$A$1:$I$89,3,0)*0.475*44/12</f>
        <v>10.791104442705704</v>
      </c>
      <c r="CM195" s="21">
        <f>EXP(-LN(2)/2)*CM194+(1-EXP(-LN(2)/2))/(LN(2)/2)*CG195*CJ195*VLOOKUP('Données projet'!$B$12,Paramètres!$A$1:$I$89,3,0)*0.475*44/12</f>
        <v>1.6694491810311427E-8</v>
      </c>
      <c r="CN195" s="22">
        <f t="shared" si="172"/>
        <v>30.167336694142485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290.20450434631636</v>
      </c>
      <c r="S196" s="59">
        <f ca="1">AVERAGE(OFFSET($R$3,0,0,'Données projet'!$E$9+1,1))-AVERAGE(OFFSET($H$3,0,0,'Données projet'!$E$9+1,1))</f>
        <v>407.05634973057056</v>
      </c>
      <c r="T196" s="59">
        <f t="shared" si="142"/>
        <v>375.32891954889965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3.979039320256561E-13</v>
      </c>
      <c r="AJ196" s="13">
        <f>AI196*VLOOKUP('Données projet'!$B$10,Paramètres!$A$1:$I$89,3,0)*VLOOKUP('Données projet'!$B$10,Paramètres!$A$1:$I$89,5,0)</f>
        <v>3.6002347769681362E-13</v>
      </c>
      <c r="AK196" s="13">
        <f t="shared" si="164"/>
        <v>4.6593569189922594E-12</v>
      </c>
      <c r="AL196" s="20">
        <f t="shared" si="165"/>
        <v>8.7420875242334695E-12</v>
      </c>
      <c r="AM196" s="59">
        <f t="shared" ref="AM196:AM203" si="193">AL196+(AD196+AE196)*44/12</f>
        <v>290.20450434631726</v>
      </c>
      <c r="AN196" s="59">
        <f ca="1">AVERAGE(OFFSET($AM$3,0,0,'Données projet'!$E$10+1,1))-AVERAGE(OFFSET($H$3,0,0,'Données projet'!$E$10+1,1))</f>
        <v>737.40414421611001</v>
      </c>
      <c r="AO196" s="59">
        <f t="shared" si="144"/>
        <v>245.32893490531674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88.879071634172504</v>
      </c>
      <c r="AV196" s="21">
        <f>EXP(-LN(2)/25)*AV195+(1-EXP(-LN(2)/25))/(LN(2)/25)*Calculateur!AQ196*Calculateur!AS196*VLOOKUP('Données projet'!$B$10,Paramètres!$A$1:$I$89,3,0)*0.475*44/12</f>
        <v>11.849125202395761</v>
      </c>
      <c r="AW196" s="21">
        <f>EXP(-LN(2)/2)*AW195+(1-EXP(-LN(2)/2))/(LN(2)/2)*AQ196*AT196*VLOOKUP('Données projet'!$B$10,Paramètres!$A$1:$I$89,3,0)*0.475*44/12</f>
        <v>8.6839850654642998E-5</v>
      </c>
      <c r="AX196" s="21">
        <f t="shared" si="166"/>
        <v>100.72828367641891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4.7884896048344674E-14</v>
      </c>
      <c r="BF196" s="13">
        <f t="shared" si="167"/>
        <v>7.8374629847779921E-13</v>
      </c>
      <c r="BG196" s="20">
        <f t="shared" si="168"/>
        <v>1.4484243304663672E-12</v>
      </c>
      <c r="BH196" s="59">
        <f t="shared" ref="BH196:BH203" si="194">BG196+(AY196+AZ196)*44/12</f>
        <v>290.20450434630993</v>
      </c>
      <c r="BI196" s="59">
        <f ca="1">AVERAGE(OFFSET($BH$3,0,0,'Données projet'!$E$11+1,1))-AVERAGE(OFFSET($H$3,0,0,'Données projet'!$E$11+1,1))</f>
        <v>456.35333554128226</v>
      </c>
      <c r="BJ196" s="59">
        <f t="shared" si="146"/>
        <v>296.4517290984877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21.842354434576759</v>
      </c>
      <c r="BQ196" s="21">
        <f>EXP(-LN(2)/25)*BQ195+(1-EXP(-LN(2)/25))/(LN(2)/25)*Calculateur!BL196*Calculateur!BN196*VLOOKUP('Données projet'!$B$11,Paramètres!$A$1:$I$89,3,0)*0.475*44/12</f>
        <v>2.5076130422178862</v>
      </c>
      <c r="BR196" s="21">
        <f>EXP(-LN(2)/2)*BR195+(1-EXP(-LN(2)/2))/(LN(2)/2)*BL196*BO196*VLOOKUP('Données projet'!$B$11,Paramètres!$A$1:$I$89,3,0)*0.475*44/12</f>
        <v>5.9672746276730714E-13</v>
      </c>
      <c r="BS196" s="22">
        <f t="shared" si="169"/>
        <v>24.349967476795243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2.5579538487363607E-13</v>
      </c>
      <c r="BZ196" s="13">
        <f>BY196*VLOOKUP('Données projet'!$B$12,Paramètres!$A$1:$I$89,3,0)*VLOOKUP('Données projet'!$B$12,Paramètres!$A$1:$I$89,5,0)</f>
        <v>2.4341488824575211E-13</v>
      </c>
      <c r="CA196" s="13">
        <f t="shared" si="170"/>
        <v>3.2970717324875541E-12</v>
      </c>
      <c r="CB196" s="20">
        <f t="shared" si="171"/>
        <v>6.1663475311105072E-12</v>
      </c>
      <c r="CC196" s="59">
        <f t="shared" ref="CC196:CC203" si="195">CB196+(BT196+BU196)*44/12</f>
        <v>290.20450434631465</v>
      </c>
      <c r="CD196" s="59">
        <f ca="1">AVERAGE(OFFSET($CC$3,0,0,'Données projet'!$E$12+1,1))-AVERAGE(OFFSET($H$3,0,0,'Données projet'!$E$12+1,1))</f>
        <v>486.36097333679697</v>
      </c>
      <c r="CE196" s="59">
        <f t="shared" si="148"/>
        <v>308.47736602748159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18.996276138953693</v>
      </c>
      <c r="CL196" s="21">
        <f>EXP(-LN(2)/25)*CL195+(1-EXP(-LN(2)/25))/(LN(2)/25)*Calculateur!CG196*Calculateur!CI196*VLOOKUP('Données projet'!$B$12,Paramètres!$A$1:$I$89,3,0)*0.475*44/12</f>
        <v>10.496021124240396</v>
      </c>
      <c r="CM196" s="21">
        <f>EXP(-LN(2)/2)*CM195+(1-EXP(-LN(2)/2))/(LN(2)/2)*CG196*CJ196*VLOOKUP('Données projet'!$B$12,Paramètres!$A$1:$I$89,3,0)*0.475*44/12</f>
        <v>1.1804788367534492E-8</v>
      </c>
      <c r="CN196" s="22">
        <f t="shared" si="172"/>
        <v>29.492297274998879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290.25878253422758</v>
      </c>
      <c r="S197" s="59">
        <f ca="1">AVERAGE(OFFSET($R$3,0,0,'Données projet'!$E$9+1,1))-AVERAGE(OFFSET($H$3,0,0,'Données projet'!$E$9+1,1))</f>
        <v>407.05634973057056</v>
      </c>
      <c r="T197" s="59">
        <f t="shared" ref="T197:T203" si="204">$T$3</f>
        <v>375.32891954889965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3.979039320256561E-13</v>
      </c>
      <c r="AJ197" s="13">
        <f>AI197*VLOOKUP('Données projet'!$B$10,Paramètres!$A$1:$I$89,3,0)*VLOOKUP('Données projet'!$B$10,Paramètres!$A$1:$I$89,5,0)</f>
        <v>3.6002347769681362E-13</v>
      </c>
      <c r="AK197" s="13">
        <f t="shared" si="164"/>
        <v>4.6593569189922594E-12</v>
      </c>
      <c r="AL197" s="20">
        <f t="shared" si="165"/>
        <v>8.7420875242334695E-12</v>
      </c>
      <c r="AM197" s="59">
        <f t="shared" si="193"/>
        <v>290.25878253422849</v>
      </c>
      <c r="AN197" s="59">
        <f ca="1">AVERAGE(OFFSET($AM$3,0,0,'Données projet'!$E$10+1,1))-AVERAGE(OFFSET($H$3,0,0,'Données projet'!$E$10+1,1))</f>
        <v>737.40414421611001</v>
      </c>
      <c r="AO197" s="59">
        <f t="shared" ref="AO197:AO203" si="205">$AO$3</f>
        <v>245.32893490531674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87.136207250307194</v>
      </c>
      <c r="AV197" s="21">
        <f>EXP(-LN(2)/25)*AV196+(1-EXP(-LN(2)/25))/(LN(2)/25)*Calculateur!AQ197*Calculateur!AS197*VLOOKUP('Données projet'!$B$10,Paramètres!$A$1:$I$89,3,0)*0.475*44/12</f>
        <v>11.525110250617836</v>
      </c>
      <c r="AW197" s="21">
        <f>EXP(-LN(2)/2)*AW196+(1-EXP(-LN(2)/2))/(LN(2)/2)*AQ197*AT197*VLOOKUP('Données projet'!$B$10,Paramètres!$A$1:$I$89,3,0)*0.475*44/12</f>
        <v>6.1405047275125111E-5</v>
      </c>
      <c r="AX197" s="21">
        <f t="shared" si="166"/>
        <v>98.661378905972313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4.7884896048344674E-14</v>
      </c>
      <c r="BF197" s="13">
        <f t="shared" si="167"/>
        <v>7.8374629847779921E-13</v>
      </c>
      <c r="BG197" s="20">
        <f t="shared" si="168"/>
        <v>1.4484243304663672E-12</v>
      </c>
      <c r="BH197" s="59">
        <f t="shared" si="194"/>
        <v>290.25878253422115</v>
      </c>
      <c r="BI197" s="59">
        <f ca="1">AVERAGE(OFFSET($BH$3,0,0,'Données projet'!$E$11+1,1))-AVERAGE(OFFSET($H$3,0,0,'Données projet'!$E$11+1,1))</f>
        <v>456.35333554128226</v>
      </c>
      <c r="BJ197" s="59">
        <f t="shared" ref="BJ197:BJ203" si="206">$BJ$3</f>
        <v>296.4517290984877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21.414039186635424</v>
      </c>
      <c r="BQ197" s="21">
        <f>EXP(-LN(2)/25)*BQ196+(1-EXP(-LN(2)/25))/(LN(2)/25)*Calculateur!BL197*Calculateur!BN197*VLOOKUP('Données projet'!$B$11,Paramètres!$A$1:$I$89,3,0)*0.475*44/12</f>
        <v>2.4390422317087994</v>
      </c>
      <c r="BR197" s="21">
        <f>EXP(-LN(2)/2)*BR196+(1-EXP(-LN(2)/2))/(LN(2)/2)*BL197*BO197*VLOOKUP('Données projet'!$B$11,Paramètres!$A$1:$I$89,3,0)*0.475*44/12</f>
        <v>4.2195003544300594E-13</v>
      </c>
      <c r="BS197" s="22">
        <f t="shared" si="169"/>
        <v>23.853081418344647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2.5579538487363607E-13</v>
      </c>
      <c r="BZ197" s="13">
        <f>BY197*VLOOKUP('Données projet'!$B$12,Paramètres!$A$1:$I$89,3,0)*VLOOKUP('Données projet'!$B$12,Paramètres!$A$1:$I$89,5,0)</f>
        <v>2.4341488824575211E-13</v>
      </c>
      <c r="CA197" s="13">
        <f t="shared" si="170"/>
        <v>3.2970717324875541E-12</v>
      </c>
      <c r="CB197" s="20">
        <f t="shared" si="171"/>
        <v>6.1663475311105072E-12</v>
      </c>
      <c r="CC197" s="59">
        <f t="shared" si="195"/>
        <v>290.25878253422587</v>
      </c>
      <c r="CD197" s="59">
        <f ca="1">AVERAGE(OFFSET($CC$3,0,0,'Données projet'!$E$12+1,1))-AVERAGE(OFFSET($H$3,0,0,'Données projet'!$E$12+1,1))</f>
        <v>486.36097333679697</v>
      </c>
      <c r="CE197" s="59">
        <f t="shared" ref="CE197:CE203" si="207">$CE$3</f>
        <v>308.47736602748159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18.623770750453176</v>
      </c>
      <c r="CL197" s="21">
        <f>EXP(-LN(2)/25)*CL196+(1-EXP(-LN(2)/25))/(LN(2)/25)*Calculateur!CG197*Calculateur!CI197*VLOOKUP('Données projet'!$B$12,Paramètres!$A$1:$I$89,3,0)*0.475*44/12</f>
        <v>10.20900687463628</v>
      </c>
      <c r="CM197" s="21">
        <f>EXP(-LN(2)/2)*CM196+(1-EXP(-LN(2)/2))/(LN(2)/2)*CG197*CJ197*VLOOKUP('Données projet'!$B$12,Paramètres!$A$1:$I$89,3,0)*0.475*44/12</f>
        <v>8.3472459051557134E-9</v>
      </c>
      <c r="CN197" s="22">
        <f t="shared" si="172"/>
        <v>28.832777633436702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290.31211911692634</v>
      </c>
      <c r="S198" s="59">
        <f ca="1">AVERAGE(OFFSET($R$3,0,0,'Données projet'!$E$9+1,1))-AVERAGE(OFFSET($H$3,0,0,'Données projet'!$E$9+1,1))</f>
        <v>407.05634973057056</v>
      </c>
      <c r="T198" s="59">
        <f t="shared" si="204"/>
        <v>375.32891954889965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3.979039320256561E-13</v>
      </c>
      <c r="AJ198" s="13">
        <f>AI198*VLOOKUP('Données projet'!$B$10,Paramètres!$A$1:$I$89,3,0)*VLOOKUP('Données projet'!$B$10,Paramètres!$A$1:$I$89,5,0)</f>
        <v>3.6002347769681362E-13</v>
      </c>
      <c r="AK198" s="13">
        <f t="shared" si="164"/>
        <v>4.6593569189922594E-12</v>
      </c>
      <c r="AL198" s="20">
        <f t="shared" si="165"/>
        <v>8.7420875242334695E-12</v>
      </c>
      <c r="AM198" s="59">
        <f t="shared" si="193"/>
        <v>290.31211911692725</v>
      </c>
      <c r="AN198" s="59">
        <f ca="1">AVERAGE(OFFSET($AM$3,0,0,'Données projet'!$E$10+1,1))-AVERAGE(OFFSET($H$3,0,0,'Données projet'!$E$10+1,1))</f>
        <v>737.40414421611001</v>
      </c>
      <c r="AO198" s="59">
        <f t="shared" si="205"/>
        <v>245.32893490531674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85.427519373967186</v>
      </c>
      <c r="AV198" s="21">
        <f>EXP(-LN(2)/25)*AV197+(1-EXP(-LN(2)/25))/(LN(2)/25)*Calculateur!AQ198*Calculateur!AS198*VLOOKUP('Données projet'!$B$10,Paramètres!$A$1:$I$89,3,0)*0.475*44/12</f>
        <v>11.209955504735484</v>
      </c>
      <c r="AW198" s="21">
        <f>EXP(-LN(2)/2)*AW197+(1-EXP(-LN(2)/2))/(LN(2)/2)*AQ198*AT198*VLOOKUP('Données projet'!$B$10,Paramètres!$A$1:$I$89,3,0)*0.475*44/12</f>
        <v>4.3419925327321499E-5</v>
      </c>
      <c r="AX198" s="21">
        <f t="shared" si="166"/>
        <v>96.637518298628009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4.7884896048344674E-14</v>
      </c>
      <c r="BF198" s="13">
        <f t="shared" si="167"/>
        <v>7.8374629847779921E-13</v>
      </c>
      <c r="BG198" s="20">
        <f t="shared" si="168"/>
        <v>1.4484243304663672E-12</v>
      </c>
      <c r="BH198" s="59">
        <f t="shared" si="194"/>
        <v>290.31211911691992</v>
      </c>
      <c r="BI198" s="59">
        <f ca="1">AVERAGE(OFFSET($BH$3,0,0,'Données projet'!$E$11+1,1))-AVERAGE(OFFSET($H$3,0,0,'Données projet'!$E$11+1,1))</f>
        <v>456.35333554128226</v>
      </c>
      <c r="BJ198" s="59">
        <f t="shared" si="206"/>
        <v>296.4517290984877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20.994122939459714</v>
      </c>
      <c r="BQ198" s="21">
        <f>EXP(-LN(2)/25)*BQ197+(1-EXP(-LN(2)/25))/(LN(2)/25)*Calculateur!BL198*Calculateur!BN198*VLOOKUP('Données projet'!$B$11,Paramètres!$A$1:$I$89,3,0)*0.475*44/12</f>
        <v>2.3723464936190659</v>
      </c>
      <c r="BR198" s="21">
        <f>EXP(-LN(2)/2)*BR197+(1-EXP(-LN(2)/2))/(LN(2)/2)*BL198*BO198*VLOOKUP('Données projet'!$B$11,Paramètres!$A$1:$I$89,3,0)*0.475*44/12</f>
        <v>2.9836373138365357E-13</v>
      </c>
      <c r="BS198" s="22">
        <f t="shared" si="169"/>
        <v>23.366469433079079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2.5579538487363607E-13</v>
      </c>
      <c r="BZ198" s="13">
        <f>BY198*VLOOKUP('Données projet'!$B$12,Paramètres!$A$1:$I$89,3,0)*VLOOKUP('Données projet'!$B$12,Paramètres!$A$1:$I$89,5,0)</f>
        <v>2.4341488824575211E-13</v>
      </c>
      <c r="CA198" s="13">
        <f t="shared" si="170"/>
        <v>3.2970717324875541E-12</v>
      </c>
      <c r="CB198" s="20">
        <f t="shared" si="171"/>
        <v>6.1663475311105072E-12</v>
      </c>
      <c r="CC198" s="59">
        <f t="shared" si="195"/>
        <v>290.31211911692463</v>
      </c>
      <c r="CD198" s="59">
        <f ca="1">AVERAGE(OFFSET($CC$3,0,0,'Données projet'!$E$12+1,1))-AVERAGE(OFFSET($H$3,0,0,'Données projet'!$E$12+1,1))</f>
        <v>486.36097333679697</v>
      </c>
      <c r="CE198" s="59">
        <f t="shared" si="207"/>
        <v>308.47736602748159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18.258569965415301</v>
      </c>
      <c r="CL198" s="21">
        <f>EXP(-LN(2)/25)*CL197+(1-EXP(-LN(2)/25))/(LN(2)/25)*Calculateur!CG198*Calculateur!CI198*VLOOKUP('Données projet'!$B$12,Paramètres!$A$1:$I$89,3,0)*0.475*44/12</f>
        <v>9.9298410447810124</v>
      </c>
      <c r="CM198" s="21">
        <f>EXP(-LN(2)/2)*CM197+(1-EXP(-LN(2)/2))/(LN(2)/2)*CG198*CJ198*VLOOKUP('Données projet'!$B$12,Paramètres!$A$1:$I$89,3,0)*0.475*44/12</f>
        <v>5.902394183767246E-9</v>
      </c>
      <c r="CN198" s="22">
        <f t="shared" si="172"/>
        <v>28.188411016098705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290.36453042915804</v>
      </c>
      <c r="S199" s="59">
        <f ca="1">AVERAGE(OFFSET($R$3,0,0,'Données projet'!$E$9+1,1))-AVERAGE(OFFSET($H$3,0,0,'Données projet'!$E$9+1,1))</f>
        <v>407.05634973057056</v>
      </c>
      <c r="T199" s="59">
        <f t="shared" si="204"/>
        <v>375.32891954889965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3.979039320256561E-13</v>
      </c>
      <c r="AJ199" s="13">
        <f>AI199*VLOOKUP('Données projet'!$B$10,Paramètres!$A$1:$I$89,3,0)*VLOOKUP('Données projet'!$B$10,Paramètres!$A$1:$I$89,5,0)</f>
        <v>3.6002347769681362E-13</v>
      </c>
      <c r="AK199" s="13">
        <f t="shared" si="164"/>
        <v>4.6593569189922594E-12</v>
      </c>
      <c r="AL199" s="20">
        <f t="shared" si="165"/>
        <v>8.7420875242334695E-12</v>
      </c>
      <c r="AM199" s="59">
        <f t="shared" si="193"/>
        <v>290.36453042915895</v>
      </c>
      <c r="AN199" s="59">
        <f ca="1">AVERAGE(OFFSET($AM$3,0,0,'Données projet'!$E$10+1,1))-AVERAGE(OFFSET($H$3,0,0,'Données projet'!$E$10+1,1))</f>
        <v>737.40414421611001</v>
      </c>
      <c r="AO199" s="59">
        <f t="shared" si="205"/>
        <v>245.32893490531674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83.752337824685497</v>
      </c>
      <c r="AV199" s="21">
        <f>EXP(-LN(2)/25)*AV198+(1-EXP(-LN(2)/25))/(LN(2)/25)*Calculateur!AQ199*Calculateur!AS199*VLOOKUP('Données projet'!$B$10,Paramètres!$A$1:$I$89,3,0)*0.475*44/12</f>
        <v>10.903418681952553</v>
      </c>
      <c r="AW199" s="21">
        <f>EXP(-LN(2)/2)*AW198+(1-EXP(-LN(2)/2))/(LN(2)/2)*AQ199*AT199*VLOOKUP('Données projet'!$B$10,Paramètres!$A$1:$I$89,3,0)*0.475*44/12</f>
        <v>3.0702523637562556E-5</v>
      </c>
      <c r="AX199" s="21">
        <f t="shared" si="166"/>
        <v>94.655787209161687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4.7884896048344674E-14</v>
      </c>
      <c r="BF199" s="13">
        <f t="shared" si="167"/>
        <v>7.8374629847779921E-13</v>
      </c>
      <c r="BG199" s="20">
        <f t="shared" si="168"/>
        <v>1.4484243304663672E-12</v>
      </c>
      <c r="BH199" s="59">
        <f t="shared" si="194"/>
        <v>290.36453042915161</v>
      </c>
      <c r="BI199" s="59">
        <f ca="1">AVERAGE(OFFSET($BH$3,0,0,'Données projet'!$E$11+1,1))-AVERAGE(OFFSET($H$3,0,0,'Données projet'!$E$11+1,1))</f>
        <v>456.35333554128226</v>
      </c>
      <c r="BJ199" s="59">
        <f t="shared" si="206"/>
        <v>296.4517290984877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20.582440993767499</v>
      </c>
      <c r="BQ199" s="21">
        <f>EXP(-LN(2)/25)*BQ198+(1-EXP(-LN(2)/25))/(LN(2)/25)*Calculateur!BL199*Calculateur!BN199*VLOOKUP('Données projet'!$B$11,Paramètres!$A$1:$I$89,3,0)*0.475*44/12</f>
        <v>2.3074745539947723</v>
      </c>
      <c r="BR199" s="21">
        <f>EXP(-LN(2)/2)*BR198+(1-EXP(-LN(2)/2))/(LN(2)/2)*BL199*BO199*VLOOKUP('Données projet'!$B$11,Paramètres!$A$1:$I$89,3,0)*0.475*44/12</f>
        <v>2.1097501772150297E-13</v>
      </c>
      <c r="BS199" s="22">
        <f t="shared" si="169"/>
        <v>22.889915547762481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2.5579538487363607E-13</v>
      </c>
      <c r="BZ199" s="13">
        <f>BY199*VLOOKUP('Données projet'!$B$12,Paramètres!$A$1:$I$89,3,0)*VLOOKUP('Données projet'!$B$12,Paramètres!$A$1:$I$89,5,0)</f>
        <v>2.4341488824575211E-13</v>
      </c>
      <c r="CA199" s="13">
        <f t="shared" si="170"/>
        <v>3.2970717324875541E-12</v>
      </c>
      <c r="CB199" s="20">
        <f t="shared" si="171"/>
        <v>6.1663475311105072E-12</v>
      </c>
      <c r="CC199" s="59">
        <f t="shared" si="195"/>
        <v>290.36453042915633</v>
      </c>
      <c r="CD199" s="59">
        <f ca="1">AVERAGE(OFFSET($CC$3,0,0,'Données projet'!$E$12+1,1))-AVERAGE(OFFSET($H$3,0,0,'Données projet'!$E$12+1,1))</f>
        <v>486.36097333679697</v>
      </c>
      <c r="CE199" s="59">
        <f t="shared" si="207"/>
        <v>308.47736602748159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17.900530545021535</v>
      </c>
      <c r="CL199" s="21">
        <f>EXP(-LN(2)/25)*CL198+(1-EXP(-LN(2)/25))/(LN(2)/25)*Calculateur!CG199*Calculateur!CI199*VLOOKUP('Données projet'!$B$12,Paramètres!$A$1:$I$89,3,0)*0.475*44/12</f>
        <v>9.6583090192238306</v>
      </c>
      <c r="CM199" s="21">
        <f>EXP(-LN(2)/2)*CM198+(1-EXP(-LN(2)/2))/(LN(2)/2)*CG199*CJ199*VLOOKUP('Données projet'!$B$12,Paramètres!$A$1:$I$89,3,0)*0.475*44/12</f>
        <v>4.1736229525778567E-9</v>
      </c>
      <c r="CN199" s="22">
        <f t="shared" si="172"/>
        <v>27.558839568418989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290.41603252229663</v>
      </c>
      <c r="S200" s="59">
        <f ca="1">AVERAGE(OFFSET($R$3,0,0,'Données projet'!$E$9+1,1))-AVERAGE(OFFSET($H$3,0,0,'Données projet'!$E$9+1,1))</f>
        <v>407.05634973057056</v>
      </c>
      <c r="T200" s="59">
        <f t="shared" si="204"/>
        <v>375.32891954889965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3.979039320256561E-13</v>
      </c>
      <c r="AJ200" s="13">
        <f>AI200*VLOOKUP('Données projet'!$B$10,Paramètres!$A$1:$I$89,3,0)*VLOOKUP('Données projet'!$B$10,Paramètres!$A$1:$I$89,5,0)</f>
        <v>3.6002347769681362E-13</v>
      </c>
      <c r="AK200" s="13">
        <f t="shared" si="164"/>
        <v>4.6593569189922594E-12</v>
      </c>
      <c r="AL200" s="20">
        <f t="shared" si="165"/>
        <v>8.7420875242334695E-12</v>
      </c>
      <c r="AM200" s="59">
        <f t="shared" si="193"/>
        <v>290.41603252229754</v>
      </c>
      <c r="AN200" s="59">
        <f ca="1">AVERAGE(OFFSET($AM$3,0,0,'Données projet'!$E$10+1,1))-AVERAGE(OFFSET($H$3,0,0,'Données projet'!$E$10+1,1))</f>
        <v>737.40414421611001</v>
      </c>
      <c r="AO200" s="59">
        <f t="shared" si="205"/>
        <v>245.32893490531674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82.110005563825368</v>
      </c>
      <c r="AV200" s="21">
        <f>EXP(-LN(2)/25)*AV199+(1-EXP(-LN(2)/25))/(LN(2)/25)*Calculateur!AQ200*Calculateur!AS200*VLOOKUP('Données projet'!$B$10,Paramètres!$A$1:$I$89,3,0)*0.475*44/12</f>
        <v>10.605264124708693</v>
      </c>
      <c r="AW200" s="21">
        <f>EXP(-LN(2)/2)*AW199+(1-EXP(-LN(2)/2))/(LN(2)/2)*AQ200*AT200*VLOOKUP('Données projet'!$B$10,Paramètres!$A$1:$I$89,3,0)*0.475*44/12</f>
        <v>2.170996266366075E-5</v>
      </c>
      <c r="AX200" s="21">
        <f t="shared" si="166"/>
        <v>92.715291398496731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4.7884896048344674E-14</v>
      </c>
      <c r="BF200" s="13">
        <f t="shared" si="167"/>
        <v>7.8374629847779921E-13</v>
      </c>
      <c r="BG200" s="20">
        <f t="shared" si="168"/>
        <v>1.4484243304663672E-12</v>
      </c>
      <c r="BH200" s="59">
        <f t="shared" si="194"/>
        <v>290.41603252229021</v>
      </c>
      <c r="BI200" s="59">
        <f ca="1">AVERAGE(OFFSET($BH$3,0,0,'Données projet'!$E$11+1,1))-AVERAGE(OFFSET($H$3,0,0,'Données projet'!$E$11+1,1))</f>
        <v>456.35333554128226</v>
      </c>
      <c r="BJ200" s="59">
        <f t="shared" si="206"/>
        <v>296.4517290984877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20.178831879929113</v>
      </c>
      <c r="BQ200" s="21">
        <f>EXP(-LN(2)/25)*BQ199+(1-EXP(-LN(2)/25))/(LN(2)/25)*Calculateur!BL200*Calculateur!BN200*VLOOKUP('Données projet'!$B$11,Paramètres!$A$1:$I$89,3,0)*0.475*44/12</f>
        <v>2.2443765409709724</v>
      </c>
      <c r="BR200" s="21">
        <f>EXP(-LN(2)/2)*BR199+(1-EXP(-LN(2)/2))/(LN(2)/2)*BL200*BO200*VLOOKUP('Données projet'!$B$11,Paramètres!$A$1:$I$89,3,0)*0.475*44/12</f>
        <v>1.4918186569182679E-13</v>
      </c>
      <c r="BS200" s="22">
        <f t="shared" si="169"/>
        <v>22.423208420900234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2.5579538487363607E-13</v>
      </c>
      <c r="BZ200" s="13">
        <f>BY200*VLOOKUP('Données projet'!$B$12,Paramètres!$A$1:$I$89,3,0)*VLOOKUP('Données projet'!$B$12,Paramètres!$A$1:$I$89,5,0)</f>
        <v>2.4341488824575211E-13</v>
      </c>
      <c r="CA200" s="13">
        <f t="shared" si="170"/>
        <v>3.2970717324875541E-12</v>
      </c>
      <c r="CB200" s="20">
        <f t="shared" si="171"/>
        <v>6.1663475311105072E-12</v>
      </c>
      <c r="CC200" s="59">
        <f t="shared" si="195"/>
        <v>290.41603252229493</v>
      </c>
      <c r="CD200" s="59">
        <f ca="1">AVERAGE(OFFSET($CC$3,0,0,'Données projet'!$E$12+1,1))-AVERAGE(OFFSET($H$3,0,0,'Données projet'!$E$12+1,1))</f>
        <v>486.36097333679697</v>
      </c>
      <c r="CE200" s="59">
        <f t="shared" si="207"/>
        <v>308.47736602748159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17.549512059279209</v>
      </c>
      <c r="CL200" s="21">
        <f>EXP(-LN(2)/25)*CL199+(1-EXP(-LN(2)/25))/(LN(2)/25)*Calculateur!CG200*Calculateur!CI200*VLOOKUP('Données projet'!$B$12,Paramètres!$A$1:$I$89,3,0)*0.475*44/12</f>
        <v>9.3942020511847577</v>
      </c>
      <c r="CM200" s="21">
        <f>EXP(-LN(2)/2)*CM199+(1-EXP(-LN(2)/2))/(LN(2)/2)*CG200*CJ200*VLOOKUP('Données projet'!$B$12,Paramètres!$A$1:$I$89,3,0)*0.475*44/12</f>
        <v>2.951197091883623E-9</v>
      </c>
      <c r="CN200" s="22">
        <f t="shared" si="172"/>
        <v>26.943714113415162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290.46664116926075</v>
      </c>
      <c r="S201" s="59">
        <f ca="1">AVERAGE(OFFSET($R$3,0,0,'Données projet'!$E$9+1,1))-AVERAGE(OFFSET($H$3,0,0,'Données projet'!$E$9+1,1))</f>
        <v>407.05634973057056</v>
      </c>
      <c r="T201" s="59">
        <f t="shared" si="204"/>
        <v>375.32891954889965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3.979039320256561E-13</v>
      </c>
      <c r="AJ201" s="13">
        <f>AI201*VLOOKUP('Données projet'!$B$10,Paramètres!$A$1:$I$89,3,0)*VLOOKUP('Données projet'!$B$10,Paramètres!$A$1:$I$89,5,0)</f>
        <v>3.6002347769681362E-13</v>
      </c>
      <c r="AK201" s="13">
        <f t="shared" si="164"/>
        <v>4.6593569189922594E-12</v>
      </c>
      <c r="AL201" s="20">
        <f t="shared" si="165"/>
        <v>8.7420875242334695E-12</v>
      </c>
      <c r="AM201" s="59">
        <f t="shared" si="193"/>
        <v>290.46664116926166</v>
      </c>
      <c r="AN201" s="59">
        <f ca="1">AVERAGE(OFFSET($AM$3,0,0,'Données projet'!$E$10+1,1))-AVERAGE(OFFSET($H$3,0,0,'Données projet'!$E$10+1,1))</f>
        <v>737.40414421611001</v>
      </c>
      <c r="AO201" s="59">
        <f t="shared" si="205"/>
        <v>245.32893490531674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80.499878436876941</v>
      </c>
      <c r="AV201" s="21">
        <f>EXP(-LN(2)/25)*AV200+(1-EXP(-LN(2)/25))/(LN(2)/25)*Calculateur!AQ201*Calculateur!AS201*VLOOKUP('Données projet'!$B$10,Paramètres!$A$1:$I$89,3,0)*0.475*44/12</f>
        <v>10.315262619511932</v>
      </c>
      <c r="AW201" s="21">
        <f>EXP(-LN(2)/2)*AW200+(1-EXP(-LN(2)/2))/(LN(2)/2)*AQ201*AT201*VLOOKUP('Données projet'!$B$10,Paramètres!$A$1:$I$89,3,0)*0.475*44/12</f>
        <v>1.5351261818781278E-5</v>
      </c>
      <c r="AX201" s="21">
        <f t="shared" si="166"/>
        <v>90.81515640765069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4.7884896048344674E-14</v>
      </c>
      <c r="BF201" s="13">
        <f t="shared" si="167"/>
        <v>7.8374629847779921E-13</v>
      </c>
      <c r="BG201" s="20">
        <f t="shared" si="168"/>
        <v>1.4484243304663672E-12</v>
      </c>
      <c r="BH201" s="59">
        <f t="shared" si="194"/>
        <v>290.46664116925433</v>
      </c>
      <c r="BI201" s="59">
        <f ca="1">AVERAGE(OFFSET($BH$3,0,0,'Données projet'!$E$11+1,1))-AVERAGE(OFFSET($H$3,0,0,'Données projet'!$E$11+1,1))</f>
        <v>456.35333554128226</v>
      </c>
      <c r="BJ201" s="59">
        <f t="shared" si="206"/>
        <v>296.4517290984877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19.78313729463585</v>
      </c>
      <c r="BQ201" s="21">
        <f>EXP(-LN(2)/25)*BQ200+(1-EXP(-LN(2)/25))/(LN(2)/25)*Calculateur!BL201*Calculateur!BN201*VLOOKUP('Données projet'!$B$11,Paramètres!$A$1:$I$89,3,0)*0.475*44/12</f>
        <v>2.1830039464314885</v>
      </c>
      <c r="BR201" s="21">
        <f>EXP(-LN(2)/2)*BR200+(1-EXP(-LN(2)/2))/(LN(2)/2)*BL201*BO201*VLOOKUP('Données projet'!$B$11,Paramètres!$A$1:$I$89,3,0)*0.475*44/12</f>
        <v>1.0548750886075149E-13</v>
      </c>
      <c r="BS201" s="22">
        <f t="shared" si="169"/>
        <v>21.966141241067444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2.5579538487363607E-13</v>
      </c>
      <c r="BZ201" s="13">
        <f>BY201*VLOOKUP('Données projet'!$B$12,Paramètres!$A$1:$I$89,3,0)*VLOOKUP('Données projet'!$B$12,Paramètres!$A$1:$I$89,5,0)</f>
        <v>2.4341488824575211E-13</v>
      </c>
      <c r="CA201" s="13">
        <f t="shared" si="170"/>
        <v>3.2970717324875541E-12</v>
      </c>
      <c r="CB201" s="20">
        <f t="shared" si="171"/>
        <v>6.1663475311105072E-12</v>
      </c>
      <c r="CC201" s="59">
        <f t="shared" si="195"/>
        <v>290.46664116925905</v>
      </c>
      <c r="CD201" s="59">
        <f ca="1">AVERAGE(OFFSET($CC$3,0,0,'Données projet'!$E$12+1,1))-AVERAGE(OFFSET($H$3,0,0,'Données projet'!$E$12+1,1))</f>
        <v>486.36097333679697</v>
      </c>
      <c r="CE201" s="59">
        <f t="shared" si="207"/>
        <v>308.47736602748159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17.205376831942154</v>
      </c>
      <c r="CL201" s="21">
        <f>EXP(-LN(2)/25)*CL200+(1-EXP(-LN(2)/25))/(LN(2)/25)*Calculateur!CG201*Calculateur!CI201*VLOOKUP('Données projet'!$B$12,Paramètres!$A$1:$I$89,3,0)*0.475*44/12</f>
        <v>9.137317102075496</v>
      </c>
      <c r="CM201" s="21">
        <f>EXP(-LN(2)/2)*CM200+(1-EXP(-LN(2)/2))/(LN(2)/2)*CG201*CJ201*VLOOKUP('Données projet'!$B$12,Paramètres!$A$1:$I$89,3,0)*0.475*44/12</f>
        <v>2.0868114762889283E-9</v>
      </c>
      <c r="CN201" s="22">
        <f t="shared" si="172"/>
        <v>26.34269393610446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290.51637186934397</v>
      </c>
      <c r="S202" s="59">
        <f ca="1">AVERAGE(OFFSET($R$3,0,0,'Données projet'!$E$9+1,1))-AVERAGE(OFFSET($H$3,0,0,'Données projet'!$E$9+1,1))</f>
        <v>407.05634973057056</v>
      </c>
      <c r="T202" s="59">
        <f t="shared" si="204"/>
        <v>375.32891954889965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3.979039320256561E-13</v>
      </c>
      <c r="AJ202" s="13">
        <f>AI202*VLOOKUP('Données projet'!$B$10,Paramètres!$A$1:$I$89,3,0)*VLOOKUP('Données projet'!$B$10,Paramètres!$A$1:$I$89,5,0)</f>
        <v>3.6002347769681362E-13</v>
      </c>
      <c r="AK202" s="13">
        <f t="shared" si="164"/>
        <v>4.6593569189922594E-12</v>
      </c>
      <c r="AL202" s="20">
        <f t="shared" si="165"/>
        <v>8.7420875242334695E-12</v>
      </c>
      <c r="AM202" s="59">
        <f t="shared" si="193"/>
        <v>290.51637186934488</v>
      </c>
      <c r="AN202" s="59">
        <f ca="1">AVERAGE(OFFSET($AM$3,0,0,'Données projet'!$E$10+1,1))-AVERAGE(OFFSET($H$3,0,0,'Données projet'!$E$10+1,1))</f>
        <v>737.40414421611001</v>
      </c>
      <c r="AO202" s="59">
        <f t="shared" si="205"/>
        <v>245.32893490531674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78.921324920807407</v>
      </c>
      <c r="AV202" s="21">
        <f>EXP(-LN(2)/25)*AV201+(1-EXP(-LN(2)/25))/(LN(2)/25)*Calculateur!AQ202*Calculateur!AS202*VLOOKUP('Données projet'!$B$10,Paramètres!$A$1:$I$89,3,0)*0.475*44/12</f>
        <v>10.033191220725293</v>
      </c>
      <c r="AW202" s="21">
        <f>EXP(-LN(2)/2)*AW201+(1-EXP(-LN(2)/2))/(LN(2)/2)*AQ202*AT202*VLOOKUP('Données projet'!$B$10,Paramètres!$A$1:$I$89,3,0)*0.475*44/12</f>
        <v>1.0854981331830375E-5</v>
      </c>
      <c r="AX202" s="21">
        <f t="shared" si="166"/>
        <v>88.954526996514033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4.7884896048344674E-14</v>
      </c>
      <c r="BF202" s="13">
        <f t="shared" si="167"/>
        <v>7.8374629847779921E-13</v>
      </c>
      <c r="BG202" s="20">
        <f t="shared" si="168"/>
        <v>1.4484243304663672E-12</v>
      </c>
      <c r="BH202" s="59">
        <f t="shared" si="194"/>
        <v>290.51637186933755</v>
      </c>
      <c r="BI202" s="59">
        <f ca="1">AVERAGE(OFFSET($BH$3,0,0,'Données projet'!$E$11+1,1))-AVERAGE(OFFSET($H$3,0,0,'Données projet'!$E$11+1,1))</f>
        <v>456.35333554128226</v>
      </c>
      <c r="BJ202" s="59">
        <f t="shared" si="206"/>
        <v>296.4517290984877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19.395202038810321</v>
      </c>
      <c r="BQ202" s="21">
        <f>EXP(-LN(2)/25)*BQ201+(1-EXP(-LN(2)/25))/(LN(2)/25)*Calculateur!BL202*Calculateur!BN202*VLOOKUP('Données projet'!$B$11,Paramètres!$A$1:$I$89,3,0)*0.475*44/12</f>
        <v>2.1233095887171314</v>
      </c>
      <c r="BR202" s="21">
        <f>EXP(-LN(2)/2)*BR201+(1-EXP(-LN(2)/2))/(LN(2)/2)*BL202*BO202*VLOOKUP('Données projet'!$B$11,Paramètres!$A$1:$I$89,3,0)*0.475*44/12</f>
        <v>7.4590932845913393E-14</v>
      </c>
      <c r="BS202" s="22">
        <f t="shared" si="169"/>
        <v>21.518511627527527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2.5579538487363607E-13</v>
      </c>
      <c r="BZ202" s="13">
        <f>BY202*VLOOKUP('Données projet'!$B$12,Paramètres!$A$1:$I$89,3,0)*VLOOKUP('Données projet'!$B$12,Paramètres!$A$1:$I$89,5,0)</f>
        <v>2.4341488824575211E-13</v>
      </c>
      <c r="CA202" s="13">
        <f t="shared" si="170"/>
        <v>3.2970717324875541E-12</v>
      </c>
      <c r="CB202" s="20">
        <f t="shared" si="171"/>
        <v>6.1663475311105072E-12</v>
      </c>
      <c r="CC202" s="59">
        <f t="shared" si="195"/>
        <v>290.51637186934227</v>
      </c>
      <c r="CD202" s="59">
        <f ca="1">AVERAGE(OFFSET($CC$3,0,0,'Données projet'!$E$12+1,1))-AVERAGE(OFFSET($H$3,0,0,'Données projet'!$E$12+1,1))</f>
        <v>486.36097333679697</v>
      </c>
      <c r="CE202" s="59">
        <f t="shared" si="207"/>
        <v>308.47736602748159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16.867989886511413</v>
      </c>
      <c r="CL202" s="21">
        <f>EXP(-LN(2)/25)*CL201+(1-EXP(-LN(2)/25))/(LN(2)/25)*Calculateur!CG202*Calculateur!CI202*VLOOKUP('Données projet'!$B$12,Paramètres!$A$1:$I$89,3,0)*0.475*44/12</f>
        <v>8.887456685408619</v>
      </c>
      <c r="CM202" s="21">
        <f>EXP(-LN(2)/2)*CM201+(1-EXP(-LN(2)/2))/(LN(2)/2)*CG202*CJ202*VLOOKUP('Données projet'!$B$12,Paramètres!$A$1:$I$89,3,0)*0.475*44/12</f>
        <v>1.4755985459418115E-9</v>
      </c>
      <c r="CN202" s="22">
        <f t="shared" si="172"/>
        <v>25.755446573395631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290.56523985296195</v>
      </c>
      <c r="S203" s="59">
        <f ca="1">AVERAGE(OFFSET($R$3,0,0,'Données projet'!$E$9+1,1))-AVERAGE(OFFSET($H$3,0,0,'Données projet'!$E$9+1,1))</f>
        <v>407.05634973057056</v>
      </c>
      <c r="T203" s="59">
        <f t="shared" si="204"/>
        <v>375.32891954889965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3.979039320256561E-13</v>
      </c>
      <c r="AJ203" s="13">
        <f>AI203*VLOOKUP('Données projet'!$B$10,Paramètres!$A$1:$I$89,3,0)*VLOOKUP('Données projet'!$B$10,Paramètres!$A$1:$I$89,5,0)</f>
        <v>3.6002347769681362E-13</v>
      </c>
      <c r="AK203" s="13">
        <f t="shared" si="164"/>
        <v>4.6593569189922594E-12</v>
      </c>
      <c r="AL203" s="20">
        <f t="shared" si="165"/>
        <v>8.7420875242334695E-12</v>
      </c>
      <c r="AM203" s="59">
        <f t="shared" si="193"/>
        <v>290.56523985296286</v>
      </c>
      <c r="AN203" s="59">
        <f ca="1">AVERAGE(OFFSET($AM$3,0,0,'Données projet'!$E$10+1,1))-AVERAGE(OFFSET($H$3,0,0,'Données projet'!$E$10+1,1))</f>
        <v>737.40414421611001</v>
      </c>
      <c r="AO203" s="59">
        <f t="shared" si="205"/>
        <v>245.32893490531674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77.373725876365413</v>
      </c>
      <c r="AV203" s="21">
        <f>EXP(-LN(2)/25)*AV202+(1-EXP(-LN(2)/25))/(LN(2)/25)*Calculateur!AQ203*Calculateur!AS203*VLOOKUP('Données projet'!$B$10,Paramètres!$A$1:$I$89,3,0)*0.475*44/12</f>
        <v>9.7588330791719642</v>
      </c>
      <c r="AW203" s="21">
        <f>EXP(-LN(2)/2)*AW202+(1-EXP(-LN(2)/2))/(LN(2)/2)*AQ203*AT203*VLOOKUP('Données projet'!$B$10,Paramètres!$A$1:$I$89,3,0)*0.475*44/12</f>
        <v>7.6756309093906389E-6</v>
      </c>
      <c r="AX203" s="21">
        <f t="shared" si="166"/>
        <v>87.132566631168288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4.7884896048344674E-14</v>
      </c>
      <c r="BF203" s="13">
        <f t="shared" si="167"/>
        <v>7.8374629847779921E-13</v>
      </c>
      <c r="BG203" s="20">
        <f t="shared" si="168"/>
        <v>1.4484243304663672E-12</v>
      </c>
      <c r="BH203" s="59">
        <f t="shared" si="194"/>
        <v>290.56523985295553</v>
      </c>
      <c r="BI203" s="59">
        <f ca="1">AVERAGE(OFFSET($BH$3,0,0,'Données projet'!$E$11+1,1))-AVERAGE(OFFSET($H$3,0,0,'Données projet'!$E$11+1,1))</f>
        <v>456.35333554128226</v>
      </c>
      <c r="BJ203" s="59">
        <f t="shared" si="206"/>
        <v>296.4517290984877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19.014873956734387</v>
      </c>
      <c r="BQ203" s="21">
        <f>EXP(-LN(2)/25)*BQ202+(1-EXP(-LN(2)/25))/(LN(2)/25)*Calculateur!BL203*Calculateur!BN203*VLOOKUP('Données projet'!$B$11,Paramètres!$A$1:$I$89,3,0)*0.475*44/12</f>
        <v>2.0652475763536629</v>
      </c>
      <c r="BR203" s="21">
        <f>EXP(-LN(2)/2)*BR202+(1-EXP(-LN(2)/2))/(LN(2)/2)*BL203*BO203*VLOOKUP('Données projet'!$B$11,Paramètres!$A$1:$I$89,3,0)*0.475*44/12</f>
        <v>5.2743754430375743E-14</v>
      </c>
      <c r="BS203" s="22">
        <f t="shared" si="169"/>
        <v>21.080121533088104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2.5579538487363607E-13</v>
      </c>
      <c r="BZ203" s="13">
        <f>BY203*VLOOKUP('Données projet'!$B$12,Paramètres!$A$1:$I$89,3,0)*VLOOKUP('Données projet'!$B$12,Paramètres!$A$1:$I$89,5,0)</f>
        <v>2.4341488824575211E-13</v>
      </c>
      <c r="CA203" s="13">
        <f t="shared" si="170"/>
        <v>3.2970717324875541E-12</v>
      </c>
      <c r="CB203" s="20">
        <f t="shared" si="171"/>
        <v>6.1663475311105072E-12</v>
      </c>
      <c r="CC203" s="59">
        <f t="shared" si="195"/>
        <v>290.56523985296025</v>
      </c>
      <c r="CD203" s="59">
        <f ca="1">AVERAGE(OFFSET($CC$3,0,0,'Données projet'!$E$12+1,1))-AVERAGE(OFFSET($H$3,0,0,'Données projet'!$E$12+1,1))</f>
        <v>486.36097333679697</v>
      </c>
      <c r="CE203" s="59">
        <f t="shared" si="207"/>
        <v>308.47736602748159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16.537218893294856</v>
      </c>
      <c r="CL203" s="21">
        <f>EXP(-LN(2)/25)*CL202+(1-EXP(-LN(2)/25))/(LN(2)/25)*Calculateur!CG203*Calculateur!CI203*VLOOKUP('Données projet'!$B$12,Paramètres!$A$1:$I$89,3,0)*0.475*44/12</f>
        <v>8.6444287149750849</v>
      </c>
      <c r="CM203" s="21">
        <f>EXP(-LN(2)/2)*CM202+(1-EXP(-LN(2)/2))/(LN(2)/2)*CG203*CJ203*VLOOKUP('Données projet'!$B$12,Paramètres!$A$1:$I$89,3,0)*0.475*44/12</f>
        <v>1.0434057381444642E-9</v>
      </c>
      <c r="CN203" s="22">
        <f t="shared" si="172"/>
        <v>25.181647609313348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1.1636646418946561</v>
      </c>
      <c r="BA205" s="82">
        <f>EXP(LN('Données projet'!B88)/'Données projet'!A88)</f>
        <v>1.175998897105349</v>
      </c>
      <c r="BV205" s="82">
        <f>EXP(LN('Données projet'!B114)/'Données projet'!A114)</f>
        <v>1.141469227569226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5.601</v>
      </c>
      <c r="C6" s="147">
        <f ca="1">IF(OR('Données projet'!B9="",'Données projet'!C9="",'Données projet'!C9=0%),0,Calculateur!S3)</f>
        <v>407.05634973057056</v>
      </c>
      <c r="D6" s="147">
        <f>IF(OR('Données projet'!B9="",'Données projet'!C9="",'Données projet'!C9=0%),0,Calculateur!T3)</f>
        <v>375.32891954889965</v>
      </c>
      <c r="E6" s="147">
        <f ca="1">MIN(C6,D6)</f>
        <v>375.32891954889965</v>
      </c>
      <c r="F6" s="147">
        <f ca="1">E6*B6</f>
        <v>2102.217278393387</v>
      </c>
      <c r="G6" s="147">
        <f ca="1">F6*(100%-'Données projet'!$C$24)*(100%-'Données projet'!$C$25)*(100%-'Données projet'!$C$26)*(100%-'Données projet'!$C$27)</f>
        <v>1702.7959954986436</v>
      </c>
      <c r="H6" s="148">
        <f>IF(OR('Données projet'!B9="",'Données projet'!C9="",'Données projet'!C9=0%),0,AVERAGE(Calculateur!$AC$3:$AC$33)*B6)</f>
        <v>51.238060438616372</v>
      </c>
      <c r="I6" s="149">
        <f>H6*(100%-'Données projet'!$C$24)*(100%-'Données projet'!$C$25)*(100%-'Données projet'!$C$26)*(100%-'Données projet'!$C$27)</f>
        <v>41.502828955279263</v>
      </c>
      <c r="J6" s="150">
        <f>IF(OR('Données projet'!B9="",'Données projet'!C9="",'Données projet'!C9=0%),0,SUM(Calculateur!$V$3:$V$33)*VLOOKUP('Données projet'!$B$9,Paramètres!$A$1:$I$89,9,0)*B6)</f>
        <v>318.49078319999995</v>
      </c>
      <c r="K6" s="151">
        <f>J6*(100%-'Données projet'!$C$24)*(100%-'Données projet'!$C$25)*(100%-'Données projet'!$C$26)*(100%-'Données projet'!$C$27)</f>
        <v>257.977534392</v>
      </c>
      <c r="L6" s="152">
        <f ca="1">G6+I6+K6</f>
        <v>2002.2763588459229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sessile</v>
      </c>
      <c r="B7" s="154">
        <f>'Données projet'!D10</f>
        <v>6.7212000000000005</v>
      </c>
      <c r="C7" s="147">
        <f ca="1">IF(OR('Données projet'!B10="",'Données projet'!C10="",'Données projet'!C10=0%),0,Calculateur!AN3)</f>
        <v>737.40414421611001</v>
      </c>
      <c r="D7" s="147">
        <f>IF(OR('Données projet'!B10="",'Données projet'!C10="",'Données projet'!C10=0%),0,Calculateur!AO3)</f>
        <v>245.32893490531674</v>
      </c>
      <c r="E7" s="147">
        <f t="shared" ref="E7:E15" ca="1" si="0">MIN(C7,D7)</f>
        <v>245.32893490531674</v>
      </c>
      <c r="F7" s="147">
        <f t="shared" ref="F7:F15" ca="1" si="1">E7*B7</f>
        <v>1648.904837285615</v>
      </c>
      <c r="G7" s="147">
        <f ca="1">F7*(100%-'Données projet'!$C$24)*(100%-'Données projet'!$C$25)*(100%-'Données projet'!$C$26)*(100%-'Données projet'!$C$27)</f>
        <v>1335.6129182013481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1335.6129182013481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pédonculé</v>
      </c>
      <c r="B8" s="154">
        <f>'Données projet'!D11</f>
        <v>3.7340000000000004</v>
      </c>
      <c r="C8" s="147">
        <f ca="1">IF(OR('Données projet'!B11="",'Données projet'!C11="",'Données projet'!C11=0%),0,Calculateur!BI3)</f>
        <v>456.35333554128226</v>
      </c>
      <c r="D8" s="147">
        <f>IF(OR('Données projet'!B11="",'Données projet'!C11="",'Données projet'!C11=0%),0,Calculateur!BJ3)</f>
        <v>296.4517290984877</v>
      </c>
      <c r="E8" s="147">
        <f t="shared" ca="1" si="0"/>
        <v>296.4517290984877</v>
      </c>
      <c r="F8" s="147">
        <f t="shared" ca="1" si="1"/>
        <v>1106.9507564537532</v>
      </c>
      <c r="G8" s="147">
        <f ca="1">F8*(100%-'Données projet'!$C$24)*(100%-'Données projet'!$C$25)*(100%-'Données projet'!$C$26)*(100%-'Données projet'!$C$27)</f>
        <v>896.63011272754022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896.63011272754022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Charme</v>
      </c>
      <c r="B9" s="154">
        <f>'Données projet'!D12</f>
        <v>2.6138000000000003</v>
      </c>
      <c r="C9" s="147">
        <f ca="1">IF(OR('Données projet'!B12="",'Données projet'!C12="",'Données projet'!C12=0%),0,Calculateur!CD3)</f>
        <v>486.36097333679697</v>
      </c>
      <c r="D9" s="147">
        <f>IF(OR('Données projet'!B12="",'Données projet'!C12="",'Données projet'!C12=0%),0,Calculateur!CE3)</f>
        <v>308.47736602748159</v>
      </c>
      <c r="E9" s="147">
        <f t="shared" ca="1" si="0"/>
        <v>308.47736602748159</v>
      </c>
      <c r="F9" s="147">
        <f t="shared" ca="1" si="1"/>
        <v>806.29813932263153</v>
      </c>
      <c r="G9" s="147">
        <f ca="1">F9*(100%-'Données projet'!$C$24)*(100%-'Données projet'!$C$25)*(100%-'Données projet'!$C$26)*(100%-'Données projet'!$C$27)</f>
        <v>653.10149285133161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653.10149285133161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5664.3710114553869</v>
      </c>
      <c r="G16" s="166">
        <f t="shared" ca="1" si="3"/>
        <v>4588.1405192788634</v>
      </c>
      <c r="H16" s="167">
        <f t="shared" si="3"/>
        <v>51.238060438616372</v>
      </c>
      <c r="I16" s="167">
        <f t="shared" si="3"/>
        <v>41.502828955279263</v>
      </c>
      <c r="J16" s="168">
        <f t="shared" si="3"/>
        <v>318.49078319999995</v>
      </c>
      <c r="K16" s="168">
        <f t="shared" si="3"/>
        <v>257.977534392</v>
      </c>
      <c r="L16" s="169">
        <f t="shared" ca="1" si="3"/>
        <v>4887.6208826261427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7" zoomScale="80" zoomScaleNormal="80" workbookViewId="0">
      <selection activeCell="I20" sqref="I20:I24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5019.6259947260805</v>
      </c>
      <c r="U10" s="178">
        <f>'Données projet'!D9</f>
        <v>5.601</v>
      </c>
      <c r="V10" s="177">
        <f>U10*T10</f>
        <v>28114.925196460776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1398.3481633884098</v>
      </c>
      <c r="U11" s="178">
        <f>'Données projet'!D10</f>
        <v>6.7212000000000005</v>
      </c>
      <c r="V11" s="177">
        <f t="shared" ref="V11" si="0">U11*T11</f>
        <v>9398.5776757661806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3106.2606206153159</v>
      </c>
      <c r="U12" s="178">
        <f>'Données projet'!D11</f>
        <v>3.7340000000000004</v>
      </c>
      <c r="V12" s="177">
        <f t="shared" ref="V12:V19" si="1">U12*T12</f>
        <v>11598.777157377592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690.61703008867903</v>
      </c>
      <c r="U13" s="178">
        <f>'Données projet'!D12</f>
        <v>2.6138000000000003</v>
      </c>
      <c r="V13" s="177">
        <f t="shared" si="1"/>
        <v>1805.1347932457895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57715.35/'Données projet'!C5</f>
        <v>3091.3417246920189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(107611)/'Données projet'!C$5/4</f>
        <v>1440.9614354579537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(107611)/'Données projet'!C$5/4</f>
        <v>1440.9614354579537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21</v>
      </c>
      <c r="B23" s="181">
        <f>'Données projet'!D36</f>
        <v>64.599999999999994</v>
      </c>
      <c r="C23" s="193">
        <v>12.796874999999998</v>
      </c>
      <c r="D23" s="182">
        <f>B23*C23</f>
        <v>826.6781249999998</v>
      </c>
      <c r="E23" s="193">
        <v>60</v>
      </c>
      <c r="F23" s="230"/>
      <c r="H23" s="190">
        <v>4</v>
      </c>
      <c r="I23" s="191">
        <f>(107611)/'Données projet'!C$5/4</f>
        <v>1440.9614354579537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-96670.773665137953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28</v>
      </c>
      <c r="B24" s="181">
        <f>'Données projet'!D37</f>
        <v>67.639999999999986</v>
      </c>
      <c r="C24" s="193">
        <v>12.796874999999998</v>
      </c>
      <c r="D24" s="182">
        <f t="shared" ref="D24:D42" si="2">B24*C24</f>
        <v>865.58062499999971</v>
      </c>
      <c r="E24" s="193">
        <v>60</v>
      </c>
      <c r="F24" s="233"/>
      <c r="H24" s="190">
        <v>5</v>
      </c>
      <c r="I24" s="191">
        <f>(107611)/'Données projet'!C$5/4</f>
        <v>1440.9614354579537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74612.417149841451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35</v>
      </c>
      <c r="B25" s="181">
        <f>'Données projet'!D38</f>
        <v>86.700000000000045</v>
      </c>
      <c r="C25" s="193">
        <v>48.555</v>
      </c>
      <c r="D25" s="182">
        <f t="shared" si="2"/>
        <v>4209.7185000000018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180</v>
      </c>
      <c r="Q25" s="234"/>
      <c r="R25" s="23"/>
      <c r="S25" s="186" t="s">
        <v>266</v>
      </c>
      <c r="T25" s="300">
        <f ca="1">T23-T24</f>
        <v>-171283.1908149794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42</v>
      </c>
      <c r="B26" s="181">
        <f>'Données projet'!D39</f>
        <v>100.04000000000002</v>
      </c>
      <c r="C26" s="193">
        <v>48.555</v>
      </c>
      <c r="D26" s="182">
        <f t="shared" si="2"/>
        <v>4857.4422000000013</v>
      </c>
      <c r="E26" s="193">
        <v>60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49</v>
      </c>
      <c r="B27" s="181">
        <f>'Données projet'!D40</f>
        <v>112.69999999999999</v>
      </c>
      <c r="C27" s="193">
        <v>48.555</v>
      </c>
      <c r="D27" s="182">
        <f t="shared" si="2"/>
        <v>5472.1484999999993</v>
      </c>
      <c r="E27" s="193">
        <v>60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56</v>
      </c>
      <c r="B28" s="181">
        <f>'Données projet'!D41</f>
        <v>94.669999999999959</v>
      </c>
      <c r="C28" s="193">
        <v>48.555</v>
      </c>
      <c r="D28" s="182">
        <f t="shared" si="2"/>
        <v>4596.7018499999976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63</v>
      </c>
      <c r="B29" s="181">
        <f>'Données projet'!D42</f>
        <v>99.599999999999966</v>
      </c>
      <c r="C29" s="193">
        <v>48.555</v>
      </c>
      <c r="D29" s="182">
        <f t="shared" si="2"/>
        <v>4836.0779999999986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70</v>
      </c>
      <c r="B30" s="181">
        <f>'Données projet'!D43</f>
        <v>586.86</v>
      </c>
      <c r="C30" s="193">
        <v>56.74499999999999</v>
      </c>
      <c r="D30" s="182">
        <f t="shared" si="2"/>
        <v>33301.370699999992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3996.3801365742602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172.2488038277512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164.83139122272846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157.73338872988367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150.94104184677869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144.44118837012314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138.22123289007001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132.26912238284211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126.57332285439441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121.12279698985112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115.90698276540779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110.91577298125148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106.13949567583876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101.56889538357775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97.195115199595961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93.009679616838227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89.00447810223757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85.171749380131644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81.504066392470492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77.994321906670336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74.635714743225222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34</v>
      </c>
      <c r="B54" s="181">
        <f>'Données projet'!D62</f>
        <v>36.679999999999978</v>
      </c>
      <c r="C54" s="191">
        <v>14.625000000000002</v>
      </c>
      <c r="D54" s="179">
        <f>B54*C54</f>
        <v>536.44499999999971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71.42173659638776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42</v>
      </c>
      <c r="B55" s="181">
        <f>'Données projet'!D63</f>
        <v>58.099999999999994</v>
      </c>
      <c r="C55" s="191">
        <v>14.625000000000002</v>
      </c>
      <c r="D55" s="179">
        <f t="shared" ref="D55:D73" si="4">B55*C55</f>
        <v>849.71249999999998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68.346159422380651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50</v>
      </c>
      <c r="B56" s="181">
        <f>'Données projet'!D64</f>
        <v>70.730000000000018</v>
      </c>
      <c r="C56" s="191">
        <v>14.625000000000002</v>
      </c>
      <c r="D56" s="179">
        <f t="shared" si="4"/>
        <v>1034.4262500000004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65.403023370699188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58</v>
      </c>
      <c r="B57" s="181">
        <f>'Données projet'!D65</f>
        <v>65.819999999999993</v>
      </c>
      <c r="C57" s="191">
        <v>47.069099999999999</v>
      </c>
      <c r="D57" s="179">
        <f t="shared" si="4"/>
        <v>3098.0881619999996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62.586625235118852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66</v>
      </c>
      <c r="B58" s="181">
        <f>'Données projet'!D66</f>
        <v>76.480000000000018</v>
      </c>
      <c r="C58" s="191">
        <v>47.069099999999999</v>
      </c>
      <c r="D58" s="179">
        <f t="shared" si="4"/>
        <v>3599.8447680000008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59.891507402027614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74</v>
      </c>
      <c r="B59" s="181">
        <f>'Données projet'!D67</f>
        <v>75.29000000000002</v>
      </c>
      <c r="C59" s="191">
        <v>47.069099999999999</v>
      </c>
      <c r="D59" s="179">
        <f t="shared" si="4"/>
        <v>3543.8325390000009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57.312447274667591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82</v>
      </c>
      <c r="B60" s="181">
        <f>'Données projet'!D68</f>
        <v>58.140000000000043</v>
      </c>
      <c r="C60" s="191">
        <v>47.069099999999999</v>
      </c>
      <c r="D60" s="179">
        <f t="shared" si="4"/>
        <v>2736.597474000002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54.84444715279195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90</v>
      </c>
      <c r="B61" s="181">
        <f>'Données projet'!D69</f>
        <v>68.54000000000002</v>
      </c>
      <c r="C61" s="191">
        <v>47.069099999999999</v>
      </c>
      <c r="D61" s="179">
        <f t="shared" si="4"/>
        <v>3226.1161140000008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52.482724548126285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100</v>
      </c>
      <c r="B62" s="181">
        <f>'Données projet'!D70</f>
        <v>93.039999999999964</v>
      </c>
      <c r="C62" s="191">
        <v>135.13499999999999</v>
      </c>
      <c r="D62" s="179">
        <f t="shared" si="4"/>
        <v>12572.960399999994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50.222702916867249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110</v>
      </c>
      <c r="B63" s="181">
        <f>'Données projet'!D71</f>
        <v>73.299999999999955</v>
      </c>
      <c r="C63" s="191">
        <v>135.13499999999999</v>
      </c>
      <c r="D63" s="179">
        <f t="shared" si="4"/>
        <v>9905.3954999999933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48.060002791260544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120</v>
      </c>
      <c r="B64" s="181">
        <f>'Données projet'!D72</f>
        <v>66.050000000000011</v>
      </c>
      <c r="C64" s="191">
        <v>135.13499999999999</v>
      </c>
      <c r="D64" s="179">
        <f t="shared" si="4"/>
        <v>8925.6667500000003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45.990433293072279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130</v>
      </c>
      <c r="B65" s="181">
        <f>'Données projet'!D73</f>
        <v>75.799999999999955</v>
      </c>
      <c r="C65" s="191">
        <v>135.13499999999999</v>
      </c>
      <c r="D65" s="179">
        <f t="shared" si="4"/>
        <v>10243.232999999993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44.009984012509385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140</v>
      </c>
      <c r="B66" s="181">
        <f>'Données projet'!D74</f>
        <v>74.669999999999959</v>
      </c>
      <c r="C66" s="191">
        <v>135.13499999999999</v>
      </c>
      <c r="D66" s="179">
        <f t="shared" si="4"/>
        <v>10090.530449999993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42.114817236851088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150</v>
      </c>
      <c r="B67" s="181">
        <f>'Données projet'!D75</f>
        <v>259.52</v>
      </c>
      <c r="C67" s="191">
        <v>190.06649999999999</v>
      </c>
      <c r="D67" s="179">
        <f t="shared" si="4"/>
        <v>49326.058079999995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40.301260513733105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153</v>
      </c>
      <c r="B68" s="181">
        <f>'Données projet'!D76</f>
        <v>156.29000000000002</v>
      </c>
      <c r="C68" s="191">
        <v>190.06649999999999</v>
      </c>
      <c r="D68" s="179">
        <f t="shared" si="4"/>
        <v>29705.493285000004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38.565799534672827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156</v>
      </c>
      <c r="B69" s="181">
        <f>'Données projet'!D77</f>
        <v>96.65</v>
      </c>
      <c r="C69" s="191">
        <v>190.06649999999999</v>
      </c>
      <c r="D69" s="179">
        <f t="shared" si="4"/>
        <v>18369.927224999999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36.905071325045775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159</v>
      </c>
      <c r="B70" s="181">
        <f>'Données projet'!D78</f>
        <v>201.48</v>
      </c>
      <c r="C70" s="191">
        <v>190.06649999999999</v>
      </c>
      <c r="D70" s="179">
        <f t="shared" si="4"/>
        <v>38294.598419999995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35.315857727316533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33.795079164896208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32.339788674541829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30.947166195733814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29.614513105965376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28.339246991354429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27.11889664244443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25.951097265497065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24.833585899997193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23.764197033490142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22.740858405253721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21.761586990673429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20.824485158539165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19.927736993817387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19.069604778772618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31</v>
      </c>
      <c r="B85" s="181">
        <f>'Données projet'!D88</f>
        <v>65.77000000000001</v>
      </c>
      <c r="C85" s="191">
        <v>14.625000000000002</v>
      </c>
      <c r="D85" s="179">
        <f>B85*C85</f>
        <v>961.88625000000025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18.248425625619735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37</v>
      </c>
      <c r="B86" s="181">
        <f>'Données projet'!D89</f>
        <v>43.890000000000015</v>
      </c>
      <c r="C86" s="191">
        <v>14.625000000000002</v>
      </c>
      <c r="D86" s="179">
        <f t="shared" ref="D86:D104" si="6">B86*C86</f>
        <v>641.89125000000024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17.462608254181564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44</v>
      </c>
      <c r="B87" s="181">
        <f>'Données projet'!D90</f>
        <v>56.45999999999998</v>
      </c>
      <c r="C87" s="191">
        <v>47.069099999999999</v>
      </c>
      <c r="D87" s="179">
        <f t="shared" si="6"/>
        <v>2657.521385999999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16.710629908307723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51</v>
      </c>
      <c r="B88" s="181">
        <f>'Données projet'!D91</f>
        <v>55.400000000000006</v>
      </c>
      <c r="C88" s="191">
        <v>47.069099999999999</v>
      </c>
      <c r="D88" s="179">
        <f t="shared" si="6"/>
        <v>2607.6281400000003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15.991033405079159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58</v>
      </c>
      <c r="B89" s="181">
        <f>'Données projet'!D92</f>
        <v>53.97</v>
      </c>
      <c r="C89" s="191">
        <v>47.069099999999999</v>
      </c>
      <c r="D89" s="179">
        <f t="shared" si="6"/>
        <v>2540.3193269999997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15.302424311080539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65</v>
      </c>
      <c r="B90" s="181">
        <f>'Données projet'!D93</f>
        <v>56.629999999999995</v>
      </c>
      <c r="C90" s="191">
        <v>47.069099999999999</v>
      </c>
      <c r="D90" s="179">
        <f t="shared" si="6"/>
        <v>2665.5231329999997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14.64346824026846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72</v>
      </c>
      <c r="B91" s="181">
        <f>'Données projet'!D94</f>
        <v>66.109999999999957</v>
      </c>
      <c r="C91" s="191">
        <v>47.069099999999999</v>
      </c>
      <c r="D91" s="179">
        <f t="shared" si="6"/>
        <v>3111.7382009999978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14.012888268199486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81</v>
      </c>
      <c r="B92" s="181">
        <f>'Données projet'!D95</f>
        <v>87.399999999999977</v>
      </c>
      <c r="C92" s="191">
        <v>135.13499999999999</v>
      </c>
      <c r="D92" s="179">
        <f t="shared" si="6"/>
        <v>11810.798999999995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13.409462457607164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90</v>
      </c>
      <c r="B93" s="181">
        <f>'Données projet'!D96</f>
        <v>88.75</v>
      </c>
      <c r="C93" s="191">
        <v>135.13499999999999</v>
      </c>
      <c r="D93" s="179">
        <f t="shared" si="6"/>
        <v>11993.231249999999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12.832021490533172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99</v>
      </c>
      <c r="B94" s="181">
        <f>'Données projet'!D97</f>
        <v>226.42000000000002</v>
      </c>
      <c r="C94" s="191">
        <v>190.06649999999999</v>
      </c>
      <c r="D94" s="179">
        <f t="shared" si="6"/>
        <v>43034.856930000002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12.279446402424087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101</v>
      </c>
      <c r="B95" s="181">
        <f>'Données projet'!D98</f>
        <v>82.539999999999992</v>
      </c>
      <c r="C95" s="191">
        <v>190.06649999999999</v>
      </c>
      <c r="D95" s="179">
        <f t="shared" si="6"/>
        <v>15688.088909999999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11.750666413802959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103</v>
      </c>
      <c r="B96" s="181">
        <f>'Données projet'!D99</f>
        <v>58.600000000000009</v>
      </c>
      <c r="C96" s="191">
        <v>190.06649999999999</v>
      </c>
      <c r="D96" s="179">
        <f t="shared" si="6"/>
        <v>11137.896900000002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11.244656855313835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106</v>
      </c>
      <c r="B97" s="181">
        <f>'Données projet'!D100</f>
        <v>131.46</v>
      </c>
      <c r="C97" s="191">
        <v>190.06649999999999</v>
      </c>
      <c r="D97" s="179">
        <f t="shared" si="6"/>
        <v>24986.142090000001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10.760437182118508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10.297069073797616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9.8536546160742748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9.4293345608366259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9.023286661087683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8.6347240775958696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8.2628938541587278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38</v>
      </c>
      <c r="B116" s="181">
        <f>'Données projet'!D114</f>
        <v>71.569999999999993</v>
      </c>
      <c r="C116" s="191">
        <v>13.25</v>
      </c>
      <c r="D116" s="179">
        <f>B116*C116</f>
        <v>948.3024999999999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45</v>
      </c>
      <c r="B117" s="181">
        <f>'Données projet'!D115</f>
        <v>41.69</v>
      </c>
      <c r="C117" s="191">
        <v>13.25</v>
      </c>
      <c r="D117" s="179">
        <f t="shared" ref="D117:D135" si="8">B117*C117</f>
        <v>552.39249999999993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52</v>
      </c>
      <c r="B118" s="181">
        <f>'Données projet'!D116</f>
        <v>44.400000000000006</v>
      </c>
      <c r="C118" s="191">
        <v>25.625</v>
      </c>
      <c r="D118" s="179">
        <f t="shared" si="8"/>
        <v>1137.7500000000002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59</v>
      </c>
      <c r="B119" s="181">
        <f>'Données projet'!D117</f>
        <v>41.81</v>
      </c>
      <c r="C119" s="191">
        <v>25.625</v>
      </c>
      <c r="D119" s="179">
        <f t="shared" si="8"/>
        <v>1071.3812500000001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67</v>
      </c>
      <c r="B120" s="181">
        <f>'Données projet'!D118</f>
        <v>42.550000000000011</v>
      </c>
      <c r="C120" s="191">
        <v>25.625</v>
      </c>
      <c r="D120" s="179">
        <f t="shared" si="8"/>
        <v>1090.3437500000002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75</v>
      </c>
      <c r="B121" s="181">
        <f>'Données projet'!D119</f>
        <v>43.519999999999982</v>
      </c>
      <c r="C121" s="191">
        <v>25.625</v>
      </c>
      <c r="D121" s="179">
        <f t="shared" si="8"/>
        <v>1115.1999999999996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83</v>
      </c>
      <c r="B122" s="181">
        <f>'Données projet'!D120</f>
        <v>49.980000000000018</v>
      </c>
      <c r="C122" s="191">
        <v>25.625</v>
      </c>
      <c r="D122" s="179">
        <f t="shared" si="8"/>
        <v>1280.7375000000004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93</v>
      </c>
      <c r="B123" s="181">
        <f>'Données projet'!D121</f>
        <v>67.45999999999998</v>
      </c>
      <c r="C123" s="191">
        <v>33.125</v>
      </c>
      <c r="D123" s="179">
        <f t="shared" si="8"/>
        <v>2234.6124999999993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103</v>
      </c>
      <c r="B124" s="181">
        <f>'Données projet'!D122</f>
        <v>67.759999999999991</v>
      </c>
      <c r="C124" s="191">
        <v>33.125</v>
      </c>
      <c r="D124" s="179">
        <f t="shared" si="8"/>
        <v>2244.5499999999997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113</v>
      </c>
      <c r="B125" s="181">
        <f>'Données projet'!D123</f>
        <v>68.670000000000016</v>
      </c>
      <c r="C125" s="191">
        <v>33.125</v>
      </c>
      <c r="D125" s="179">
        <f t="shared" si="8"/>
        <v>2274.6937500000004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123</v>
      </c>
      <c r="B126" s="181">
        <f>'Données projet'!D124</f>
        <v>203.78999999999996</v>
      </c>
      <c r="C126" s="191">
        <v>41.875</v>
      </c>
      <c r="D126" s="179">
        <f t="shared" si="8"/>
        <v>8533.7062499999993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125</v>
      </c>
      <c r="B127" s="181">
        <f>'Données projet'!D125</f>
        <v>70.609999999999985</v>
      </c>
      <c r="C127" s="191">
        <v>41.875</v>
      </c>
      <c r="D127" s="179">
        <f t="shared" si="8"/>
        <v>2956.7937499999994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127</v>
      </c>
      <c r="B128" s="181">
        <f>'Données projet'!D126</f>
        <v>46.039999999999992</v>
      </c>
      <c r="C128" s="191">
        <v>41.875</v>
      </c>
      <c r="D128" s="179">
        <f t="shared" si="8"/>
        <v>1927.9249999999997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130</v>
      </c>
      <c r="B129" s="181">
        <f>'Données projet'!D127</f>
        <v>112.75</v>
      </c>
      <c r="C129" s="191">
        <v>41.875</v>
      </c>
      <c r="D129" s="179">
        <f t="shared" si="8"/>
        <v>4721.40625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D786C-4D14-4933-84F8-D4EDA7BE0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2024-03-28T13:47:11Z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