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rbonapp\Documents\2_Boisement\Boisement JJL_Fienvillers (80)\Dossier d_intruction\"/>
    </mc:Choice>
  </mc:AlternateContent>
  <xr:revisionPtr revIDLastSave="0" documentId="13_ncr:1_{940ED2EA-392C-4346-B7BD-11A1FED7A328}" xr6:coauthVersionLast="47" xr6:coauthVersionMax="47" xr10:uidLastSave="{00000000-0000-0000-0000-000000000000}"/>
  <bookViews>
    <workbookView xWindow="-108" yWindow="-108" windowWidth="23256" windowHeight="12576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FQ4" i="2"/>
  <c r="BR4" i="2"/>
  <c r="FR4" i="2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FR5" i="2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B7" i="2"/>
  <c r="EW7" i="2"/>
  <c r="EV7" i="2"/>
  <c r="HI7" i="2"/>
  <c r="EA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B10" i="2"/>
  <c r="HG10" i="2"/>
  <c r="FS10" i="2"/>
  <c r="EA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C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FS18" i="2"/>
  <c r="EA18" i="2"/>
  <c r="HG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EC20" i="2"/>
  <c r="FS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W21" i="2"/>
  <c r="EB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C22" i="2"/>
  <c r="HH22" i="2"/>
  <c r="EW22" i="2"/>
  <c r="HG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G24" i="2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FS28" i="2"/>
  <c r="EC28" i="2"/>
  <c r="HI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B33" i="2"/>
  <c r="EW33" i="2"/>
  <c r="HG33" i="2"/>
  <c r="HH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HH35" i="2"/>
  <c r="FQ35" i="2"/>
  <c r="EB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X38" i="2"/>
  <c r="EA38" i="2"/>
  <c r="HH38" i="2"/>
  <c r="HG38" i="2"/>
  <c r="FS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HG43" i="2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HH44" i="2"/>
  <c r="HG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W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C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EX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HG57" i="2"/>
  <c r="EB57" i="2"/>
  <c r="HI57" i="2"/>
  <c r="FS57" i="2"/>
  <c r="EV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HH59" i="2"/>
  <c r="EB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H60" i="2"/>
  <c r="HG60" i="2"/>
  <c r="HI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C63" i="2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H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W70" i="2"/>
  <c r="HI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FS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HH75" i="2"/>
  <c r="HG75" i="2"/>
  <c r="FS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HI85" i="2"/>
  <c r="EW85" i="2"/>
  <c r="HG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A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B87" i="2"/>
  <c r="HG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B95" i="2"/>
  <c r="HG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FS98" i="2"/>
  <c r="HI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FS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HG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FQ112" i="2"/>
  <c r="HI112" i="2"/>
  <c r="EX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W113" i="2"/>
  <c r="EC113" i="2"/>
  <c r="FS113" i="2"/>
  <c r="EB113" i="2"/>
  <c r="HG113" i="2"/>
  <c r="EX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G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HG116" i="2"/>
  <c r="EC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FQ118" i="2"/>
  <c r="FS118" i="2"/>
  <c r="HH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HI120" i="2"/>
  <c r="EX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A121" i="2"/>
  <c r="FR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HI122" i="2"/>
  <c r="FS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FS124" i="2" l="1"/>
  <c r="EX124" i="2"/>
  <c r="HH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HI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HG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HH130" i="2"/>
  <c r="FS130" i="2"/>
  <c r="HG130" i="2"/>
  <c r="HI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C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B139" i="2"/>
  <c r="EW139" i="2"/>
  <c r="HH139" i="2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S140" i="2" l="1"/>
  <c r="EB140" i="2"/>
  <c r="FR140" i="2"/>
  <c r="HH140" i="2"/>
  <c r="EC140" i="2"/>
  <c r="HG140" i="2"/>
  <c r="EX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HG141" i="2"/>
  <c r="HH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HH144" i="2"/>
  <c r="HG144" i="2"/>
  <c r="EA144" i="2"/>
  <c r="EX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G145" i="2"/>
  <c r="HH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EA146" i="2"/>
  <c r="HH146" i="2"/>
  <c r="HG146" i="2"/>
  <c r="HI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I150" i="2"/>
  <c r="HH150" i="2"/>
  <c r="HG150" i="2"/>
  <c r="EV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AB154" i="2"/>
  <c r="EB154" i="2"/>
  <c r="EX154" i="2"/>
  <c r="AA154" i="2"/>
  <c r="EV154" i="2"/>
  <c r="EY154" i="2" s="1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DI154" i="2" l="1"/>
  <c r="EA155" i="2"/>
  <c r="ED155" i="2" s="1"/>
  <c r="EW155" i="2"/>
  <c r="HH155" i="2"/>
  <c r="HG155" i="2"/>
  <c r="AC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Y155" i="2" l="1"/>
  <c r="EB156" i="2"/>
  <c r="DH156" i="2"/>
  <c r="HH156" i="2"/>
  <c r="HG156" i="2"/>
  <c r="EX156" i="2"/>
  <c r="AB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HG157" i="2"/>
  <c r="EX157" i="2"/>
  <c r="HH157" i="2"/>
  <c r="CN156" i="2"/>
  <c r="EB157" i="2"/>
  <c r="EA157" i="2"/>
  <c r="ED157" i="2" s="1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C158" i="2" l="1"/>
  <c r="HG158" i="2"/>
  <c r="HH158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HI159" i="2"/>
  <c r="EC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HG160" i="2"/>
  <c r="HH160" i="2"/>
  <c r="HI160" i="2"/>
  <c r="EY159" i="2"/>
  <c r="FS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AB161" i="2"/>
  <c r="HG161" i="2"/>
  <c r="FS161" i="2"/>
  <c r="EB161" i="2"/>
  <c r="EA161" i="2"/>
  <c r="HH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DI161" i="2" l="1"/>
  <c r="ED161" i="2"/>
  <c r="EW162" i="2"/>
  <c r="EB162" i="2"/>
  <c r="EC162" i="2"/>
  <c r="HH162" i="2"/>
  <c r="HG162" i="2"/>
  <c r="FS162" i="2"/>
  <c r="AU162" i="2"/>
  <c r="EX162" i="2"/>
  <c r="EA162" i="2"/>
  <c r="ED162" i="2" s="1"/>
  <c r="EV162" i="2"/>
  <c r="EY162" i="2" s="1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HH163" i="2" l="1"/>
  <c r="EV163" i="2"/>
  <c r="EB163" i="2"/>
  <c r="HG163" i="2"/>
  <c r="HI163" i="2"/>
  <c r="EA163" i="2"/>
  <c r="ED163" i="2" s="1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/>
  <c r="DI163" i="2" l="1"/>
  <c r="FR164" i="2"/>
  <c r="DH164" i="2"/>
  <c r="HG164" i="2"/>
  <c r="EV164" i="2"/>
  <c r="EA164" i="2"/>
  <c r="FS164" i="2"/>
  <c r="EX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HH165" i="2"/>
  <c r="HG165" i="2"/>
  <c r="EA165" i="2"/>
  <c r="ED165" i="2" s="1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CN165" i="2"/>
  <c r="FS166" i="2"/>
  <c r="EC166" i="2"/>
  <c r="HI166" i="2"/>
  <c r="EX166" i="2"/>
  <c r="EW166" i="2"/>
  <c r="EY165" i="2"/>
  <c r="FR166" i="2"/>
  <c r="GN166" i="2"/>
  <c r="HH166" i="2"/>
  <c r="HJ166" i="2" s="1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Y166" i="2" l="1"/>
  <c r="EX167" i="2"/>
  <c r="FR167" i="2"/>
  <c r="HH167" i="2"/>
  <c r="EA167" i="2"/>
  <c r="EB167" i="2"/>
  <c r="HI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V168" i="2"/>
  <c r="EY168" i="2" s="1"/>
  <c r="HH168" i="2"/>
  <c r="DI167" i="2"/>
  <c r="EC168" i="2"/>
  <c r="EW168" i="2"/>
  <c r="HI168" i="2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FS169" i="2"/>
  <c r="EA169" i="2"/>
  <c r="EX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EA171" i="2"/>
  <c r="ED171" i="2" s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Y171" i="2" l="1"/>
  <c r="EV172" i="2"/>
  <c r="EW172" i="2"/>
  <c r="HG172" i="2"/>
  <c r="HI172" i="2"/>
  <c r="EA172" i="2"/>
  <c r="ED172" i="2" s="1"/>
  <c r="EB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EB173" i="2"/>
  <c r="EW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HG174" i="2"/>
  <c r="EC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ED174" i="2" l="1"/>
  <c r="AA175" i="2"/>
  <c r="EW175" i="2"/>
  <c r="EB175" i="2"/>
  <c r="HI175" i="2"/>
  <c r="EA175" i="2"/>
  <c r="FS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FS177" i="2"/>
  <c r="HH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D177" i="2" l="1"/>
  <c r="FQ178" i="2"/>
  <c r="HH178" i="2"/>
  <c r="EB178" i="2"/>
  <c r="HG178" i="2"/>
  <c r="FS178" i="2"/>
  <c r="EA178" i="2"/>
  <c r="ED178" i="2" s="1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DF179" i="2" l="1"/>
  <c r="EB179" i="2"/>
  <c r="HI179" i="2"/>
  <c r="EV179" i="2"/>
  <c r="EY179" i="2" s="1"/>
  <c r="EA179" i="2"/>
  <c r="ED179" i="2" s="1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HI180" i="2" l="1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HG181" i="2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X182" i="2"/>
  <c r="EA182" i="2"/>
  <c r="ED182" i="2" s="1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FS183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HI184" i="2"/>
  <c r="FS184" i="2"/>
  <c r="EX184" i="2"/>
  <c r="EC184" i="2"/>
  <c r="AW184" i="2"/>
  <c r="EB184" i="2"/>
  <c r="EV184" i="2"/>
  <c r="EY184" i="2" s="1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W185" i="2" l="1"/>
  <c r="HH185" i="2"/>
  <c r="HG185" i="2"/>
  <c r="HI185" i="2"/>
  <c r="EB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D185" i="2"/>
  <c r="FR186" i="2"/>
  <c r="EA186" i="2"/>
  <c r="HG186" i="2"/>
  <c r="HH186" i="2"/>
  <c r="EW186" i="2"/>
  <c r="EB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C187" i="2" l="1"/>
  <c r="HG187" i="2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HI188" i="2"/>
  <c r="HH188" i="2"/>
  <c r="HG188" i="2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B189" i="2" l="1"/>
  <c r="AA189" i="2"/>
  <c r="EV189" i="2"/>
  <c r="EY189" i="2" s="1"/>
  <c r="HH189" i="2"/>
  <c r="EC189" i="2"/>
  <c r="FS189" i="2"/>
  <c r="HI189" i="2"/>
  <c r="EX189" i="2"/>
  <c r="EA189" i="2"/>
  <c r="ED189" i="2" s="1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HJ189" i="2" l="1"/>
  <c r="HH190" i="2"/>
  <c r="EV190" i="2"/>
  <c r="EW190" i="2"/>
  <c r="HG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G191" i="2" l="1"/>
  <c r="HH191" i="2"/>
  <c r="EW191" i="2"/>
  <c r="HI191" i="2"/>
  <c r="EC191" i="2"/>
  <c r="EX191" i="2"/>
  <c r="FS191" i="2"/>
  <c r="EA191" i="2"/>
  <c r="EV191" i="2"/>
  <c r="EY191" i="2" s="1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HH192" i="2" l="1"/>
  <c r="HG192" i="2"/>
  <c r="EA192" i="2"/>
  <c r="ED192" i="2" s="1"/>
  <c r="EW192" i="2"/>
  <c r="EC192" i="2"/>
  <c r="HI192" i="2"/>
  <c r="EV192" i="2"/>
  <c r="EY192" i="2" s="1"/>
  <c r="EB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HI193" i="2" l="1"/>
  <c r="FQ193" i="2"/>
  <c r="DI192" i="2"/>
  <c r="EB193" i="2"/>
  <c r="EA193" i="2"/>
  <c r="ED193" i="2" s="1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HG194" i="2" l="1"/>
  <c r="FQ194" i="2"/>
  <c r="HI194" i="2"/>
  <c r="CN193" i="2"/>
  <c r="AW194" i="2"/>
  <c r="DI193" i="2"/>
  <c r="FS194" i="2"/>
  <c r="DF194" i="2"/>
  <c r="EX194" i="2"/>
  <c r="EC194" i="2"/>
  <c r="ED194" i="2" s="1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HG195" i="2" l="1"/>
  <c r="FQ195" i="2"/>
  <c r="AA195" i="2"/>
  <c r="EB195" i="2"/>
  <c r="HI195" i="2"/>
  <c r="EA195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Y195" i="2" l="1"/>
  <c r="HG196" i="2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Y196" i="2" l="1"/>
  <c r="EC197" i="2"/>
  <c r="EW197" i="2"/>
  <c r="EA197" i="2"/>
  <c r="ED197" i="2" s="1"/>
  <c r="FS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HI198" i="2" l="1"/>
  <c r="EV198" i="2"/>
  <c r="EY198" i="2" s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W199" i="2" l="1"/>
  <c r="HG199" i="2"/>
  <c r="EB199" i="2"/>
  <c r="EA199" i="2"/>
  <c r="HH199" i="2"/>
  <c r="HJ199" i="2" s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 l="1"/>
  <c r="HG201" i="2"/>
  <c r="ED200" i="2"/>
  <c r="FS201" i="2"/>
  <c r="HH201" i="2"/>
  <c r="EA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HG202" i="2" l="1"/>
  <c r="FR202" i="2"/>
  <c r="HH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9" i="2" a="1"/>
  <c r="AH1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55" i="2" a="1"/>
  <c r="BC55" i="2" s="1"/>
  <c r="BC32" i="2" a="1"/>
  <c r="BC32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FR203" i="2" l="1"/>
  <c r="BX107" i="2" a="1"/>
  <c r="BX107" i="2" s="1"/>
  <c r="HG203" i="2"/>
  <c r="BP203" i="2"/>
  <c r="BC130" i="2" a="1"/>
  <c r="BC130" i="2" s="1"/>
  <c r="BC192" i="2" a="1"/>
  <c r="BC192" i="2" s="1"/>
  <c r="BC38" i="2" a="1"/>
  <c r="BC38" i="2" s="1"/>
  <c r="BC18" i="2" a="1"/>
  <c r="BC18" i="2" s="1"/>
  <c r="BC83" i="2" a="1"/>
  <c r="BC83" i="2" s="1"/>
  <c r="BC151" i="2" a="1"/>
  <c r="BC151" i="2" s="1"/>
  <c r="BC143" i="2" a="1"/>
  <c r="BC143" i="2" s="1"/>
  <c r="BC31" i="2" a="1"/>
  <c r="BC31" i="2" s="1"/>
  <c r="BC84" i="2" a="1"/>
  <c r="BC84" i="2" s="1"/>
  <c r="BC47" i="2" a="1"/>
  <c r="BC47" i="2" s="1"/>
  <c r="BC164" i="2" a="1"/>
  <c r="BC164" i="2" s="1"/>
  <c r="AH166" i="2" a="1"/>
  <c r="AH166" i="2" s="1"/>
  <c r="AH92" i="2" a="1"/>
  <c r="AH92" i="2" s="1"/>
  <c r="BC117" i="2" a="1"/>
  <c r="BC117" i="2" s="1"/>
  <c r="BC181" i="2" a="1"/>
  <c r="BC181" i="2" s="1"/>
  <c r="BC65" i="2" a="1"/>
  <c r="BC65" i="2" s="1"/>
  <c r="BC114" i="2" a="1"/>
  <c r="BC114" i="2" s="1"/>
  <c r="BC126" i="2" a="1"/>
  <c r="BC126" i="2" s="1"/>
  <c r="BC82" i="2" a="1"/>
  <c r="BC82" i="2" s="1"/>
  <c r="BC68" i="2" a="1"/>
  <c r="BC68" i="2" s="1"/>
  <c r="BC58" i="2" a="1"/>
  <c r="BC58" i="2" s="1"/>
  <c r="BC34" i="2" a="1"/>
  <c r="BC34" i="2" s="1"/>
  <c r="BC7" i="2" a="1"/>
  <c r="BC7" i="2" s="1"/>
  <c r="BD7" i="2" s="1"/>
  <c r="BC185" i="2" a="1"/>
  <c r="BC185" i="2" s="1"/>
  <c r="AH199" i="2" a="1"/>
  <c r="AH199" i="2" s="1"/>
  <c r="AH90" i="2" a="1"/>
  <c r="AH90" i="2" s="1"/>
  <c r="AH151" i="2" a="1"/>
  <c r="AH151" i="2" s="1"/>
  <c r="FS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9" i="2" l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CN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CY24" i="2" l="1"/>
  <c r="CY192" i="2"/>
  <c r="CY131" i="2"/>
  <c r="CY51" i="2"/>
  <c r="CY71" i="2"/>
  <c r="CY91" i="2"/>
  <c r="CY89" i="2"/>
  <c r="CY50" i="2"/>
  <c r="CY167" i="2"/>
  <c r="CY60" i="2"/>
  <c r="CY39" i="2"/>
  <c r="CY143" i="2"/>
  <c r="CY197" i="2"/>
  <c r="CY147" i="2"/>
  <c r="CY178" i="2"/>
  <c r="CY69" i="2"/>
  <c r="CY53" i="2"/>
  <c r="CY108" i="2"/>
  <c r="CY152" i="2"/>
  <c r="CY22" i="2"/>
  <c r="CY199" i="2"/>
  <c r="CY194" i="2"/>
  <c r="CY151" i="2"/>
  <c r="CY111" i="2"/>
  <c r="CY30" i="2"/>
  <c r="CY96" i="2"/>
  <c r="CY160" i="2"/>
  <c r="CY136" i="2"/>
  <c r="CY94" i="2"/>
  <c r="CY191" i="2"/>
  <c r="CY12" i="2"/>
  <c r="CY95" i="2"/>
  <c r="CY76" i="2"/>
  <c r="CY67" i="2"/>
  <c r="CY88" i="2"/>
  <c r="CY153" i="2"/>
  <c r="CY135" i="2"/>
  <c r="CY174" i="2"/>
  <c r="CY162" i="2"/>
  <c r="CY84" i="2"/>
  <c r="CY187" i="2"/>
  <c r="CY97" i="2"/>
  <c r="CY7" i="2"/>
  <c r="CY80" i="2"/>
  <c r="CY90" i="2"/>
  <c r="CY56" i="2"/>
  <c r="CY164" i="2"/>
  <c r="CY75" i="2"/>
  <c r="CY140" i="2"/>
  <c r="CY79" i="2"/>
  <c r="CY201" i="2"/>
  <c r="CY101" i="2"/>
  <c r="CY72" i="2"/>
  <c r="CY35" i="2"/>
  <c r="CY184" i="2"/>
  <c r="CY20" i="2"/>
  <c r="CY29" i="2"/>
  <c r="CY165" i="2"/>
  <c r="CY180" i="2"/>
  <c r="CY58" i="2"/>
  <c r="CY13" i="2"/>
  <c r="CY70" i="2"/>
  <c r="CY32" i="2"/>
  <c r="CY92" i="2"/>
  <c r="CY34" i="2"/>
  <c r="CY38" i="2"/>
  <c r="CY105" i="2"/>
  <c r="CY43" i="2"/>
  <c r="CY116" i="2"/>
  <c r="CY54" i="2"/>
  <c r="CY86" i="2"/>
  <c r="CY190" i="2"/>
  <c r="CY112" i="2"/>
  <c r="CY125" i="2"/>
  <c r="CY129" i="2"/>
  <c r="CY118" i="2"/>
  <c r="CY130" i="2"/>
  <c r="CY122" i="2"/>
  <c r="CY189" i="2"/>
  <c r="CY159" i="2"/>
  <c r="CY31" i="2"/>
  <c r="CY106" i="2"/>
  <c r="CY37" i="2"/>
  <c r="CY18" i="2"/>
  <c r="CY179" i="2"/>
  <c r="CY68" i="2"/>
  <c r="CY73" i="2"/>
  <c r="CY28" i="2"/>
  <c r="CY177" i="2"/>
  <c r="CY120" i="2"/>
  <c r="CY181" i="2"/>
  <c r="CY132" i="2"/>
  <c r="CY188" i="2"/>
  <c r="CY41" i="2"/>
  <c r="CY40" i="2"/>
  <c r="CY138" i="2"/>
  <c r="CY74" i="2"/>
  <c r="CY62" i="2"/>
  <c r="CY170" i="2"/>
  <c r="CY47" i="2"/>
  <c r="CY171" i="2"/>
  <c r="CY6" i="2"/>
  <c r="CY15" i="2"/>
  <c r="CY17" i="2"/>
  <c r="CY27" i="2"/>
  <c r="CY14" i="2"/>
  <c r="CY198" i="2"/>
  <c r="CY175" i="2"/>
  <c r="CY78" i="2"/>
  <c r="CY166" i="2"/>
  <c r="CY128" i="2"/>
  <c r="CY3" i="2"/>
  <c r="C10" i="4" s="1"/>
  <c r="E10" i="4" s="1"/>
  <c r="F10" i="4" s="1"/>
  <c r="G10" i="4" s="1"/>
  <c r="L10" i="4" s="1"/>
  <c r="CY200" i="2"/>
  <c r="CY57" i="2"/>
  <c r="CY36" i="2"/>
  <c r="CY83" i="2"/>
  <c r="CY144" i="2"/>
  <c r="CY173" i="2"/>
  <c r="CY172" i="2"/>
  <c r="CY176" i="2"/>
  <c r="CY182" i="2"/>
  <c r="CY123" i="2"/>
  <c r="CY203" i="2"/>
  <c r="CY163" i="2"/>
  <c r="CY186" i="2"/>
  <c r="CY25" i="2"/>
  <c r="CY9" i="2"/>
  <c r="CY82" i="2"/>
  <c r="CY81" i="2"/>
  <c r="CY185" i="2"/>
  <c r="CY23" i="2"/>
  <c r="CY102" i="2"/>
  <c r="CY44" i="2"/>
  <c r="CY117" i="2"/>
  <c r="CY157" i="2"/>
  <c r="CY109" i="2"/>
  <c r="CY42" i="2"/>
  <c r="CY26" i="2"/>
  <c r="CY148" i="2"/>
  <c r="CY114" i="2"/>
  <c r="CY137" i="2"/>
  <c r="CY48" i="2"/>
  <c r="CY119" i="2"/>
  <c r="CY115" i="2"/>
  <c r="CY158" i="2"/>
  <c r="CY16" i="2"/>
  <c r="CY65" i="2"/>
  <c r="CY195" i="2"/>
  <c r="CY11" i="2"/>
  <c r="CY126" i="2"/>
  <c r="CY134" i="2"/>
  <c r="CY156" i="2"/>
  <c r="CY99" i="2"/>
  <c r="CY21" i="2"/>
  <c r="CY154" i="2"/>
  <c r="CY52" i="2"/>
  <c r="CY61" i="2"/>
  <c r="CY63" i="2"/>
  <c r="CY98" i="2"/>
  <c r="CY5" i="2"/>
  <c r="CY141" i="2"/>
  <c r="CY87" i="2"/>
  <c r="CY4" i="2"/>
  <c r="CY127" i="2"/>
  <c r="CY155" i="2"/>
  <c r="CY142" i="2"/>
  <c r="CY113" i="2"/>
  <c r="CY64" i="2"/>
  <c r="CY8" i="2"/>
  <c r="CY85" i="2"/>
  <c r="CY133" i="2"/>
  <c r="CY33" i="2"/>
  <c r="CY146" i="2"/>
  <c r="CY59" i="2"/>
  <c r="CY49" i="2"/>
  <c r="CY66" i="2"/>
  <c r="CY45" i="2"/>
  <c r="CY139" i="2"/>
  <c r="CY196" i="2"/>
  <c r="CY150" i="2"/>
  <c r="CY46" i="2"/>
  <c r="CY10" i="2"/>
  <c r="CY19" i="2"/>
  <c r="CY100" i="2"/>
  <c r="CY124" i="2"/>
  <c r="CY103" i="2"/>
  <c r="CY107" i="2"/>
  <c r="CY161" i="2"/>
  <c r="CY77" i="2"/>
  <c r="CY121" i="2"/>
  <c r="CY149" i="2"/>
  <c r="CY145" i="2"/>
  <c r="CY55" i="2"/>
  <c r="CY93" i="2"/>
  <c r="CY110" i="2"/>
  <c r="CY193" i="2"/>
  <c r="CY104" i="2"/>
  <c r="CY202" i="2"/>
  <c r="CY169" i="2"/>
  <c r="CY168" i="2"/>
  <c r="CY183" i="2"/>
  <c r="CD60" i="2"/>
  <c r="CD58" i="2"/>
  <c r="CD115" i="2"/>
  <c r="CD74" i="2"/>
  <c r="CD80" i="2"/>
  <c r="CD40" i="2"/>
  <c r="CD157" i="2"/>
  <c r="CD128" i="2"/>
  <c r="CD163" i="2"/>
  <c r="CD172" i="2"/>
  <c r="CD193" i="2"/>
  <c r="CD184" i="2"/>
  <c r="CD97" i="2"/>
  <c r="CD176" i="2"/>
  <c r="CD126" i="2"/>
  <c r="CD158" i="2"/>
  <c r="CD116" i="2"/>
  <c r="CD102" i="2"/>
  <c r="CD98" i="2"/>
  <c r="CD64" i="2"/>
  <c r="CD50" i="2"/>
  <c r="CD76" i="2"/>
  <c r="CD156" i="2"/>
  <c r="CD77" i="2"/>
  <c r="CD190" i="2"/>
  <c r="CD67" i="2"/>
  <c r="CD19" i="2"/>
  <c r="CD119" i="2"/>
  <c r="CD152" i="2"/>
  <c r="CD118" i="2"/>
  <c r="CD122" i="2"/>
  <c r="CD145" i="2"/>
  <c r="CD78" i="2"/>
  <c r="CD49" i="2"/>
  <c r="CD154" i="2"/>
  <c r="CD63" i="2"/>
  <c r="CD200" i="2"/>
  <c r="CD162" i="2"/>
  <c r="CD82" i="2"/>
  <c r="CD161" i="2"/>
  <c r="CD180" i="2"/>
  <c r="CD198" i="2"/>
  <c r="CD23" i="2"/>
  <c r="CD182" i="2"/>
  <c r="CD105" i="2"/>
  <c r="CD25" i="2"/>
  <c r="CD83" i="2"/>
  <c r="CD131" i="2"/>
  <c r="CD175" i="2"/>
  <c r="CD141" i="2"/>
  <c r="CD129" i="2"/>
  <c r="CD133" i="2"/>
  <c r="CD104" i="2"/>
  <c r="CD17" i="2"/>
  <c r="CD29" i="2"/>
  <c r="CD169" i="2"/>
  <c r="CD136" i="2"/>
  <c r="CD89" i="2"/>
  <c r="CD31" i="2"/>
  <c r="CD165" i="2"/>
  <c r="CD110" i="2"/>
  <c r="CD181" i="2"/>
  <c r="CD188" i="2"/>
  <c r="CD72" i="2"/>
  <c r="CD84" i="2"/>
  <c r="CD191" i="2"/>
  <c r="CD99" i="2"/>
  <c r="CD71" i="2"/>
  <c r="CD111" i="2"/>
  <c r="CD81" i="2"/>
  <c r="CD120" i="2"/>
  <c r="CD137" i="2"/>
  <c r="CD70" i="2"/>
  <c r="CD66" i="2"/>
  <c r="CD37" i="2"/>
  <c r="CD16" i="2"/>
  <c r="CD18" i="2"/>
  <c r="CD39" i="2"/>
  <c r="CD24" i="2"/>
  <c r="CD148" i="2"/>
  <c r="CD44" i="2"/>
  <c r="CD179" i="2"/>
  <c r="CD117" i="2"/>
  <c r="CD155" i="2"/>
  <c r="CD93" i="2"/>
  <c r="CD107" i="2"/>
  <c r="CD88" i="2"/>
  <c r="CD127" i="2"/>
  <c r="CD52" i="2"/>
  <c r="CD95" i="2"/>
  <c r="CD42" i="2"/>
  <c r="CD166" i="2"/>
  <c r="CD69" i="2"/>
  <c r="CD43" i="2"/>
  <c r="CD149" i="2"/>
  <c r="CD11" i="2"/>
  <c r="CD159" i="2"/>
  <c r="CD94" i="2"/>
  <c r="CD61" i="2"/>
  <c r="CD4" i="2"/>
  <c r="CD183" i="2"/>
  <c r="CD121" i="2"/>
  <c r="CD192" i="2"/>
  <c r="CD9" i="2"/>
  <c r="CD8" i="2"/>
  <c r="CD186" i="2"/>
  <c r="CD194" i="2"/>
  <c r="CD144" i="2"/>
  <c r="CD41" i="2"/>
  <c r="CD3" i="2"/>
  <c r="C9" i="4" s="1"/>
  <c r="E9" i="4" s="1"/>
  <c r="F9" i="4" s="1"/>
  <c r="G9" i="4" s="1"/>
  <c r="L9" i="4" s="1"/>
  <c r="CD75" i="2"/>
  <c r="CD53" i="2"/>
  <c r="CD22" i="2"/>
  <c r="CD48" i="2"/>
  <c r="CD65" i="2"/>
  <c r="CD7" i="2"/>
  <c r="CD123" i="2"/>
  <c r="CD10" i="2"/>
  <c r="CD21" i="2"/>
  <c r="CD33" i="2"/>
  <c r="CD46" i="2"/>
  <c r="CD20" i="2"/>
  <c r="CD55" i="2"/>
  <c r="CD124" i="2"/>
  <c r="CD139" i="2"/>
  <c r="CD91" i="2"/>
  <c r="CD45" i="2"/>
  <c r="CD13" i="2"/>
  <c r="CD14" i="2"/>
  <c r="CD27" i="2"/>
  <c r="CD203" i="2"/>
  <c r="CD185" i="2"/>
  <c r="CD132" i="2"/>
  <c r="CD130" i="2"/>
  <c r="CD187" i="2"/>
  <c r="CD174" i="2"/>
  <c r="CD106" i="2"/>
  <c r="CD135" i="2"/>
  <c r="CD108" i="2"/>
  <c r="CD56" i="2"/>
  <c r="CD146" i="2"/>
  <c r="CD151" i="2"/>
  <c r="CD6" i="2"/>
  <c r="CD153" i="2"/>
  <c r="CD36" i="2"/>
  <c r="CD177" i="2"/>
  <c r="CD92" i="2"/>
  <c r="CD195" i="2"/>
  <c r="CD59" i="2"/>
  <c r="CD34" i="2"/>
  <c r="CD12" i="2"/>
  <c r="CD68" i="2"/>
  <c r="CD202" i="2"/>
  <c r="CD30" i="2"/>
  <c r="CD138" i="2"/>
  <c r="CD79" i="2"/>
  <c r="CD35" i="2"/>
  <c r="CD178" i="2"/>
  <c r="CD143" i="2"/>
  <c r="CD199" i="2"/>
  <c r="CD26" i="2"/>
  <c r="CD168" i="2"/>
  <c r="CD32" i="2"/>
  <c r="CD87" i="2"/>
  <c r="CD113" i="2"/>
  <c r="CD47" i="2"/>
  <c r="CD140" i="2"/>
  <c r="CD54" i="2"/>
  <c r="CD28" i="2"/>
  <c r="CD142" i="2"/>
  <c r="CD160" i="2"/>
  <c r="CD170" i="2"/>
  <c r="CD62" i="2"/>
  <c r="CD100" i="2"/>
  <c r="CD96" i="2"/>
  <c r="CD171" i="2"/>
  <c r="CD51" i="2"/>
  <c r="CD150" i="2"/>
  <c r="CD57" i="2"/>
  <c r="CD38" i="2"/>
  <c r="CD201" i="2"/>
  <c r="CD90" i="2"/>
  <c r="CD114" i="2"/>
  <c r="CD134" i="2"/>
  <c r="CD86" i="2"/>
  <c r="CD101" i="2"/>
  <c r="CD103" i="2"/>
  <c r="CD109" i="2"/>
  <c r="CD15" i="2"/>
  <c r="CD112" i="2"/>
  <c r="CD167" i="2"/>
  <c r="CD197" i="2"/>
  <c r="CD85" i="2"/>
  <c r="CD73" i="2"/>
  <c r="CD5" i="2"/>
  <c r="CD147" i="2"/>
  <c r="CD196" i="2"/>
  <c r="CD189" i="2"/>
  <c r="CD173" i="2"/>
  <c r="CD125" i="2"/>
  <c r="CD164" i="2"/>
  <c r="FE136" i="2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I47" i="2" l="1"/>
  <c r="BI25" i="2"/>
  <c r="BI190" i="2"/>
  <c r="BI171" i="2"/>
  <c r="BI43" i="2"/>
  <c r="BI46" i="2"/>
  <c r="BI79" i="2"/>
  <c r="BI192" i="2"/>
  <c r="BI151" i="2"/>
  <c r="BI53" i="2"/>
  <c r="BI78" i="2"/>
  <c r="BI38" i="2"/>
  <c r="BI20" i="2"/>
  <c r="BI82" i="2"/>
  <c r="BI177" i="2"/>
  <c r="BI99" i="2"/>
  <c r="BI19" i="2"/>
  <c r="BI164" i="2"/>
  <c r="BI153" i="2"/>
  <c r="BI141" i="2"/>
  <c r="BI160" i="2"/>
  <c r="BI54" i="2"/>
  <c r="BI112" i="2"/>
  <c r="BI110" i="2"/>
  <c r="BI132" i="2"/>
  <c r="BI159" i="2"/>
  <c r="BI37" i="2"/>
  <c r="BI35" i="2"/>
  <c r="BI111" i="2"/>
  <c r="BI9" i="2"/>
  <c r="BI75" i="2"/>
  <c r="BI5" i="2"/>
  <c r="BI191" i="2"/>
  <c r="BI170" i="2"/>
  <c r="BI152" i="2"/>
  <c r="BI162" i="2"/>
  <c r="BI39" i="2"/>
  <c r="BI139" i="2"/>
  <c r="BI154" i="2"/>
  <c r="BI83" i="2"/>
  <c r="BI40" i="2"/>
  <c r="BI122" i="2"/>
  <c r="BI59" i="2"/>
  <c r="BI178" i="2"/>
  <c r="BI26" i="2"/>
  <c r="BI52" i="2"/>
  <c r="BI57" i="2"/>
  <c r="BI73" i="2"/>
  <c r="BI156" i="2"/>
  <c r="BI147" i="2"/>
  <c r="BI16" i="2"/>
  <c r="BI100" i="2"/>
  <c r="BI109" i="2"/>
  <c r="BI62" i="2"/>
  <c r="BI103" i="2"/>
  <c r="BI13" i="2"/>
  <c r="BI44" i="2"/>
  <c r="BI113" i="2"/>
  <c r="BI143" i="2"/>
  <c r="BI50" i="2"/>
  <c r="BI183" i="2"/>
  <c r="BI60" i="2"/>
  <c r="BI184" i="2"/>
  <c r="BI71" i="2"/>
  <c r="BI155" i="2"/>
  <c r="BI193" i="2"/>
  <c r="BI15" i="2"/>
  <c r="BI168" i="2"/>
  <c r="BI55" i="2"/>
  <c r="BI27" i="2"/>
  <c r="BI94" i="2"/>
  <c r="BI128" i="2"/>
  <c r="BI125" i="2"/>
  <c r="BI91" i="2"/>
  <c r="BI48" i="2"/>
  <c r="BI23" i="2"/>
  <c r="BI180" i="2"/>
  <c r="BI102" i="2"/>
  <c r="BI10" i="2"/>
  <c r="BI129" i="2"/>
  <c r="BI45" i="2"/>
  <c r="BI136" i="2"/>
  <c r="BI49" i="2"/>
  <c r="BI93" i="2"/>
  <c r="BI117" i="2"/>
  <c r="BI116" i="2"/>
  <c r="BI97" i="2"/>
  <c r="BI133" i="2"/>
  <c r="BI12" i="2"/>
  <c r="BI202" i="2"/>
  <c r="BI176" i="2"/>
  <c r="BI96" i="2"/>
  <c r="BI201" i="2"/>
  <c r="BI149" i="2"/>
  <c r="BI114" i="2"/>
  <c r="BI22" i="2"/>
  <c r="BI137" i="2"/>
  <c r="BI169" i="2"/>
  <c r="BI84" i="2"/>
  <c r="BI198" i="2"/>
  <c r="BI66" i="2"/>
  <c r="BI92" i="2"/>
  <c r="BI182" i="2"/>
  <c r="BI138" i="2"/>
  <c r="BI199" i="2"/>
  <c r="BI166" i="2"/>
  <c r="BI172" i="2"/>
  <c r="BI119" i="2"/>
  <c r="BI64" i="2"/>
  <c r="BI163" i="2"/>
  <c r="BI140" i="2"/>
  <c r="BI68" i="2"/>
  <c r="BI115" i="2"/>
  <c r="BI186" i="2"/>
  <c r="BI142" i="2"/>
  <c r="BI107" i="2"/>
  <c r="BI58" i="2"/>
  <c r="BI24" i="2"/>
  <c r="BI3" i="2"/>
  <c r="C8" i="4" s="1"/>
  <c r="E8" i="4" s="1"/>
  <c r="F8" i="4" s="1"/>
  <c r="G8" i="4" s="1"/>
  <c r="L8" i="4" s="1"/>
  <c r="BI181" i="2"/>
  <c r="BI189" i="2"/>
  <c r="BI14" i="2"/>
  <c r="BI95" i="2"/>
  <c r="BI88" i="2"/>
  <c r="BI120" i="2"/>
  <c r="BI6" i="2"/>
  <c r="BI61" i="2"/>
  <c r="BI8" i="2"/>
  <c r="BI173" i="2"/>
  <c r="BI87" i="2"/>
  <c r="BI80" i="2"/>
  <c r="BI167" i="2"/>
  <c r="BI106" i="2"/>
  <c r="BI81" i="2"/>
  <c r="BI144" i="2"/>
  <c r="BI69" i="2"/>
  <c r="BI29" i="2"/>
  <c r="BI196" i="2"/>
  <c r="BI65" i="2"/>
  <c r="BI41" i="2"/>
  <c r="BI90" i="2"/>
  <c r="BI158" i="2"/>
  <c r="BI130" i="2"/>
  <c r="BI77" i="2"/>
  <c r="BI18" i="2"/>
  <c r="BI126" i="2"/>
  <c r="BI118" i="2"/>
  <c r="BI195" i="2"/>
  <c r="BI32" i="2"/>
  <c r="BI89" i="2"/>
  <c r="BI36" i="2"/>
  <c r="BI146" i="2"/>
  <c r="BI7" i="2"/>
  <c r="BI148" i="2"/>
  <c r="BI145" i="2"/>
  <c r="BI185" i="2"/>
  <c r="BI104" i="2"/>
  <c r="BI165" i="2"/>
  <c r="BI174" i="2"/>
  <c r="BI131" i="2"/>
  <c r="BI56" i="2"/>
  <c r="BI76" i="2"/>
  <c r="BI101" i="2"/>
  <c r="BI51" i="2"/>
  <c r="BI42" i="2"/>
  <c r="BI28" i="2"/>
  <c r="BI187" i="2"/>
  <c r="BI11" i="2"/>
  <c r="BI121" i="2"/>
  <c r="BI34" i="2"/>
  <c r="BI150" i="2"/>
  <c r="BI127" i="2"/>
  <c r="BI200" i="2"/>
  <c r="BI123" i="2"/>
  <c r="BI63" i="2"/>
  <c r="BI108" i="2"/>
  <c r="BI31" i="2"/>
  <c r="BI30" i="2"/>
  <c r="BI74" i="2"/>
  <c r="BI98" i="2"/>
  <c r="BI72" i="2"/>
  <c r="BI194" i="2"/>
  <c r="BI86" i="2"/>
  <c r="BI4" i="2"/>
  <c r="BI135" i="2"/>
  <c r="BI70" i="2"/>
  <c r="BI179" i="2"/>
  <c r="BI33" i="2"/>
  <c r="BI134" i="2"/>
  <c r="BI157" i="2"/>
  <c r="BI175" i="2"/>
  <c r="BI203" i="2"/>
  <c r="BI124" i="2"/>
  <c r="BI197" i="2"/>
  <c r="BI21" i="2"/>
  <c r="BI85" i="2"/>
  <c r="BI17" i="2"/>
  <c r="BI161" i="2"/>
  <c r="BI188" i="2"/>
  <c r="BI105" i="2"/>
  <c r="BI67" i="2"/>
  <c r="BF119" i="2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<sst xmlns="http://schemas.openxmlformats.org/spreadsheetml/2006/main" count="1174" uniqueCount="324">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</sst>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rgb="FFFF0000"/>
      <name val="Calibri"/>
    </font>
    <font>
      <b/>
      <sz val="11"/>
      <color rgb="FFFF0000"/>
      <name val="Calibri"/>
      <family val="2"/>
    </font>
    <font>
      <sz val="11"/>
      <color theme="1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FFFF99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32" fillId="21" borderId="54" xfId="0" applyNumberFormat="1" applyFont="1" applyFill="1" applyBorder="1" applyAlignment="1" applyProtection="1">
      <alignment horizontal="center"/>
      <protection locked="0"/>
    </xf>
    <xf numFmtId="0" fontId="32" fillId="21" borderId="54" xfId="0" applyFont="1" applyFill="1" applyBorder="1" applyAlignment="1" applyProtection="1">
      <alignment horizontal="center"/>
      <protection locked="0"/>
    </xf>
    <xf numFmtId="1" fontId="32" fillId="21" borderId="54" xfId="0" applyNumberFormat="1" applyFont="1" applyFill="1" applyBorder="1" applyAlignment="1" applyProtection="1">
      <alignment horizontal="center" vertical="center"/>
      <protection locked="0"/>
    </xf>
    <xf numFmtId="1" fontId="32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 wrapText="1"/>
      <protection locked="0"/>
    </xf>
    <xf numFmtId="9" fontId="33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/>
      <protection locked="0"/>
    </xf>
    <xf numFmtId="0" fontId="33" fillId="21" borderId="55" xfId="0" applyFont="1" applyFill="1" applyBorder="1" applyAlignment="1" applyProtection="1">
      <alignment horizontal="center"/>
      <protection locked="0"/>
    </xf>
    <xf numFmtId="0" fontId="34" fillId="21" borderId="54" xfId="0" applyFont="1" applyFill="1" applyBorder="1" applyAlignment="1" applyProtection="1">
      <alignment horizontal="center" vertical="center"/>
      <protection locked="0"/>
    </xf>
    <xf numFmtId="9" fontId="34" fillId="21" borderId="54" xfId="0" applyNumberFormat="1" applyFont="1" applyFill="1" applyBorder="1" applyAlignment="1" applyProtection="1">
      <alignment horizontal="center" vertical="center"/>
      <protection locked="0"/>
    </xf>
    <xf numFmtId="1" fontId="34" fillId="21" borderId="54" xfId="0" applyNumberFormat="1" applyFont="1" applyFill="1" applyBorder="1" applyAlignment="1" applyProtection="1">
      <alignment horizontal="center" vertical="center"/>
      <protection locked="0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2.6958578672637423</c:v>
                </c:pt>
                <c:pt idx="2">
                  <c:v>3.1456024429549463</c:v>
                </c:pt>
                <c:pt idx="3">
                  <c:v>3.670649654357323</c:v>
                </c:pt>
                <c:pt idx="4">
                  <c:v>4.2836508617976925</c:v>
                </c:pt>
                <c:pt idx="5">
                  <c:v>4.999389736468971</c:v>
                </c:pt>
                <c:pt idx="6">
                  <c:v>5.8351427158403695</c:v>
                </c:pt>
                <c:pt idx="7">
                  <c:v>6.8111005591399456</c:v>
                </c:pt>
                <c:pt idx="8">
                  <c:v>7.9508613859372161</c:v>
                </c:pt>
                <c:pt idx="9">
                  <c:v>9.2820073493501472</c:v>
                </c:pt>
                <c:pt idx="10">
                  <c:v>10.836779165748409</c:v>
                </c:pt>
                <c:pt idx="11">
                  <c:v>12.652865146640936</c:v>
                </c:pt>
                <c:pt idx="12">
                  <c:v>14.774324216181517</c:v>
                </c:pt>
                <c:pt idx="13">
                  <c:v>17.252665720219614</c:v>
                </c:pt>
                <c:pt idx="14">
                  <c:v>20.148112723022138</c:v>
                </c:pt>
                <c:pt idx="15">
                  <c:v>23.531080042869331</c:v>
                </c:pt>
                <c:pt idx="16">
                  <c:v>27.483903611522063</c:v>
                </c:pt>
                <c:pt idx="17">
                  <c:v>32.10286398842473</c:v>
                </c:pt>
                <c:pt idx="18">
                  <c:v>37.500554174678697</c:v>
                </c:pt>
                <c:pt idx="19">
                  <c:v>43.808650437329739</c:v>
                </c:pt>
                <c:pt idx="20">
                  <c:v>51.181154885798492</c:v>
                </c:pt>
                <c:pt idx="21">
                  <c:v>59.79819029058779</c:v>
                </c:pt>
                <c:pt idx="22">
                  <c:v>69.870441394099274</c:v>
                </c:pt>
                <c:pt idx="23">
                  <c:v>81.644353079392104</c:v>
                </c:pt>
                <c:pt idx="24">
                  <c:v>95.408214639163745</c:v>
                </c:pt>
                <c:pt idx="25">
                  <c:v>111.49928149768296</c:v>
                </c:pt>
                <c:pt idx="26">
                  <c:v>130.31211163776413</c:v>
                </c:pt>
                <c:pt idx="27">
                  <c:v>152.30832432339238</c:v>
                </c:pt>
                <c:pt idx="28">
                  <c:v>178.02802424828835</c:v>
                </c:pt>
                <c:pt idx="29">
                  <c:v>208.10317587450882</c:v>
                </c:pt>
                <c:pt idx="30">
                  <c:v>243.27326149959291</c:v>
                </c:pt>
                <c:pt idx="31">
                  <c:v>274.15159616012278</c:v>
                </c:pt>
                <c:pt idx="32">
                  <c:v>304.95175008027468</c:v>
                </c:pt>
                <c:pt idx="33">
                  <c:v>335.68272447411181</c:v>
                </c:pt>
                <c:pt idx="34">
                  <c:v>366.35173715058863</c:v>
                </c:pt>
                <c:pt idx="35">
                  <c:v>396.96469882146312</c:v>
                </c:pt>
                <c:pt idx="36">
                  <c:v>287.3602716796571</c:v>
                </c:pt>
                <c:pt idx="37">
                  <c:v>312.28499675107327</c:v>
                </c:pt>
                <c:pt idx="38">
                  <c:v>337.16559898912192</c:v>
                </c:pt>
                <c:pt idx="39">
                  <c:v>362.00578971990848</c:v>
                </c:pt>
                <c:pt idx="40">
                  <c:v>386.80872951220834</c:v>
                </c:pt>
                <c:pt idx="41">
                  <c:v>411.5771407175705</c:v>
                </c:pt>
                <c:pt idx="42">
                  <c:v>345.34910174995275</c:v>
                </c:pt>
                <c:pt idx="43">
                  <c:v>370.55926373756279</c:v>
                </c:pt>
                <c:pt idx="44">
                  <c:v>395.73202966467733</c:v>
                </c:pt>
                <c:pt idx="45">
                  <c:v>420.87011059114269</c:v>
                </c:pt>
                <c:pt idx="46">
                  <c:v>445.97586750283375</c:v>
                </c:pt>
                <c:pt idx="47">
                  <c:v>471.05137407996989</c:v>
                </c:pt>
                <c:pt idx="48">
                  <c:v>496.09846540196457</c:v>
                </c:pt>
                <c:pt idx="49">
                  <c:v>402.26313463210437</c:v>
                </c:pt>
                <c:pt idx="50">
                  <c:v>425.87619549343549</c:v>
                </c:pt>
                <c:pt idx="51">
                  <c:v>449.46110395093586</c:v>
                </c:pt>
                <c:pt idx="52">
                  <c:v>473.01954367137131</c:v>
                </c:pt>
                <c:pt idx="53">
                  <c:v>496.55301706749259</c:v>
                </c:pt>
                <c:pt idx="54">
                  <c:v>520.06287264987634</c:v>
                </c:pt>
                <c:pt idx="55">
                  <c:v>543.55032717690437</c:v>
                </c:pt>
                <c:pt idx="56">
                  <c:v>454.24481650463144</c:v>
                </c:pt>
                <c:pt idx="57">
                  <c:v>476.59634202129263</c:v>
                </c:pt>
                <c:pt idx="58">
                  <c:v>498.9255790926793</c:v>
                </c:pt>
                <c:pt idx="59">
                  <c:v>521.23366465282788</c:v>
                </c:pt>
                <c:pt idx="60">
                  <c:v>543.52163046495309</c:v>
                </c:pt>
                <c:pt idx="61">
                  <c:v>565.79041685083439</c:v>
                </c:pt>
                <c:pt idx="62">
                  <c:v>588.04088414741079</c:v>
                </c:pt>
                <c:pt idx="63">
                  <c:v>610.2738223402506</c:v>
                </c:pt>
                <c:pt idx="64">
                  <c:v>528.23845645617007</c:v>
                </c:pt>
                <c:pt idx="65">
                  <c:v>549.83892575965604</c:v>
                </c:pt>
                <c:pt idx="66">
                  <c:v>571.42160804713797</c:v>
                </c:pt>
                <c:pt idx="67">
                  <c:v>592.98726902778117</c:v>
                </c:pt>
                <c:pt idx="68">
                  <c:v>614.53661422900689</c:v>
                </c:pt>
                <c:pt idx="69">
                  <c:v>636.07029571344879</c:v>
                </c:pt>
                <c:pt idx="70">
                  <c:v>657.58891783971956</c:v>
                </c:pt>
                <c:pt idx="71">
                  <c:v>679.09304223054414</c:v>
                </c:pt>
                <c:pt idx="72">
                  <c:v>600.80615581089216</c:v>
                </c:pt>
                <c:pt idx="73">
                  <c:v>621.81796471134874</c:v>
                </c:pt>
                <c:pt idx="74">
                  <c:v>642.81507325128052</c:v>
                </c:pt>
                <c:pt idx="75">
                  <c:v>663.79802870135336</c:v>
                </c:pt>
                <c:pt idx="76">
                  <c:v>684.76734094880146</c:v>
                </c:pt>
                <c:pt idx="77">
                  <c:v>705.72348614062139</c:v>
                </c:pt>
                <c:pt idx="78">
                  <c:v>726.66690987194761</c:v>
                </c:pt>
                <c:pt idx="79">
                  <c:v>747.59802998811335</c:v>
                </c:pt>
                <c:pt idx="80">
                  <c:v>768.51723905691904</c:v>
                </c:pt>
                <c:pt idx="81">
                  <c:v>675.01761016261355</c:v>
                </c:pt>
                <c:pt idx="82">
                  <c:v>694.83780343012586</c:v>
                </c:pt>
                <c:pt idx="83">
                  <c:v>714.64642051425437</c:v>
                </c:pt>
                <c:pt idx="84">
                  <c:v>734.44382712262211</c:v>
                </c:pt>
                <c:pt idx="85">
                  <c:v>754.23036766119492</c:v>
                </c:pt>
                <c:pt idx="86">
                  <c:v>774.006367012586</c:v>
                </c:pt>
                <c:pt idx="87">
                  <c:v>793.77213212336176</c:v>
                </c:pt>
                <c:pt idx="88">
                  <c:v>813.52795342520028</c:v>
                </c:pt>
                <c:pt idx="89">
                  <c:v>833.27410611098742</c:v>
                </c:pt>
                <c:pt idx="90">
                  <c:v>729.68470630285447</c:v>
                </c:pt>
                <c:pt idx="91">
                  <c:v>748.59390688021483</c:v>
                </c:pt>
                <c:pt idx="92">
                  <c:v>767.49340042346296</c:v>
                </c:pt>
                <c:pt idx="93">
                  <c:v>786.38345937215036</c:v>
                </c:pt>
                <c:pt idx="94">
                  <c:v>805.26434202452174</c:v>
                </c:pt>
                <c:pt idx="95">
                  <c:v>824.13629359258357</c:v>
                </c:pt>
                <c:pt idx="96">
                  <c:v>842.99954715561819</c:v>
                </c:pt>
                <c:pt idx="97">
                  <c:v>861.85432452401562</c:v>
                </c:pt>
                <c:pt idx="98">
                  <c:v>880.70083702367663</c:v>
                </c:pt>
                <c:pt idx="99">
                  <c:v>899.53928620986301</c:v>
                </c:pt>
                <c:pt idx="100">
                  <c:v>798.63324124570397</c:v>
                </c:pt>
                <c:pt idx="101">
                  <c:v>817.06058045885231</c:v>
                </c:pt>
                <c:pt idx="102">
                  <c:v>835.47954754465491</c:v>
                </c:pt>
                <c:pt idx="103">
                  <c:v>853.89035285880254</c:v>
                </c:pt>
                <c:pt idx="104">
                  <c:v>872.29319695717265</c:v>
                </c:pt>
                <c:pt idx="105">
                  <c:v>890.68827125365715</c:v>
                </c:pt>
                <c:pt idx="106">
                  <c:v>909.07575862089118</c:v>
                </c:pt>
                <c:pt idx="107">
                  <c:v>927.45583393990785</c:v>
                </c:pt>
                <c:pt idx="108">
                  <c:v>945.82866460402113</c:v>
                </c:pt>
                <c:pt idx="109">
                  <c:v>964.19441098156688</c:v>
                </c:pt>
                <c:pt idx="110">
                  <c:v>855.23421133508009</c:v>
                </c:pt>
                <c:pt idx="111">
                  <c:v>873.05294423725991</c:v>
                </c:pt>
                <c:pt idx="112">
                  <c:v>890.86439966147793</c:v>
                </c:pt>
                <c:pt idx="113">
                  <c:v>908.66874343169832</c:v>
                </c:pt>
                <c:pt idx="114">
                  <c:v>926.46613435177221</c:v>
                </c:pt>
                <c:pt idx="115">
                  <c:v>944.25672463450144</c:v>
                </c:pt>
                <c:pt idx="116">
                  <c:v>962.04066029672424</c:v>
                </c:pt>
                <c:pt idx="117">
                  <c:v>979.81808152371411</c:v>
                </c:pt>
                <c:pt idx="118">
                  <c:v>997.5891230057872</c:v>
                </c:pt>
                <c:pt idx="119">
                  <c:v>1015.3539142497146</c:v>
                </c:pt>
                <c:pt idx="120">
                  <c:v>641.97146052468145</c:v>
                </c:pt>
                <c:pt idx="121">
                  <c:v>641.26128291476209</c:v>
                </c:pt>
                <c:pt idx="122">
                  <c:v>640.55108906304713</c:v>
                </c:pt>
                <c:pt idx="123">
                  <c:v>639.84087894897141</c:v>
                </c:pt>
                <c:pt idx="124">
                  <c:v>447.73845435276593</c:v>
                </c:pt>
                <c:pt idx="125">
                  <c:v>448.11784733066253</c:v>
                </c:pt>
                <c:pt idx="126">
                  <c:v>448.49723343287286</c:v>
                </c:pt>
                <c:pt idx="127">
                  <c:v>448.8766126660426</c:v>
                </c:pt>
                <c:pt idx="128">
                  <c:v>323.75040495820258</c:v>
                </c:pt>
                <c:pt idx="129">
                  <c:v>323.93902671918772</c:v>
                </c:pt>
                <c:pt idx="130">
                  <c:v>324.127646051846</c:v>
                </c:pt>
                <c:pt idx="131">
                  <c:v>324.3162629577933</c:v>
                </c:pt>
                <c:pt idx="132">
                  <c:v>41.499230205854936</c:v>
                </c:pt>
                <c:pt idx="133">
                  <c:v>41.499230205854936</c:v>
                </c:pt>
                <c:pt idx="134">
                  <c:v>41.499230205854936</c:v>
                </c:pt>
                <c:pt idx="135">
                  <c:v>41.499230205854936</c:v>
                </c:pt>
                <c:pt idx="136">
                  <c:v>41.499230205854936</c:v>
                </c:pt>
                <c:pt idx="137">
                  <c:v>41.499230205854936</c:v>
                </c:pt>
                <c:pt idx="138">
                  <c:v>41.499230205854936</c:v>
                </c:pt>
                <c:pt idx="139">
                  <c:v>41.499230205854936</c:v>
                </c:pt>
                <c:pt idx="140">
                  <c:v>41.499230205854936</c:v>
                </c:pt>
                <c:pt idx="141">
                  <c:v>41.499230205854936</c:v>
                </c:pt>
                <c:pt idx="142">
                  <c:v>41.499230205854936</c:v>
                </c:pt>
                <c:pt idx="143">
                  <c:v>41.499230205854936</c:v>
                </c:pt>
                <c:pt idx="144">
                  <c:v>41.499230205854936</c:v>
                </c:pt>
                <c:pt idx="145">
                  <c:v>41.499230205854936</c:v>
                </c:pt>
                <c:pt idx="146">
                  <c:v>41.499230205854936</c:v>
                </c:pt>
                <c:pt idx="147">
                  <c:v>41.499230205854936</c:v>
                </c:pt>
                <c:pt idx="148">
                  <c:v>41.499230205854936</c:v>
                </c:pt>
                <c:pt idx="149">
                  <c:v>41.499230205854936</c:v>
                </c:pt>
                <c:pt idx="150">
                  <c:v>41.499230205854936</c:v>
                </c:pt>
                <c:pt idx="151">
                  <c:v>41.499230205854936</c:v>
                </c:pt>
                <c:pt idx="152">
                  <c:v>41.499230205854936</c:v>
                </c:pt>
                <c:pt idx="153">
                  <c:v>41.499230205854936</c:v>
                </c:pt>
                <c:pt idx="154">
                  <c:v>41.499230205854936</c:v>
                </c:pt>
                <c:pt idx="155">
                  <c:v>41.499230205854936</c:v>
                </c:pt>
                <c:pt idx="156">
                  <c:v>41.499230205854936</c:v>
                </c:pt>
                <c:pt idx="157">
                  <c:v>41.499230205854936</c:v>
                </c:pt>
                <c:pt idx="158">
                  <c:v>41.499230205854936</c:v>
                </c:pt>
                <c:pt idx="159">
                  <c:v>41.499230205854936</c:v>
                </c:pt>
                <c:pt idx="160">
                  <c:v>41.499230205854936</c:v>
                </c:pt>
                <c:pt idx="161">
                  <c:v>41.499230205854936</c:v>
                </c:pt>
                <c:pt idx="162">
                  <c:v>41.499230205854936</c:v>
                </c:pt>
                <c:pt idx="163">
                  <c:v>41.499230205854936</c:v>
                </c:pt>
                <c:pt idx="164">
                  <c:v>41.499230205854936</c:v>
                </c:pt>
                <c:pt idx="165">
                  <c:v>41.499230205854936</c:v>
                </c:pt>
                <c:pt idx="166">
                  <c:v>41.499230205854936</c:v>
                </c:pt>
                <c:pt idx="167">
                  <c:v>41.499230205854936</c:v>
                </c:pt>
                <c:pt idx="168">
                  <c:v>41.499230205854936</c:v>
                </c:pt>
                <c:pt idx="169">
                  <c:v>41.499230205854936</c:v>
                </c:pt>
                <c:pt idx="170">
                  <c:v>41.499230205854936</c:v>
                </c:pt>
                <c:pt idx="171">
                  <c:v>41.499230205854936</c:v>
                </c:pt>
                <c:pt idx="172">
                  <c:v>41.499230205854936</c:v>
                </c:pt>
                <c:pt idx="173">
                  <c:v>41.499230205854936</c:v>
                </c:pt>
                <c:pt idx="174">
                  <c:v>41.499230205854936</c:v>
                </c:pt>
                <c:pt idx="175">
                  <c:v>41.499230205854936</c:v>
                </c:pt>
                <c:pt idx="176">
                  <c:v>41.499230205854936</c:v>
                </c:pt>
                <c:pt idx="177">
                  <c:v>41.499230205854936</c:v>
                </c:pt>
                <c:pt idx="178">
                  <c:v>41.499230205854936</c:v>
                </c:pt>
                <c:pt idx="179">
                  <c:v>41.499230205854936</c:v>
                </c:pt>
                <c:pt idx="180">
                  <c:v>41.499230205854936</c:v>
                </c:pt>
                <c:pt idx="181">
                  <c:v>41.499230205854936</c:v>
                </c:pt>
                <c:pt idx="182">
                  <c:v>41.499230205854936</c:v>
                </c:pt>
                <c:pt idx="183">
                  <c:v>41.499230205854936</c:v>
                </c:pt>
                <c:pt idx="184">
                  <c:v>41.499230205854936</c:v>
                </c:pt>
                <c:pt idx="185">
                  <c:v>41.499230205854936</c:v>
                </c:pt>
                <c:pt idx="186">
                  <c:v>41.499230205854936</c:v>
                </c:pt>
                <c:pt idx="187">
                  <c:v>41.499230205854936</c:v>
                </c:pt>
                <c:pt idx="188">
                  <c:v>41.499230205854936</c:v>
                </c:pt>
                <c:pt idx="189">
                  <c:v>41.499230205854936</c:v>
                </c:pt>
                <c:pt idx="190">
                  <c:v>41.499230205854936</c:v>
                </c:pt>
                <c:pt idx="191">
                  <c:v>41.499230205854936</c:v>
                </c:pt>
                <c:pt idx="192">
                  <c:v>41.499230205854936</c:v>
                </c:pt>
                <c:pt idx="193">
                  <c:v>41.499230205854936</c:v>
                </c:pt>
                <c:pt idx="194">
                  <c:v>41.499230205854936</c:v>
                </c:pt>
                <c:pt idx="195">
                  <c:v>41.499230205854936</c:v>
                </c:pt>
                <c:pt idx="196">
                  <c:v>41.499230205854936</c:v>
                </c:pt>
                <c:pt idx="197">
                  <c:v>41.499230205854936</c:v>
                </c:pt>
                <c:pt idx="198">
                  <c:v>41.499230205854936</c:v>
                </c:pt>
                <c:pt idx="199">
                  <c:v>41.499230205854936</c:v>
                </c:pt>
                <c:pt idx="200">
                  <c:v>41.499230205854936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2.594132930874625</c:v>
                </c:pt>
                <c:pt idx="2">
                  <c:v>3.0655593018918794</c:v>
                </c:pt>
                <c:pt idx="3">
                  <c:v>3.6229726275127558</c:v>
                </c:pt>
                <c:pt idx="4">
                  <c:v>4.2821110789162296</c:v>
                </c:pt>
                <c:pt idx="5">
                  <c:v>5.061602713236562</c:v>
                </c:pt>
                <c:pt idx="6">
                  <c:v>5.9834977185614555</c:v>
                </c:pt>
                <c:pt idx="7">
                  <c:v>7.073898957347752</c:v>
                </c:pt>
                <c:pt idx="8">
                  <c:v>8.3637090088965884</c:v>
                </c:pt>
                <c:pt idx="9">
                  <c:v>9.8895152893480418</c:v>
                </c:pt>
                <c:pt idx="10">
                  <c:v>11.694638833681379</c:v>
                </c:pt>
                <c:pt idx="11">
                  <c:v>13.830377075498925</c:v>
                </c:pt>
                <c:pt idx="12">
                  <c:v>16.357476595837191</c:v>
                </c:pt>
                <c:pt idx="13">
                  <c:v>19.347878496730672</c:v>
                </c:pt>
                <c:pt idx="14">
                  <c:v>22.886786984377736</c:v>
                </c:pt>
                <c:pt idx="15">
                  <c:v>27.075121152693075</c:v>
                </c:pt>
                <c:pt idx="16">
                  <c:v>32.032421116321139</c:v>
                </c:pt>
                <c:pt idx="17">
                  <c:v>37.90029287987057</c:v>
                </c:pt>
                <c:pt idx="18">
                  <c:v>44.846492035377821</c:v>
                </c:pt>
                <c:pt idx="19">
                  <c:v>53.069765013562751</c:v>
                </c:pt>
                <c:pt idx="20">
                  <c:v>62.805588723200408</c:v>
                </c:pt>
                <c:pt idx="21">
                  <c:v>79.544350412184983</c:v>
                </c:pt>
                <c:pt idx="22">
                  <c:v>96.193406428466844</c:v>
                </c:pt>
                <c:pt idx="23">
                  <c:v>112.77054987950528</c:v>
                </c:pt>
                <c:pt idx="24">
                  <c:v>129.28787235572034</c:v>
                </c:pt>
                <c:pt idx="25">
                  <c:v>145.75410668135339</c:v>
                </c:pt>
                <c:pt idx="26">
                  <c:v>150.23693675874819</c:v>
                </c:pt>
                <c:pt idx="27">
                  <c:v>167.76494354361137</c:v>
                </c:pt>
                <c:pt idx="28">
                  <c:v>185.24975095506522</c:v>
                </c:pt>
                <c:pt idx="29">
                  <c:v>202.69601208813614</c:v>
                </c:pt>
                <c:pt idx="30">
                  <c:v>220.10751245497332</c:v>
                </c:pt>
                <c:pt idx="31">
                  <c:v>187.10749574697891</c:v>
                </c:pt>
                <c:pt idx="32">
                  <c:v>206.03271564587536</c:v>
                </c:pt>
                <c:pt idx="33">
                  <c:v>224.91775571009896</c:v>
                </c:pt>
                <c:pt idx="34">
                  <c:v>243.76646443655662</c:v>
                </c:pt>
                <c:pt idx="35">
                  <c:v>262.58204610854824</c:v>
                </c:pt>
                <c:pt idx="36">
                  <c:v>230.09538291979393</c:v>
                </c:pt>
                <c:pt idx="37">
                  <c:v>249.3037681780522</c:v>
                </c:pt>
                <c:pt idx="38">
                  <c:v>268.47858881189217</c:v>
                </c:pt>
                <c:pt idx="39">
                  <c:v>287.62257877818189</c:v>
                </c:pt>
                <c:pt idx="40">
                  <c:v>306.73807829258823</c:v>
                </c:pt>
                <c:pt idx="41">
                  <c:v>275.47695163372049</c:v>
                </c:pt>
                <c:pt idx="42">
                  <c:v>295.71325882522711</c:v>
                </c:pt>
                <c:pt idx="43">
                  <c:v>315.9186873454837</c:v>
                </c:pt>
                <c:pt idx="44">
                  <c:v>336.09548909483647</c:v>
                </c:pt>
                <c:pt idx="45">
                  <c:v>356.24562356348298</c:v>
                </c:pt>
                <c:pt idx="46">
                  <c:v>325.0933857428227</c:v>
                </c:pt>
                <c:pt idx="47">
                  <c:v>345.25783856692902</c:v>
                </c:pt>
                <c:pt idx="48">
                  <c:v>365.39643285792204</c:v>
                </c:pt>
                <c:pt idx="49">
                  <c:v>385.51079352962591</c:v>
                </c:pt>
                <c:pt idx="50">
                  <c:v>405.60236216041108</c:v>
                </c:pt>
                <c:pt idx="51">
                  <c:v>374.54223769767958</c:v>
                </c:pt>
                <c:pt idx="52">
                  <c:v>394.64606952207765</c:v>
                </c:pt>
                <c:pt idx="53">
                  <c:v>414.7277120155033</c:v>
                </c:pt>
                <c:pt idx="54">
                  <c:v>434.78839012126599</c:v>
                </c:pt>
                <c:pt idx="55">
                  <c:v>454.82920658695599</c:v>
                </c:pt>
                <c:pt idx="56">
                  <c:v>423.48397302905897</c:v>
                </c:pt>
                <c:pt idx="57">
                  <c:v>443.17145181723475</c:v>
                </c:pt>
                <c:pt idx="58">
                  <c:v>462.8401985900677</c:v>
                </c:pt>
                <c:pt idx="59">
                  <c:v>482.49112087009513</c:v>
                </c:pt>
                <c:pt idx="60">
                  <c:v>502.1250462743144</c:v>
                </c:pt>
                <c:pt idx="61">
                  <c:v>470.12035055146049</c:v>
                </c:pt>
                <c:pt idx="62">
                  <c:v>489.03761244496349</c:v>
                </c:pt>
                <c:pt idx="63">
                  <c:v>507.93935454019061</c:v>
                </c:pt>
                <c:pt idx="64">
                  <c:v>526.82623526820396</c:v>
                </c:pt>
                <c:pt idx="65">
                  <c:v>545.69886203239594</c:v>
                </c:pt>
                <c:pt idx="66">
                  <c:v>513.02571977154435</c:v>
                </c:pt>
                <c:pt idx="67">
                  <c:v>531.18270081556818</c:v>
                </c:pt>
                <c:pt idx="68">
                  <c:v>549.32662698500246</c:v>
                </c:pt>
                <c:pt idx="69">
                  <c:v>567.45798988344666</c:v>
                </c:pt>
                <c:pt idx="70">
                  <c:v>585.57724715974553</c:v>
                </c:pt>
                <c:pt idx="71">
                  <c:v>551.86576328556498</c:v>
                </c:pt>
                <c:pt idx="72">
                  <c:v>568.90797010861979</c:v>
                </c:pt>
                <c:pt idx="73">
                  <c:v>585.93951180923568</c:v>
                </c:pt>
                <c:pt idx="74">
                  <c:v>602.96074183921121</c:v>
                </c:pt>
                <c:pt idx="75">
                  <c:v>619.97199208161771</c:v>
                </c:pt>
                <c:pt idx="76">
                  <c:v>585.21497783974257</c:v>
                </c:pt>
                <c:pt idx="77">
                  <c:v>601.15045270282633</c:v>
                </c:pt>
                <c:pt idx="78">
                  <c:v>617.07715121692206</c:v>
                </c:pt>
                <c:pt idx="79">
                  <c:v>632.99533165913169</c:v>
                </c:pt>
                <c:pt idx="80">
                  <c:v>648.90523826610968</c:v>
                </c:pt>
                <c:pt idx="81">
                  <c:v>613.4582040265019</c:v>
                </c:pt>
                <c:pt idx="82">
                  <c:v>628.65484029812262</c:v>
                </c:pt>
                <c:pt idx="83">
                  <c:v>643.84387841344744</c:v>
                </c:pt>
                <c:pt idx="84">
                  <c:v>659.02552275988899</c:v>
                </c:pt>
                <c:pt idx="85">
                  <c:v>674.19996754655335</c:v>
                </c:pt>
                <c:pt idx="86">
                  <c:v>639.50491644472538</c:v>
                </c:pt>
                <c:pt idx="87">
                  <c:v>653.60434327896314</c:v>
                </c:pt>
                <c:pt idx="88">
                  <c:v>667.69750358645092</c:v>
                </c:pt>
                <c:pt idx="89">
                  <c:v>681.78454819307149</c:v>
                </c:pt>
                <c:pt idx="90">
                  <c:v>695.86562118765903</c:v>
                </c:pt>
                <c:pt idx="91">
                  <c:v>662.63913175881328</c:v>
                </c:pt>
                <c:pt idx="92">
                  <c:v>676.36716853994983</c:v>
                </c:pt>
                <c:pt idx="93">
                  <c:v>690.0894841619787</c:v>
                </c:pt>
                <c:pt idx="94">
                  <c:v>703.80620835021955</c:v>
                </c:pt>
                <c:pt idx="95">
                  <c:v>717.51746536438895</c:v>
                </c:pt>
                <c:pt idx="96">
                  <c:v>685.39564340837808</c:v>
                </c:pt>
                <c:pt idx="97">
                  <c:v>698.39237185117838</c:v>
                </c:pt>
                <c:pt idx="98">
                  <c:v>711.38415005145782</c:v>
                </c:pt>
                <c:pt idx="99">
                  <c:v>724.37108110022928</c:v>
                </c:pt>
                <c:pt idx="100">
                  <c:v>737.35326409283982</c:v>
                </c:pt>
                <c:pt idx="101">
                  <c:v>705.97150402109219</c:v>
                </c:pt>
                <c:pt idx="102">
                  <c:v>717.87821518538203</c:v>
                </c:pt>
                <c:pt idx="103">
                  <c:v>729.7808954807623</c:v>
                </c:pt>
                <c:pt idx="104">
                  <c:v>741.67961988038894</c:v>
                </c:pt>
                <c:pt idx="105">
                  <c:v>753.57446075706082</c:v>
                </c:pt>
                <c:pt idx="106">
                  <c:v>724.37108110022939</c:v>
                </c:pt>
                <c:pt idx="107">
                  <c:v>736.63215463032975</c:v>
                </c:pt>
                <c:pt idx="108">
                  <c:v>748.88907342795665</c:v>
                </c:pt>
                <c:pt idx="109">
                  <c:v>761.14191503494703</c:v>
                </c:pt>
                <c:pt idx="110">
                  <c:v>773.3907542946223</c:v>
                </c:pt>
                <c:pt idx="111">
                  <c:v>743.8426049982703</c:v>
                </c:pt>
                <c:pt idx="112">
                  <c:v>753.93485060091416</c:v>
                </c:pt>
                <c:pt idx="113">
                  <c:v>764.02435221498718</c:v>
                </c:pt>
                <c:pt idx="114">
                  <c:v>774.11115116776352</c:v>
                </c:pt>
                <c:pt idx="115">
                  <c:v>784.19528762222581</c:v>
                </c:pt>
                <c:pt idx="116">
                  <c:v>744.56357158364528</c:v>
                </c:pt>
                <c:pt idx="117">
                  <c:v>744.56357158364528</c:v>
                </c:pt>
                <c:pt idx="118">
                  <c:v>744.56357158364528</c:v>
                </c:pt>
                <c:pt idx="119">
                  <c:v>744.56357158364528</c:v>
                </c:pt>
                <c:pt idx="120">
                  <c:v>744.56357158364528</c:v>
                </c:pt>
                <c:pt idx="121">
                  <c:v>744.56357158364528</c:v>
                </c:pt>
                <c:pt idx="122">
                  <c:v>744.56357158364528</c:v>
                </c:pt>
                <c:pt idx="123">
                  <c:v>744.56357158364528</c:v>
                </c:pt>
                <c:pt idx="124">
                  <c:v>744.56357158364528</c:v>
                </c:pt>
                <c:pt idx="125">
                  <c:v>744.56357158364528</c:v>
                </c:pt>
                <c:pt idx="126">
                  <c:v>744.56357158364528</c:v>
                </c:pt>
                <c:pt idx="127">
                  <c:v>744.56357158364528</c:v>
                </c:pt>
                <c:pt idx="128">
                  <c:v>744.56357158364528</c:v>
                </c:pt>
                <c:pt idx="129">
                  <c:v>744.56357158364528</c:v>
                </c:pt>
                <c:pt idx="130">
                  <c:v>744.56357158364528</c:v>
                </c:pt>
                <c:pt idx="131">
                  <c:v>744.56357158364528</c:v>
                </c:pt>
                <c:pt idx="132">
                  <c:v>744.56357158364528</c:v>
                </c:pt>
                <c:pt idx="133">
                  <c:v>744.56357158364528</c:v>
                </c:pt>
                <c:pt idx="134">
                  <c:v>744.56357158364528</c:v>
                </c:pt>
                <c:pt idx="135">
                  <c:v>744.56357158364528</c:v>
                </c:pt>
                <c:pt idx="136">
                  <c:v>744.56357158364528</c:v>
                </c:pt>
                <c:pt idx="137">
                  <c:v>744.56357158364528</c:v>
                </c:pt>
                <c:pt idx="138">
                  <c:v>744.56357158364528</c:v>
                </c:pt>
                <c:pt idx="139">
                  <c:v>744.56357158364528</c:v>
                </c:pt>
                <c:pt idx="140">
                  <c:v>744.56357158364528</c:v>
                </c:pt>
                <c:pt idx="141">
                  <c:v>744.56357158364528</c:v>
                </c:pt>
                <c:pt idx="142">
                  <c:v>744.56357158364528</c:v>
                </c:pt>
                <c:pt idx="143">
                  <c:v>744.56357158364528</c:v>
                </c:pt>
                <c:pt idx="144">
                  <c:v>744.56357158364528</c:v>
                </c:pt>
                <c:pt idx="145">
                  <c:v>744.56357158364528</c:v>
                </c:pt>
                <c:pt idx="146">
                  <c:v>744.56357158364528</c:v>
                </c:pt>
                <c:pt idx="147">
                  <c:v>744.56357158364528</c:v>
                </c:pt>
                <c:pt idx="148">
                  <c:v>744.56357158364528</c:v>
                </c:pt>
                <c:pt idx="149">
                  <c:v>744.56357158364528</c:v>
                </c:pt>
                <c:pt idx="150">
                  <c:v>744.56357158364528</c:v>
                </c:pt>
                <c:pt idx="151">
                  <c:v>744.56357158364528</c:v>
                </c:pt>
                <c:pt idx="152">
                  <c:v>744.56357158364528</c:v>
                </c:pt>
                <c:pt idx="153">
                  <c:v>744.56357158364528</c:v>
                </c:pt>
                <c:pt idx="154">
                  <c:v>744.56357158364528</c:v>
                </c:pt>
                <c:pt idx="155">
                  <c:v>744.56357158364528</c:v>
                </c:pt>
                <c:pt idx="156">
                  <c:v>744.56357158364528</c:v>
                </c:pt>
                <c:pt idx="157">
                  <c:v>744.56357158364528</c:v>
                </c:pt>
                <c:pt idx="158">
                  <c:v>744.56357158364528</c:v>
                </c:pt>
                <c:pt idx="159">
                  <c:v>744.56357158364528</c:v>
                </c:pt>
                <c:pt idx="160">
                  <c:v>744.56357158364528</c:v>
                </c:pt>
                <c:pt idx="161">
                  <c:v>744.56357158364528</c:v>
                </c:pt>
                <c:pt idx="162">
                  <c:v>744.56357158364528</c:v>
                </c:pt>
                <c:pt idx="163">
                  <c:v>744.56357158364528</c:v>
                </c:pt>
                <c:pt idx="164">
                  <c:v>744.56357158364528</c:v>
                </c:pt>
                <c:pt idx="165">
                  <c:v>744.56357158364528</c:v>
                </c:pt>
                <c:pt idx="166">
                  <c:v>744.56357158364528</c:v>
                </c:pt>
                <c:pt idx="167">
                  <c:v>744.56357158364528</c:v>
                </c:pt>
                <c:pt idx="168">
                  <c:v>744.56357158364528</c:v>
                </c:pt>
                <c:pt idx="169">
                  <c:v>744.56357158364528</c:v>
                </c:pt>
                <c:pt idx="170">
                  <c:v>744.56357158364528</c:v>
                </c:pt>
                <c:pt idx="171">
                  <c:v>744.56357158364528</c:v>
                </c:pt>
                <c:pt idx="172">
                  <c:v>744.56357158364528</c:v>
                </c:pt>
                <c:pt idx="173">
                  <c:v>744.56357158364528</c:v>
                </c:pt>
                <c:pt idx="174">
                  <c:v>744.56357158364528</c:v>
                </c:pt>
                <c:pt idx="175">
                  <c:v>744.56357158364528</c:v>
                </c:pt>
                <c:pt idx="176">
                  <c:v>744.56357158364528</c:v>
                </c:pt>
                <c:pt idx="177">
                  <c:v>744.56357158364528</c:v>
                </c:pt>
                <c:pt idx="178">
                  <c:v>744.56357158364528</c:v>
                </c:pt>
                <c:pt idx="179">
                  <c:v>744.56357158364528</c:v>
                </c:pt>
                <c:pt idx="180">
                  <c:v>744.56357158364528</c:v>
                </c:pt>
                <c:pt idx="181">
                  <c:v>744.56357158364528</c:v>
                </c:pt>
                <c:pt idx="182">
                  <c:v>744.56357158364528</c:v>
                </c:pt>
                <c:pt idx="183">
                  <c:v>744.56357158364528</c:v>
                </c:pt>
                <c:pt idx="184">
                  <c:v>744.56357158364528</c:v>
                </c:pt>
                <c:pt idx="185">
                  <c:v>744.56357158364528</c:v>
                </c:pt>
                <c:pt idx="186">
                  <c:v>744.56357158364528</c:v>
                </c:pt>
                <c:pt idx="187">
                  <c:v>744.56357158364528</c:v>
                </c:pt>
                <c:pt idx="188">
                  <c:v>744.56357158364528</c:v>
                </c:pt>
                <c:pt idx="189">
                  <c:v>744.56357158364528</c:v>
                </c:pt>
                <c:pt idx="190">
                  <c:v>744.56357158364528</c:v>
                </c:pt>
                <c:pt idx="191">
                  <c:v>744.56357158364528</c:v>
                </c:pt>
                <c:pt idx="192">
                  <c:v>744.56357158364528</c:v>
                </c:pt>
                <c:pt idx="193">
                  <c:v>744.56357158364528</c:v>
                </c:pt>
                <c:pt idx="194">
                  <c:v>744.56357158364528</c:v>
                </c:pt>
                <c:pt idx="195">
                  <c:v>744.56357158364528</c:v>
                </c:pt>
                <c:pt idx="196">
                  <c:v>744.56357158364528</c:v>
                </c:pt>
                <c:pt idx="197">
                  <c:v>744.56357158364528</c:v>
                </c:pt>
                <c:pt idx="198">
                  <c:v>744.56357158364528</c:v>
                </c:pt>
                <c:pt idx="199">
                  <c:v>744.56357158364528</c:v>
                </c:pt>
                <c:pt idx="200">
                  <c:v>744.56357158364528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2.5380918812887914</c:v>
                </c:pt>
                <c:pt idx="2">
                  <c:v>3.2168218116837237</c:v>
                </c:pt>
                <c:pt idx="3">
                  <c:v>4.0777698035291934</c:v>
                </c:pt>
                <c:pt idx="4">
                  <c:v>5.1700364339554419</c:v>
                </c:pt>
                <c:pt idx="5">
                  <c:v>6.5559984815227494</c:v>
                </c:pt>
                <c:pt idx="6">
                  <c:v>8.3149100852329703</c:v>
                </c:pt>
                <c:pt idx="7">
                  <c:v>10.54748357687275</c:v>
                </c:pt>
                <c:pt idx="8">
                  <c:v>13.381717214799407</c:v>
                </c:pt>
                <c:pt idx="9">
                  <c:v>16.980310117401761</c:v>
                </c:pt>
                <c:pt idx="10">
                  <c:v>21.550097788741649</c:v>
                </c:pt>
                <c:pt idx="11">
                  <c:v>27.354060245633761</c:v>
                </c:pt>
                <c:pt idx="12">
                  <c:v>34.726605905427995</c:v>
                </c:pt>
                <c:pt idx="13">
                  <c:v>44.093027016943331</c:v>
                </c:pt>
                <c:pt idx="14">
                  <c:v>55.994267914108548</c:v>
                </c:pt>
                <c:pt idx="15">
                  <c:v>71.118460282851473</c:v>
                </c:pt>
                <c:pt idx="16">
                  <c:v>82.508596377636763</c:v>
                </c:pt>
                <c:pt idx="17">
                  <c:v>99.006604254682017</c:v>
                </c:pt>
                <c:pt idx="18">
                  <c:v>115.43621516079588</c:v>
                </c:pt>
                <c:pt idx="19">
                  <c:v>131.8085611384661</c:v>
                </c:pt>
                <c:pt idx="20">
                  <c:v>148.13176890752257</c:v>
                </c:pt>
                <c:pt idx="21">
                  <c:v>123.62898327972762</c:v>
                </c:pt>
                <c:pt idx="22">
                  <c:v>141.67594470663133</c:v>
                </c:pt>
                <c:pt idx="23">
                  <c:v>159.66774547880371</c:v>
                </c:pt>
                <c:pt idx="24">
                  <c:v>177.61148225294485</c:v>
                </c:pt>
                <c:pt idx="25">
                  <c:v>195.51269709583855</c:v>
                </c:pt>
                <c:pt idx="26">
                  <c:v>169.32232688472158</c:v>
                </c:pt>
                <c:pt idx="27">
                  <c:v>188.76221470729038</c:v>
                </c:pt>
                <c:pt idx="28">
                  <c:v>208.15542061438944</c:v>
                </c:pt>
                <c:pt idx="29">
                  <c:v>227.50690659831903</c:v>
                </c:pt>
                <c:pt idx="30">
                  <c:v>246.82072062447358</c:v>
                </c:pt>
                <c:pt idx="31">
                  <c:v>266.10022493300397</c:v>
                </c:pt>
                <c:pt idx="32">
                  <c:v>224.98501498915437</c:v>
                </c:pt>
                <c:pt idx="33">
                  <c:v>244.30353923844871</c:v>
                </c:pt>
                <c:pt idx="34">
                  <c:v>263.58734797276003</c:v>
                </c:pt>
                <c:pt idx="35">
                  <c:v>282.83933776674911</c:v>
                </c:pt>
                <c:pt idx="36">
                  <c:v>302.06197856553007</c:v>
                </c:pt>
                <c:pt idx="37">
                  <c:v>321.25740024962437</c:v>
                </c:pt>
                <c:pt idx="38">
                  <c:v>279.73236813579501</c:v>
                </c:pt>
                <c:pt idx="39">
                  <c:v>298.36290228402567</c:v>
                </c:pt>
                <c:pt idx="40">
                  <c:v>316.96751977104657</c:v>
                </c:pt>
                <c:pt idx="41">
                  <c:v>335.5479553564636</c:v>
                </c:pt>
                <c:pt idx="42">
                  <c:v>354.10573601815037</c:v>
                </c:pt>
                <c:pt idx="43">
                  <c:v>372.64221565134466</c:v>
                </c:pt>
                <c:pt idx="44">
                  <c:v>391.15860250001066</c:v>
                </c:pt>
                <c:pt idx="45">
                  <c:v>336.88699770814992</c:v>
                </c:pt>
                <c:pt idx="46">
                  <c:v>354.16518115704025</c:v>
                </c:pt>
                <c:pt idx="47">
                  <c:v>371.42490308727588</c:v>
                </c:pt>
                <c:pt idx="48">
                  <c:v>388.66714186934951</c:v>
                </c:pt>
                <c:pt idx="49">
                  <c:v>405.8927820061424</c:v>
                </c:pt>
                <c:pt idx="50">
                  <c:v>423.10262682279273</c:v>
                </c:pt>
                <c:pt idx="51">
                  <c:v>440.29740898417253</c:v>
                </c:pt>
                <c:pt idx="52">
                  <c:v>457.47779928386586</c:v>
                </c:pt>
                <c:pt idx="53">
                  <c:v>393.44213889474241</c:v>
                </c:pt>
                <c:pt idx="54">
                  <c:v>409.0041420403515</c:v>
                </c:pt>
                <c:pt idx="55">
                  <c:v>424.55336102424553</c:v>
                </c:pt>
                <c:pt idx="56">
                  <c:v>440.09032987714414</c:v>
                </c:pt>
                <c:pt idx="57">
                  <c:v>455.61554185670792</c:v>
                </c:pt>
                <c:pt idx="58">
                  <c:v>471.12945387267996</c:v>
                </c:pt>
                <c:pt idx="59">
                  <c:v>486.63249029889329</c:v>
                </c:pt>
                <c:pt idx="60">
                  <c:v>502.125046274314</c:v>
                </c:pt>
                <c:pt idx="61">
                  <c:v>438.70974904240529</c:v>
                </c:pt>
                <c:pt idx="62">
                  <c:v>453.06329508642119</c:v>
                </c:pt>
                <c:pt idx="63">
                  <c:v>467.40712233198587</c:v>
                </c:pt>
                <c:pt idx="64">
                  <c:v>481.74157097323285</c:v>
                </c:pt>
                <c:pt idx="65">
                  <c:v>496.06695931286293</c:v>
                </c:pt>
                <c:pt idx="66">
                  <c:v>510.38358577553481</c:v>
                </c:pt>
                <c:pt idx="67">
                  <c:v>524.69173068364398</c:v>
                </c:pt>
                <c:pt idx="68">
                  <c:v>538.99165782937473</c:v>
                </c:pt>
                <c:pt idx="69">
                  <c:v>553.28361587129041</c:v>
                </c:pt>
                <c:pt idx="70">
                  <c:v>553.28361587129041</c:v>
                </c:pt>
                <c:pt idx="71">
                  <c:v>553.28361587129041</c:v>
                </c:pt>
                <c:pt idx="72">
                  <c:v>553.28361587129041</c:v>
                </c:pt>
                <c:pt idx="73">
                  <c:v>553.28361587129041</c:v>
                </c:pt>
                <c:pt idx="74">
                  <c:v>553.28361587129041</c:v>
                </c:pt>
                <c:pt idx="75">
                  <c:v>553.28361587129041</c:v>
                </c:pt>
                <c:pt idx="76">
                  <c:v>553.28361587129041</c:v>
                </c:pt>
                <c:pt idx="77">
                  <c:v>553.28361587129041</c:v>
                </c:pt>
                <c:pt idx="78">
                  <c:v>553.28361587129041</c:v>
                </c:pt>
                <c:pt idx="79">
                  <c:v>553.28361587129041</c:v>
                </c:pt>
                <c:pt idx="80">
                  <c:v>553.28361587129041</c:v>
                </c:pt>
                <c:pt idx="81">
                  <c:v>553.28361587129041</c:v>
                </c:pt>
                <c:pt idx="82">
                  <c:v>553.28361587129041</c:v>
                </c:pt>
                <c:pt idx="83">
                  <c:v>553.28361587129041</c:v>
                </c:pt>
                <c:pt idx="84">
                  <c:v>553.28361587129041</c:v>
                </c:pt>
                <c:pt idx="85">
                  <c:v>553.28361587129041</c:v>
                </c:pt>
                <c:pt idx="86">
                  <c:v>553.28361587129041</c:v>
                </c:pt>
                <c:pt idx="87">
                  <c:v>553.28361587129041</c:v>
                </c:pt>
                <c:pt idx="88">
                  <c:v>553.28361587129041</c:v>
                </c:pt>
                <c:pt idx="89">
                  <c:v>553.28361587129041</c:v>
                </c:pt>
                <c:pt idx="90">
                  <c:v>553.28361587129041</c:v>
                </c:pt>
                <c:pt idx="91">
                  <c:v>553.28361587129041</c:v>
                </c:pt>
                <c:pt idx="92">
                  <c:v>553.28361587129041</c:v>
                </c:pt>
                <c:pt idx="93">
                  <c:v>553.28361587129041</c:v>
                </c:pt>
                <c:pt idx="94">
                  <c:v>553.28361587129041</c:v>
                </c:pt>
                <c:pt idx="95">
                  <c:v>553.28361587129041</c:v>
                </c:pt>
                <c:pt idx="96">
                  <c:v>553.28361587129041</c:v>
                </c:pt>
                <c:pt idx="97">
                  <c:v>553.28361587129041</c:v>
                </c:pt>
                <c:pt idx="98">
                  <c:v>553.28361587129041</c:v>
                </c:pt>
                <c:pt idx="99">
                  <c:v>553.28361587129041</c:v>
                </c:pt>
                <c:pt idx="100">
                  <c:v>553.28361587129041</c:v>
                </c:pt>
                <c:pt idx="101">
                  <c:v>553.28361587129041</c:v>
                </c:pt>
                <c:pt idx="102">
                  <c:v>553.28361587129041</c:v>
                </c:pt>
                <c:pt idx="103">
                  <c:v>553.28361587129041</c:v>
                </c:pt>
                <c:pt idx="104">
                  <c:v>553.28361587129041</c:v>
                </c:pt>
                <c:pt idx="105">
                  <c:v>553.28361587129041</c:v>
                </c:pt>
                <c:pt idx="106">
                  <c:v>553.28361587129041</c:v>
                </c:pt>
                <c:pt idx="107">
                  <c:v>553.28361587129041</c:v>
                </c:pt>
                <c:pt idx="108">
                  <c:v>553.28361587129041</c:v>
                </c:pt>
                <c:pt idx="109">
                  <c:v>553.28361587129041</c:v>
                </c:pt>
                <c:pt idx="110">
                  <c:v>553.28361587129041</c:v>
                </c:pt>
                <c:pt idx="111">
                  <c:v>553.28361587129041</c:v>
                </c:pt>
                <c:pt idx="112">
                  <c:v>553.28361587129041</c:v>
                </c:pt>
                <c:pt idx="113">
                  <c:v>553.28361587129041</c:v>
                </c:pt>
                <c:pt idx="114">
                  <c:v>553.28361587129041</c:v>
                </c:pt>
                <c:pt idx="115">
                  <c:v>553.28361587129041</c:v>
                </c:pt>
                <c:pt idx="116">
                  <c:v>553.28361587129041</c:v>
                </c:pt>
                <c:pt idx="117">
                  <c:v>553.28361587129041</c:v>
                </c:pt>
                <c:pt idx="118">
                  <c:v>553.28361587129041</c:v>
                </c:pt>
                <c:pt idx="119">
                  <c:v>553.28361587129041</c:v>
                </c:pt>
                <c:pt idx="120">
                  <c:v>553.28361587129041</c:v>
                </c:pt>
                <c:pt idx="121">
                  <c:v>553.28361587129041</c:v>
                </c:pt>
                <c:pt idx="122">
                  <c:v>553.28361587129041</c:v>
                </c:pt>
                <c:pt idx="123">
                  <c:v>553.28361587129041</c:v>
                </c:pt>
                <c:pt idx="124">
                  <c:v>553.28361587129041</c:v>
                </c:pt>
                <c:pt idx="125">
                  <c:v>553.28361587129041</c:v>
                </c:pt>
                <c:pt idx="126">
                  <c:v>553.28361587129041</c:v>
                </c:pt>
                <c:pt idx="127">
                  <c:v>553.28361587129041</c:v>
                </c:pt>
                <c:pt idx="128">
                  <c:v>553.28361587129041</c:v>
                </c:pt>
                <c:pt idx="129">
                  <c:v>553.28361587129041</c:v>
                </c:pt>
                <c:pt idx="130">
                  <c:v>553.28361587129041</c:v>
                </c:pt>
                <c:pt idx="131">
                  <c:v>553.28361587129041</c:v>
                </c:pt>
                <c:pt idx="132">
                  <c:v>553.28361587129041</c:v>
                </c:pt>
                <c:pt idx="133">
                  <c:v>553.28361587129041</c:v>
                </c:pt>
                <c:pt idx="134">
                  <c:v>553.28361587129041</c:v>
                </c:pt>
                <c:pt idx="135">
                  <c:v>553.28361587129041</c:v>
                </c:pt>
                <c:pt idx="136">
                  <c:v>553.28361587129041</c:v>
                </c:pt>
                <c:pt idx="137">
                  <c:v>553.28361587129041</c:v>
                </c:pt>
                <c:pt idx="138">
                  <c:v>553.28361587129041</c:v>
                </c:pt>
                <c:pt idx="139">
                  <c:v>553.28361587129041</c:v>
                </c:pt>
                <c:pt idx="140">
                  <c:v>553.28361587129041</c:v>
                </c:pt>
                <c:pt idx="141">
                  <c:v>553.28361587129041</c:v>
                </c:pt>
                <c:pt idx="142">
                  <c:v>553.28361587129041</c:v>
                </c:pt>
                <c:pt idx="143">
                  <c:v>553.28361587129041</c:v>
                </c:pt>
                <c:pt idx="144">
                  <c:v>553.28361587129041</c:v>
                </c:pt>
                <c:pt idx="145">
                  <c:v>553.28361587129041</c:v>
                </c:pt>
                <c:pt idx="146">
                  <c:v>553.28361587129041</c:v>
                </c:pt>
                <c:pt idx="147">
                  <c:v>553.28361587129041</c:v>
                </c:pt>
                <c:pt idx="148">
                  <c:v>553.28361587129041</c:v>
                </c:pt>
                <c:pt idx="149">
                  <c:v>553.28361587129041</c:v>
                </c:pt>
                <c:pt idx="150">
                  <c:v>553.28361587129041</c:v>
                </c:pt>
                <c:pt idx="151">
                  <c:v>553.28361587129041</c:v>
                </c:pt>
                <c:pt idx="152">
                  <c:v>553.28361587129041</c:v>
                </c:pt>
                <c:pt idx="153">
                  <c:v>553.28361587129041</c:v>
                </c:pt>
                <c:pt idx="154">
                  <c:v>553.28361587129041</c:v>
                </c:pt>
                <c:pt idx="155">
                  <c:v>553.28361587129041</c:v>
                </c:pt>
                <c:pt idx="156">
                  <c:v>553.28361587129041</c:v>
                </c:pt>
                <c:pt idx="157">
                  <c:v>553.28361587129041</c:v>
                </c:pt>
                <c:pt idx="158">
                  <c:v>553.28361587129041</c:v>
                </c:pt>
                <c:pt idx="159">
                  <c:v>553.28361587129041</c:v>
                </c:pt>
                <c:pt idx="160">
                  <c:v>553.28361587129041</c:v>
                </c:pt>
                <c:pt idx="161">
                  <c:v>553.28361587129041</c:v>
                </c:pt>
                <c:pt idx="162">
                  <c:v>553.28361587129041</c:v>
                </c:pt>
                <c:pt idx="163">
                  <c:v>553.28361587129041</c:v>
                </c:pt>
                <c:pt idx="164">
                  <c:v>553.28361587129041</c:v>
                </c:pt>
                <c:pt idx="165">
                  <c:v>553.28361587129041</c:v>
                </c:pt>
                <c:pt idx="166">
                  <c:v>553.28361587129041</c:v>
                </c:pt>
                <c:pt idx="167">
                  <c:v>553.28361587129041</c:v>
                </c:pt>
                <c:pt idx="168">
                  <c:v>553.28361587129041</c:v>
                </c:pt>
                <c:pt idx="169">
                  <c:v>553.28361587129041</c:v>
                </c:pt>
                <c:pt idx="170">
                  <c:v>553.28361587129041</c:v>
                </c:pt>
                <c:pt idx="171">
                  <c:v>553.28361587129041</c:v>
                </c:pt>
                <c:pt idx="172">
                  <c:v>553.28361587129041</c:v>
                </c:pt>
                <c:pt idx="173">
                  <c:v>553.28361587129041</c:v>
                </c:pt>
                <c:pt idx="174">
                  <c:v>553.28361587129041</c:v>
                </c:pt>
                <c:pt idx="175">
                  <c:v>553.28361587129041</c:v>
                </c:pt>
                <c:pt idx="176">
                  <c:v>553.28361587129041</c:v>
                </c:pt>
                <c:pt idx="177">
                  <c:v>553.28361587129041</c:v>
                </c:pt>
                <c:pt idx="178">
                  <c:v>553.28361587129041</c:v>
                </c:pt>
                <c:pt idx="179">
                  <c:v>553.28361587129041</c:v>
                </c:pt>
                <c:pt idx="180">
                  <c:v>553.28361587129041</c:v>
                </c:pt>
                <c:pt idx="181">
                  <c:v>553.28361587129041</c:v>
                </c:pt>
                <c:pt idx="182">
                  <c:v>553.28361587129041</c:v>
                </c:pt>
                <c:pt idx="183">
                  <c:v>553.28361587129041</c:v>
                </c:pt>
                <c:pt idx="184">
                  <c:v>553.28361587129041</c:v>
                </c:pt>
                <c:pt idx="185">
                  <c:v>553.28361587129041</c:v>
                </c:pt>
                <c:pt idx="186">
                  <c:v>553.28361587129041</c:v>
                </c:pt>
                <c:pt idx="187">
                  <c:v>553.28361587129041</c:v>
                </c:pt>
                <c:pt idx="188">
                  <c:v>553.28361587129041</c:v>
                </c:pt>
                <c:pt idx="189">
                  <c:v>553.28361587129041</c:v>
                </c:pt>
                <c:pt idx="190">
                  <c:v>553.28361587129041</c:v>
                </c:pt>
                <c:pt idx="191">
                  <c:v>553.28361587129041</c:v>
                </c:pt>
                <c:pt idx="192">
                  <c:v>553.28361587129041</c:v>
                </c:pt>
                <c:pt idx="193">
                  <c:v>553.28361587129041</c:v>
                </c:pt>
                <c:pt idx="194">
                  <c:v>553.28361587129041</c:v>
                </c:pt>
                <c:pt idx="195">
                  <c:v>553.28361587129041</c:v>
                </c:pt>
                <c:pt idx="196">
                  <c:v>553.28361587129041</c:v>
                </c:pt>
                <c:pt idx="197">
                  <c:v>553.28361587129041</c:v>
                </c:pt>
                <c:pt idx="198">
                  <c:v>553.28361587129041</c:v>
                </c:pt>
                <c:pt idx="199">
                  <c:v>553.28361587129041</c:v>
                </c:pt>
                <c:pt idx="200">
                  <c:v>553.28361587129041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2.874782824500985</c:v>
                </c:pt>
                <c:pt idx="2">
                  <c:v>3.3544810996371788</c:v>
                </c:pt>
                <c:pt idx="3">
                  <c:v>3.9145137346086183</c:v>
                </c:pt>
                <c:pt idx="4">
                  <c:v>4.5683800462056032</c:v>
                </c:pt>
                <c:pt idx="5">
                  <c:v>5.3318549871655181</c:v>
                </c:pt>
                <c:pt idx="6">
                  <c:v>6.2233738936308676</c:v>
                </c:pt>
                <c:pt idx="7">
                  <c:v>7.2644824603235216</c:v>
                </c:pt>
                <c:pt idx="8">
                  <c:v>8.4803630294415555</c:v>
                </c:pt>
                <c:pt idx="9">
                  <c:v>9.9004501677575547</c:v>
                </c:pt>
                <c:pt idx="10">
                  <c:v>11.559150717235388</c:v>
                </c:pt>
                <c:pt idx="11">
                  <c:v>13.496686092818514</c:v>
                </c:pt>
                <c:pt idx="12">
                  <c:v>15.760077631453415</c:v>
                </c:pt>
                <c:pt idx="13">
                  <c:v>18.404299344539826</c:v>
                </c:pt>
                <c:pt idx="14">
                  <c:v>21.493626580450933</c:v>
                </c:pt>
                <c:pt idx="15">
                  <c:v>25.103213968339016</c:v>
                </c:pt>
                <c:pt idx="16">
                  <c:v>29.320941710727627</c:v>
                </c:pt>
                <c:pt idx="17">
                  <c:v>34.249575962838712</c:v>
                </c:pt>
                <c:pt idx="18">
                  <c:v>40.009296848092099</c:v>
                </c:pt>
                <c:pt idx="19">
                  <c:v>46.740656807261189</c:v>
                </c:pt>
                <c:pt idx="20">
                  <c:v>54.608042692435284</c:v>
                </c:pt>
                <c:pt idx="21">
                  <c:v>63.803727564608444</c:v>
                </c:pt>
                <c:pt idx="22">
                  <c:v>74.552612849841438</c:v>
                </c:pt>
                <c:pt idx="23">
                  <c:v>87.11777872197564</c:v>
                </c:pt>
                <c:pt idx="24">
                  <c:v>101.80698074154111</c:v>
                </c:pt>
                <c:pt idx="25">
                  <c:v>118.98025439667691</c:v>
                </c:pt>
                <c:pt idx="26">
                  <c:v>139.05881685536514</c:v>
                </c:pt>
                <c:pt idx="27">
                  <c:v>162.53548764372363</c:v>
                </c:pt>
                <c:pt idx="28">
                  <c:v>189.98688792654818</c:v>
                </c:pt>
                <c:pt idx="29">
                  <c:v>222.08772253770795</c:v>
                </c:pt>
                <c:pt idx="30">
                  <c:v>259.62750100735406</c:v>
                </c:pt>
                <c:pt idx="31">
                  <c:v>292.58700280919032</c:v>
                </c:pt>
                <c:pt idx="32">
                  <c:v>325.46357834689451</c:v>
                </c:pt>
                <c:pt idx="33">
                  <c:v>358.26677520279083</c:v>
                </c:pt>
                <c:pt idx="34">
                  <c:v>391.00424930248067</c:v>
                </c:pt>
                <c:pt idx="35">
                  <c:v>423.68227013435853</c:v>
                </c:pt>
                <c:pt idx="36">
                  <c:v>306.68609327791313</c:v>
                </c:pt>
                <c:pt idx="37">
                  <c:v>333.2912733917654</c:v>
                </c:pt>
                <c:pt idx="38">
                  <c:v>359.8496524428956</c:v>
                </c:pt>
                <c:pt idx="39">
                  <c:v>386.36516703266381</c:v>
                </c:pt>
                <c:pt idx="40">
                  <c:v>412.84116957446236</c:v>
                </c:pt>
                <c:pt idx="41">
                  <c:v>439.28054766493636</c:v>
                </c:pt>
                <c:pt idx="42">
                  <c:v>368.58505504712031</c:v>
                </c:pt>
                <c:pt idx="43">
                  <c:v>395.49558146511112</c:v>
                </c:pt>
                <c:pt idx="44">
                  <c:v>422.3664419043053</c:v>
                </c:pt>
                <c:pt idx="45">
                  <c:v>449.20051198424522</c:v>
                </c:pt>
                <c:pt idx="46">
                  <c:v>476.00029600122389</c:v>
                </c:pt>
                <c:pt idx="47">
                  <c:v>502.76799350659803</c:v>
                </c:pt>
                <c:pt idx="48">
                  <c:v>529.50555096799405</c:v>
                </c:pt>
                <c:pt idx="49">
                  <c:v>429.33815859480404</c:v>
                </c:pt>
                <c:pt idx="50">
                  <c:v>454.54436868421567</c:v>
                </c:pt>
                <c:pt idx="51">
                  <c:v>479.72071753587551</c:v>
                </c:pt>
                <c:pt idx="52">
                  <c:v>504.86899101410614</c:v>
                </c:pt>
                <c:pt idx="53">
                  <c:v>529.99078272720578</c:v>
                </c:pt>
                <c:pt idx="54">
                  <c:v>555.08752303952872</c:v>
                </c:pt>
                <c:pt idx="55">
                  <c:v>580.16050256595634</c:v>
                </c:pt>
                <c:pt idx="56">
                  <c:v>484.82724321910905</c:v>
                </c:pt>
                <c:pt idx="57">
                  <c:v>508.68718351521085</c:v>
                </c:pt>
                <c:pt idx="58">
                  <c:v>532.52348247086229</c:v>
                </c:pt>
                <c:pt idx="59">
                  <c:v>556.33734603131006</c:v>
                </c:pt>
                <c:pt idx="60">
                  <c:v>580.12986858717284</c:v>
                </c:pt>
                <c:pt idx="61">
                  <c:v>603.90204753719468</c:v>
                </c:pt>
                <c:pt idx="62">
                  <c:v>627.6547954402472</c:v>
                </c:pt>
                <c:pt idx="63">
                  <c:v>651.38895023354644</c:v>
                </c:pt>
                <c:pt idx="64">
                  <c:v>563.81498425829068</c:v>
                </c:pt>
                <c:pt idx="65">
                  <c:v>586.87363908113412</c:v>
                </c:pt>
                <c:pt idx="66">
                  <c:v>609.91342722683794</c:v>
                </c:pt>
                <c:pt idx="67">
                  <c:v>632.93516088265085</c:v>
                </c:pt>
                <c:pt idx="68">
                  <c:v>655.9395884010836</c:v>
                </c:pt>
                <c:pt idx="69">
                  <c:v>678.92740142457762</c:v>
                </c:pt>
                <c:pt idx="70">
                  <c:v>701.89924099594873</c:v>
                </c:pt>
                <c:pt idx="71">
                  <c:v>724.85570282808249</c:v>
                </c:pt>
                <c:pt idx="72">
                  <c:v>641.28199186449854</c:v>
                </c:pt>
                <c:pt idx="73">
                  <c:v>663.71262388619687</c:v>
                </c:pt>
                <c:pt idx="74">
                  <c:v>686.12766324435916</c:v>
                </c:pt>
                <c:pt idx="75">
                  <c:v>708.52769042865077</c:v>
                </c:pt>
                <c:pt idx="76">
                  <c:v>730.91324627615222</c:v>
                </c:pt>
                <c:pt idx="77">
                  <c:v>753.2848358356963</c:v>
                </c:pt>
                <c:pt idx="78">
                  <c:v>775.64293174977286</c:v>
                </c:pt>
                <c:pt idx="79">
                  <c:v>797.98797722667484</c:v>
                </c:pt>
                <c:pt idx="80">
                  <c:v>820.32038866283062</c:v>
                </c:pt>
                <c:pt idx="81">
                  <c:v>720.50501832026794</c:v>
                </c:pt>
                <c:pt idx="82">
                  <c:v>741.66388860983864</c:v>
                </c:pt>
                <c:pt idx="83">
                  <c:v>762.81048004868137</c:v>
                </c:pt>
                <c:pt idx="84">
                  <c:v>783.94518054265029</c:v>
                </c:pt>
                <c:pt idx="85">
                  <c:v>805.06835540294651</c:v>
                </c:pt>
                <c:pt idx="86">
                  <c:v>826.18034923236155</c:v>
                </c:pt>
                <c:pt idx="87">
                  <c:v>847.28148760893248</c:v>
                </c:pt>
                <c:pt idx="88">
                  <c:v>868.37207859336559</c:v>
                </c:pt>
                <c:pt idx="89">
                  <c:v>889.45241408258869</c:v>
                </c:pt>
                <c:pt idx="90">
                  <c:v>778.86457925997695</c:v>
                </c:pt>
                <c:pt idx="91">
                  <c:v>799.05112899959715</c:v>
                </c:pt>
                <c:pt idx="92">
                  <c:v>819.22738249399345</c:v>
                </c:pt>
                <c:pt idx="93">
                  <c:v>839.3936287196334</c:v>
                </c:pt>
                <c:pt idx="94">
                  <c:v>859.55014165330965</c:v>
                </c:pt>
                <c:pt idx="95">
                  <c:v>879.69718139124927</c:v>
                </c:pt>
                <c:pt idx="96">
                  <c:v>899.83499516050631</c:v>
                </c:pt>
                <c:pt idx="97">
                  <c:v>919.96381823522722</c:v>
                </c:pt>
                <c:pt idx="98">
                  <c:v>940.08387476866801</c:v>
                </c:pt>
                <c:pt idx="99">
                  <c:v>960.19537855037299</c:v>
                </c:pt>
                <c:pt idx="100">
                  <c:v>852.47102334504063</c:v>
                </c:pt>
                <c:pt idx="101">
                  <c:v>872.14338883167966</c:v>
                </c:pt>
                <c:pt idx="102">
                  <c:v>891.80687400789668</c:v>
                </c:pt>
                <c:pt idx="103">
                  <c:v>911.4617019978449</c:v>
                </c:pt>
                <c:pt idx="104">
                  <c:v>931.10808553102299</c:v>
                </c:pt>
                <c:pt idx="105">
                  <c:v>950.74622764003141</c:v>
                </c:pt>
                <c:pt idx="106">
                  <c:v>970.37632229776216</c:v>
                </c:pt>
                <c:pt idx="107">
                  <c:v>989.99855500042293</c:v>
                </c:pt>
                <c:pt idx="108">
                  <c:v>1009.6131033020002</c:v>
                </c:pt>
                <c:pt idx="109">
                  <c:v>1029.2201373050909</c:v>
                </c:pt>
                <c:pt idx="110">
                  <c:v>912.89636748316332</c:v>
                </c:pt>
                <c:pt idx="111">
                  <c:v>931.91917253835834</c:v>
                </c:pt>
                <c:pt idx="112">
                  <c:v>950.93425837707116</c:v>
                </c:pt>
                <c:pt idx="113">
                  <c:v>969.94180088868143</c:v>
                </c:pt>
                <c:pt idx="114">
                  <c:v>988.94196851633842</c:v>
                </c:pt>
                <c:pt idx="115">
                  <c:v>1007.9349227120669</c:v>
                </c:pt>
                <c:pt idx="116">
                  <c:v>1026.9208183558419</c:v>
                </c:pt>
                <c:pt idx="117">
                  <c:v>1045.8998041420966</c:v>
                </c:pt>
                <c:pt idx="118">
                  <c:v>1064.8720229367693</c:v>
                </c:pt>
                <c:pt idx="119">
                  <c:v>1083.837612107613</c:v>
                </c:pt>
                <c:pt idx="120">
                  <c:v>685.22707961918843</c:v>
                </c:pt>
                <c:pt idx="121">
                  <c:v>684.46894237918275</c:v>
                </c:pt>
                <c:pt idx="122">
                  <c:v>683.71078791151388</c:v>
                </c:pt>
                <c:pt idx="123">
                  <c:v>682.95261619436906</c:v>
                </c:pt>
                <c:pt idx="124">
                  <c:v>477.88182239269281</c:v>
                </c:pt>
                <c:pt idx="125">
                  <c:v>478.28681697956364</c:v>
                </c:pt>
                <c:pt idx="126">
                  <c:v>478.69180427339779</c:v>
                </c:pt>
                <c:pt idx="127">
                  <c:v>479.09678428124539</c:v>
                </c:pt>
                <c:pt idx="128">
                  <c:v>345.52979462786629</c:v>
                </c:pt>
                <c:pt idx="129">
                  <c:v>345.73113567518845</c:v>
                </c:pt>
                <c:pt idx="130">
                  <c:v>345.93247414678564</c:v>
                </c:pt>
                <c:pt idx="131">
                  <c:v>346.13381004437218</c:v>
                </c:pt>
                <c:pt idx="132">
                  <c:v>44.27625842724435</c:v>
                </c:pt>
                <c:pt idx="133">
                  <c:v>44.27625842724435</c:v>
                </c:pt>
                <c:pt idx="134">
                  <c:v>44.27625842724435</c:v>
                </c:pt>
                <c:pt idx="135">
                  <c:v>44.27625842724435</c:v>
                </c:pt>
                <c:pt idx="136">
                  <c:v>44.27625842724435</c:v>
                </c:pt>
                <c:pt idx="137">
                  <c:v>44.27625842724435</c:v>
                </c:pt>
                <c:pt idx="138">
                  <c:v>44.27625842724435</c:v>
                </c:pt>
                <c:pt idx="139">
                  <c:v>44.27625842724435</c:v>
                </c:pt>
                <c:pt idx="140">
                  <c:v>44.27625842724435</c:v>
                </c:pt>
                <c:pt idx="141">
                  <c:v>44.27625842724435</c:v>
                </c:pt>
                <c:pt idx="142">
                  <c:v>44.27625842724435</c:v>
                </c:pt>
                <c:pt idx="143">
                  <c:v>44.27625842724435</c:v>
                </c:pt>
                <c:pt idx="144">
                  <c:v>44.27625842724435</c:v>
                </c:pt>
                <c:pt idx="145">
                  <c:v>44.27625842724435</c:v>
                </c:pt>
                <c:pt idx="146">
                  <c:v>44.27625842724435</c:v>
                </c:pt>
                <c:pt idx="147">
                  <c:v>44.27625842724435</c:v>
                </c:pt>
                <c:pt idx="148">
                  <c:v>44.27625842724435</c:v>
                </c:pt>
                <c:pt idx="149">
                  <c:v>44.27625842724435</c:v>
                </c:pt>
                <c:pt idx="150">
                  <c:v>44.27625842724435</c:v>
                </c:pt>
                <c:pt idx="151">
                  <c:v>44.27625842724435</c:v>
                </c:pt>
                <c:pt idx="152">
                  <c:v>44.27625842724435</c:v>
                </c:pt>
                <c:pt idx="153">
                  <c:v>44.27625842724435</c:v>
                </c:pt>
                <c:pt idx="154">
                  <c:v>44.27625842724435</c:v>
                </c:pt>
                <c:pt idx="155">
                  <c:v>44.27625842724435</c:v>
                </c:pt>
                <c:pt idx="156">
                  <c:v>44.27625842724435</c:v>
                </c:pt>
                <c:pt idx="157">
                  <c:v>44.27625842724435</c:v>
                </c:pt>
                <c:pt idx="158">
                  <c:v>44.27625842724435</c:v>
                </c:pt>
                <c:pt idx="159">
                  <c:v>44.27625842724435</c:v>
                </c:pt>
                <c:pt idx="160">
                  <c:v>44.27625842724435</c:v>
                </c:pt>
                <c:pt idx="161">
                  <c:v>44.27625842724435</c:v>
                </c:pt>
                <c:pt idx="162">
                  <c:v>44.27625842724435</c:v>
                </c:pt>
                <c:pt idx="163">
                  <c:v>44.27625842724435</c:v>
                </c:pt>
                <c:pt idx="164">
                  <c:v>44.27625842724435</c:v>
                </c:pt>
                <c:pt idx="165">
                  <c:v>44.27625842724435</c:v>
                </c:pt>
                <c:pt idx="166">
                  <c:v>44.27625842724435</c:v>
                </c:pt>
                <c:pt idx="167">
                  <c:v>44.27625842724435</c:v>
                </c:pt>
                <c:pt idx="168">
                  <c:v>44.27625842724435</c:v>
                </c:pt>
                <c:pt idx="169">
                  <c:v>44.27625842724435</c:v>
                </c:pt>
                <c:pt idx="170">
                  <c:v>44.27625842724435</c:v>
                </c:pt>
                <c:pt idx="171">
                  <c:v>44.27625842724435</c:v>
                </c:pt>
                <c:pt idx="172">
                  <c:v>44.27625842724435</c:v>
                </c:pt>
                <c:pt idx="173">
                  <c:v>44.27625842724435</c:v>
                </c:pt>
                <c:pt idx="174">
                  <c:v>44.27625842724435</c:v>
                </c:pt>
                <c:pt idx="175">
                  <c:v>44.27625842724435</c:v>
                </c:pt>
                <c:pt idx="176">
                  <c:v>44.27625842724435</c:v>
                </c:pt>
                <c:pt idx="177">
                  <c:v>44.27625842724435</c:v>
                </c:pt>
                <c:pt idx="178">
                  <c:v>44.27625842724435</c:v>
                </c:pt>
                <c:pt idx="179">
                  <c:v>44.27625842724435</c:v>
                </c:pt>
                <c:pt idx="180">
                  <c:v>44.27625842724435</c:v>
                </c:pt>
                <c:pt idx="181">
                  <c:v>44.27625842724435</c:v>
                </c:pt>
                <c:pt idx="182">
                  <c:v>44.27625842724435</c:v>
                </c:pt>
                <c:pt idx="183">
                  <c:v>44.27625842724435</c:v>
                </c:pt>
                <c:pt idx="184">
                  <c:v>44.27625842724435</c:v>
                </c:pt>
                <c:pt idx="185">
                  <c:v>44.27625842724435</c:v>
                </c:pt>
                <c:pt idx="186">
                  <c:v>44.27625842724435</c:v>
                </c:pt>
                <c:pt idx="187">
                  <c:v>44.27625842724435</c:v>
                </c:pt>
                <c:pt idx="188">
                  <c:v>44.27625842724435</c:v>
                </c:pt>
                <c:pt idx="189">
                  <c:v>44.27625842724435</c:v>
                </c:pt>
                <c:pt idx="190">
                  <c:v>44.27625842724435</c:v>
                </c:pt>
                <c:pt idx="191">
                  <c:v>44.27625842724435</c:v>
                </c:pt>
                <c:pt idx="192">
                  <c:v>44.27625842724435</c:v>
                </c:pt>
                <c:pt idx="193">
                  <c:v>44.27625842724435</c:v>
                </c:pt>
                <c:pt idx="194">
                  <c:v>44.27625842724435</c:v>
                </c:pt>
                <c:pt idx="195">
                  <c:v>44.27625842724435</c:v>
                </c:pt>
                <c:pt idx="196">
                  <c:v>44.27625842724435</c:v>
                </c:pt>
                <c:pt idx="197">
                  <c:v>44.27625842724435</c:v>
                </c:pt>
                <c:pt idx="198">
                  <c:v>44.27625842724435</c:v>
                </c:pt>
                <c:pt idx="199">
                  <c:v>44.27625842724435</c:v>
                </c:pt>
                <c:pt idx="200">
                  <c:v>44.27625842724435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2.8300887377194459</c:v>
                </c:pt>
                <c:pt idx="2">
                  <c:v>3.3023042337663089</c:v>
                </c:pt>
                <c:pt idx="3">
                  <c:v>3.8535970165601152</c:v>
                </c:pt>
                <c:pt idx="4">
                  <c:v>4.4972545441499721</c:v>
                </c:pt>
                <c:pt idx="5">
                  <c:v>5.248804099073821</c:v>
                </c:pt>
                <c:pt idx="6">
                  <c:v>6.1263914658151855</c:v>
                </c:pt>
                <c:pt idx="7">
                  <c:v>7.1512238045226644</c:v>
                </c:pt>
                <c:pt idx="8">
                  <c:v>8.3480876313234251</c:v>
                </c:pt>
                <c:pt idx="9">
                  <c:v>9.7459546740510152</c:v>
                </c:pt>
                <c:pt idx="10">
                  <c:v>11.378690547935454</c:v>
                </c:pt>
                <c:pt idx="11">
                  <c:v>13.285883743023726</c:v>
                </c:pt>
                <c:pt idx="12">
                  <c:v>15.513815397359197</c:v>
                </c:pt>
                <c:pt idx="13">
                  <c:v>18.116593821686582</c:v>
                </c:pt>
                <c:pt idx="14">
                  <c:v>21.157481829858686</c:v>
                </c:pt>
                <c:pt idx="15">
                  <c:v>24.710449716344499</c:v>
                </c:pt>
                <c:pt idx="16">
                  <c:v>28.861992327929428</c:v>
                </c:pt>
                <c:pt idx="17">
                  <c:v>33.713255241033259</c:v>
                </c:pt>
                <c:pt idx="18">
                  <c:v>39.382522743268872</c:v>
                </c:pt>
                <c:pt idx="19">
                  <c:v>46.008129320319995</c:v>
                </c:pt>
                <c:pt idx="20">
                  <c:v>53.751866892337596</c:v>
                </c:pt>
                <c:pt idx="21">
                  <c:v>62.802972391940919</c:v>
                </c:pt>
                <c:pt idx="22">
                  <c:v>73.382794737994715</c:v>
                </c:pt>
                <c:pt idx="23">
                  <c:v>85.750257198185579</c:v>
                </c:pt>
                <c:pt idx="24">
                  <c:v>100.20825097386756</c:v>
                </c:pt>
                <c:pt idx="25">
                  <c:v>117.11111908049322</c:v>
                </c:pt>
                <c:pt idx="26">
                  <c:v>136.87341681951588</c:v>
                </c:pt>
                <c:pt idx="27">
                  <c:v>159.98016702649588</c:v>
                </c:pt>
                <c:pt idx="28">
                  <c:v>186.99886563630412</c:v>
                </c:pt>
                <c:pt idx="29">
                  <c:v>218.59353686850477</c:v>
                </c:pt>
                <c:pt idx="30">
                  <c:v>255.54118860432845</c:v>
                </c:pt>
                <c:pt idx="31">
                  <c:v>287.98065549837935</c:v>
                </c:pt>
                <c:pt idx="32">
                  <c:v>320.33837907742867</c:v>
                </c:pt>
                <c:pt idx="33">
                  <c:v>352.62377072685052</c:v>
                </c:pt>
                <c:pt idx="34">
                  <c:v>384.84437715991675</c:v>
                </c:pt>
                <c:pt idx="35">
                  <c:v>417.00637843031791</c:v>
                </c:pt>
                <c:pt idx="36">
                  <c:v>301.85725124126532</c:v>
                </c:pt>
                <c:pt idx="37">
                  <c:v>328.04252199714477</c:v>
                </c:pt>
                <c:pt idx="38">
                  <c:v>354.1816593108324</c:v>
                </c:pt>
                <c:pt idx="39">
                  <c:v>380.27854362778641</c:v>
                </c:pt>
                <c:pt idx="40">
                  <c:v>406.33647953898088</c:v>
                </c:pt>
                <c:pt idx="41">
                  <c:v>432.35831344928653</c:v>
                </c:pt>
                <c:pt idx="42">
                  <c:v>362.77915322530538</c:v>
                </c:pt>
                <c:pt idx="43">
                  <c:v>389.26479174838045</c:v>
                </c:pt>
                <c:pt idx="44">
                  <c:v>415.71133013070329</c:v>
                </c:pt>
                <c:pt idx="45">
                  <c:v>442.12160297089616</c:v>
                </c:pt>
                <c:pt idx="46">
                  <c:v>468.49807884128523</c:v>
                </c:pt>
                <c:pt idx="47">
                  <c:v>494.84292591646863</c:v>
                </c:pt>
                <c:pt idx="48">
                  <c:v>521.15806289757188</c:v>
                </c:pt>
                <c:pt idx="49">
                  <c:v>422.57294598110099</c:v>
                </c:pt>
                <c:pt idx="50">
                  <c:v>447.38105641848318</c:v>
                </c:pt>
                <c:pt idx="51">
                  <c:v>472.15973159082046</c:v>
                </c:pt>
                <c:pt idx="52">
                  <c:v>496.91073188695265</c:v>
                </c:pt>
                <c:pt idx="53">
                  <c:v>521.63562818224023</c:v>
                </c:pt>
                <c:pt idx="54">
                  <c:v>546.33583043678789</c:v>
                </c:pt>
                <c:pt idx="55">
                  <c:v>571.01261085476187</c:v>
                </c:pt>
                <c:pt idx="56">
                  <c:v>477.18559168482119</c:v>
                </c:pt>
                <c:pt idx="57">
                  <c:v>500.66860389728407</c:v>
                </c:pt>
                <c:pt idx="58">
                  <c:v>524.12831201472079</c:v>
                </c:pt>
                <c:pt idx="59">
                  <c:v>547.56590477948191</c:v>
                </c:pt>
                <c:pt idx="60">
                  <c:v>570.98246097062554</c:v>
                </c:pt>
                <c:pt idx="61">
                  <c:v>594.37896375893115</c:v>
                </c:pt>
                <c:pt idx="62">
                  <c:v>617.75631268555162</c:v>
                </c:pt>
                <c:pt idx="63">
                  <c:v>641.11533373446855</c:v>
                </c:pt>
                <c:pt idx="64">
                  <c:v>554.92538579248924</c:v>
                </c:pt>
                <c:pt idx="65">
                  <c:v>577.61966152160346</c:v>
                </c:pt>
                <c:pt idx="66">
                  <c:v>600.29533970808609</c:v>
                </c:pt>
                <c:pt idx="67">
                  <c:v>622.95322095327685</c:v>
                </c:pt>
                <c:pt idx="68">
                  <c:v>645.59404293438308</c:v>
                </c:pt>
                <c:pt idx="69">
                  <c:v>668.21848742751774</c:v>
                </c:pt>
                <c:pt idx="70">
                  <c:v>690.82718633097465</c:v>
                </c:pt>
                <c:pt idx="71">
                  <c:v>713.42072685975143</c:v>
                </c:pt>
                <c:pt idx="72">
                  <c:v>631.16812583573198</c:v>
                </c:pt>
                <c:pt idx="73">
                  <c:v>653.24421280565741</c:v>
                </c:pt>
                <c:pt idx="74">
                  <c:v>675.3049295425152</c:v>
                </c:pt>
                <c:pt idx="75">
                  <c:v>697.3508482552437</c:v>
                </c:pt>
                <c:pt idx="76">
                  <c:v>719.38250206584371</c:v>
                </c:pt>
                <c:pt idx="77">
                  <c:v>741.4003888185897</c:v>
                </c:pt>
                <c:pt idx="78">
                  <c:v>763.40497441369291</c:v>
                </c:pt>
                <c:pt idx="79">
                  <c:v>785.39669573704714</c:v>
                </c:pt>
                <c:pt idx="80">
                  <c:v>807.37596324515664</c:v>
                </c:pt>
                <c:pt idx="81">
                  <c:v>709.13882459911702</c:v>
                </c:pt>
                <c:pt idx="82">
                  <c:v>729.96317555896383</c:v>
                </c:pt>
                <c:pt idx="83">
                  <c:v>750.77542282677189</c:v>
                </c:pt>
                <c:pt idx="84">
                  <c:v>771.57594877489225</c:v>
                </c:pt>
                <c:pt idx="85">
                  <c:v>792.36511350333376</c:v>
                </c:pt>
                <c:pt idx="86">
                  <c:v>813.14325669910443</c:v>
                </c:pt>
                <c:pt idx="87">
                  <c:v>833.91069929584819</c:v>
                </c:pt>
                <c:pt idx="88">
                  <c:v>854.66774495976222</c:v>
                </c:pt>
                <c:pt idx="89">
                  <c:v>875.4146814238444</c:v>
                </c:pt>
                <c:pt idx="90">
                  <c:v>766.57568184411605</c:v>
                </c:pt>
                <c:pt idx="91">
                  <c:v>786.44303625759687</c:v>
                </c:pt>
                <c:pt idx="92">
                  <c:v>806.30024130253378</c:v>
                </c:pt>
                <c:pt idx="93">
                  <c:v>826.14758183312381</c:v>
                </c:pt>
                <c:pt idx="94">
                  <c:v>845.98532791786045</c:v>
                </c:pt>
                <c:pt idx="95">
                  <c:v>865.81373594268018</c:v>
                </c:pt>
                <c:pt idx="96">
                  <c:v>885.63304960792482</c:v>
                </c:pt>
                <c:pt idx="97">
                  <c:v>905.44350083153915</c:v>
                </c:pt>
                <c:pt idx="98">
                  <c:v>925.24531056921535</c:v>
                </c:pt>
                <c:pt idx="99">
                  <c:v>945.03868956077565</c:v>
                </c:pt>
                <c:pt idx="100">
                  <c:v>839.01816460713133</c:v>
                </c:pt>
                <c:pt idx="101">
                  <c:v>858.37941066310816</c:v>
                </c:pt>
                <c:pt idx="102">
                  <c:v>877.73190308693063</c:v>
                </c:pt>
                <c:pt idx="103">
                  <c:v>897.07586181987006</c:v>
                </c:pt>
                <c:pt idx="104">
                  <c:v>916.41149655682364</c:v>
                </c:pt>
                <c:pt idx="105">
                  <c:v>935.73900743411593</c:v>
                </c:pt>
                <c:pt idx="106">
                  <c:v>955.0585856576032</c:v>
                </c:pt>
                <c:pt idx="107">
                  <c:v>974.37041407737581</c:v>
                </c:pt>
                <c:pt idx="108">
                  <c:v>993.67466771459942</c:v>
                </c:pt>
                <c:pt idx="109">
                  <c:v>1012.971514245346</c:v>
                </c:pt>
                <c:pt idx="110">
                  <c:v>898.48783549856989</c:v>
                </c:pt>
                <c:pt idx="111">
                  <c:v>917.20975424343681</c:v>
                </c:pt>
                <c:pt idx="112">
                  <c:v>935.92406388700135</c:v>
                </c:pt>
                <c:pt idx="113">
                  <c:v>954.63093780956694</c:v>
                </c:pt>
                <c:pt idx="114">
                  <c:v>973.3305420514298</c:v>
                </c:pt>
                <c:pt idx="115">
                  <c:v>992.02303576149086</c:v>
                </c:pt>
                <c:pt idx="116">
                  <c:v>1010.7085716103497</c:v>
                </c:pt>
                <c:pt idx="117">
                  <c:v>1029.3872961713043</c:v>
                </c:pt>
                <c:pt idx="118">
                  <c:v>1048.0593502722984</c:v>
                </c:pt>
                <c:pt idx="119">
                  <c:v>1066.7248693215251</c:v>
                </c:pt>
                <c:pt idx="120">
                  <c:v>674.41858222026156</c:v>
                </c:pt>
                <c:pt idx="121">
                  <c:v>673.67242948113892</c:v>
                </c:pt>
                <c:pt idx="122">
                  <c:v>672.92625976010697</c:v>
                </c:pt>
                <c:pt idx="123">
                  <c:v>672.18007303566412</c:v>
                </c:pt>
                <c:pt idx="124">
                  <c:v>470.34988425072794</c:v>
                </c:pt>
                <c:pt idx="125">
                  <c:v>470.74848142732253</c:v>
                </c:pt>
                <c:pt idx="126">
                  <c:v>471.14707141491613</c:v>
                </c:pt>
                <c:pt idx="127">
                  <c:v>471.54565422045795</c:v>
                </c:pt>
                <c:pt idx="128">
                  <c:v>340.08785846318278</c:v>
                </c:pt>
                <c:pt idx="129">
                  <c:v>340.28602122419534</c:v>
                </c:pt>
                <c:pt idx="130">
                  <c:v>340.48418144622576</c:v>
                </c:pt>
                <c:pt idx="131">
                  <c:v>340.68233913096401</c:v>
                </c:pt>
                <c:pt idx="132">
                  <c:v>43.582452684375909</c:v>
                </c:pt>
                <c:pt idx="133">
                  <c:v>43.582452684375909</c:v>
                </c:pt>
                <c:pt idx="134">
                  <c:v>43.582452684375909</c:v>
                </c:pt>
                <c:pt idx="135">
                  <c:v>43.582452684375909</c:v>
                </c:pt>
                <c:pt idx="136">
                  <c:v>43.582452684375909</c:v>
                </c:pt>
                <c:pt idx="137">
                  <c:v>43.582452684375909</c:v>
                </c:pt>
                <c:pt idx="138">
                  <c:v>43.582452684375909</c:v>
                </c:pt>
                <c:pt idx="139">
                  <c:v>43.582452684375909</c:v>
                </c:pt>
                <c:pt idx="140">
                  <c:v>43.582452684375909</c:v>
                </c:pt>
                <c:pt idx="141">
                  <c:v>43.582452684375909</c:v>
                </c:pt>
                <c:pt idx="142">
                  <c:v>43.582452684375909</c:v>
                </c:pt>
                <c:pt idx="143">
                  <c:v>43.582452684375909</c:v>
                </c:pt>
                <c:pt idx="144">
                  <c:v>43.582452684375909</c:v>
                </c:pt>
                <c:pt idx="145">
                  <c:v>43.582452684375909</c:v>
                </c:pt>
                <c:pt idx="146">
                  <c:v>43.582452684375909</c:v>
                </c:pt>
                <c:pt idx="147">
                  <c:v>43.582452684375909</c:v>
                </c:pt>
                <c:pt idx="148">
                  <c:v>43.582452684375909</c:v>
                </c:pt>
                <c:pt idx="149">
                  <c:v>43.582452684375909</c:v>
                </c:pt>
                <c:pt idx="150">
                  <c:v>43.582452684375909</c:v>
                </c:pt>
                <c:pt idx="151">
                  <c:v>43.582452684375909</c:v>
                </c:pt>
                <c:pt idx="152">
                  <c:v>43.582452684375909</c:v>
                </c:pt>
                <c:pt idx="153">
                  <c:v>43.582452684375909</c:v>
                </c:pt>
                <c:pt idx="154">
                  <c:v>43.582452684375909</c:v>
                </c:pt>
                <c:pt idx="155">
                  <c:v>43.582452684375909</c:v>
                </c:pt>
                <c:pt idx="156">
                  <c:v>43.582452684375909</c:v>
                </c:pt>
                <c:pt idx="157">
                  <c:v>43.582452684375909</c:v>
                </c:pt>
                <c:pt idx="158">
                  <c:v>43.582452684375909</c:v>
                </c:pt>
                <c:pt idx="159">
                  <c:v>43.582452684375909</c:v>
                </c:pt>
                <c:pt idx="160">
                  <c:v>43.582452684375909</c:v>
                </c:pt>
                <c:pt idx="161">
                  <c:v>43.582452684375909</c:v>
                </c:pt>
                <c:pt idx="162">
                  <c:v>43.582452684375909</c:v>
                </c:pt>
                <c:pt idx="163">
                  <c:v>43.582452684375909</c:v>
                </c:pt>
                <c:pt idx="164">
                  <c:v>43.582452684375909</c:v>
                </c:pt>
                <c:pt idx="165">
                  <c:v>43.582452684375909</c:v>
                </c:pt>
                <c:pt idx="166">
                  <c:v>43.582452684375909</c:v>
                </c:pt>
                <c:pt idx="167">
                  <c:v>43.582452684375909</c:v>
                </c:pt>
                <c:pt idx="168">
                  <c:v>43.582452684375909</c:v>
                </c:pt>
                <c:pt idx="169">
                  <c:v>43.582452684375909</c:v>
                </c:pt>
                <c:pt idx="170">
                  <c:v>43.582452684375909</c:v>
                </c:pt>
                <c:pt idx="171">
                  <c:v>43.582452684375909</c:v>
                </c:pt>
                <c:pt idx="172">
                  <c:v>43.582452684375909</c:v>
                </c:pt>
                <c:pt idx="173">
                  <c:v>43.582452684375909</c:v>
                </c:pt>
                <c:pt idx="174">
                  <c:v>43.582452684375909</c:v>
                </c:pt>
                <c:pt idx="175">
                  <c:v>43.582452684375909</c:v>
                </c:pt>
                <c:pt idx="176">
                  <c:v>43.582452684375909</c:v>
                </c:pt>
                <c:pt idx="177">
                  <c:v>43.582452684375909</c:v>
                </c:pt>
                <c:pt idx="178">
                  <c:v>43.582452684375909</c:v>
                </c:pt>
                <c:pt idx="179">
                  <c:v>43.582452684375909</c:v>
                </c:pt>
                <c:pt idx="180">
                  <c:v>43.582452684375909</c:v>
                </c:pt>
                <c:pt idx="181">
                  <c:v>43.582452684375909</c:v>
                </c:pt>
                <c:pt idx="182">
                  <c:v>43.582452684375909</c:v>
                </c:pt>
                <c:pt idx="183">
                  <c:v>43.582452684375909</c:v>
                </c:pt>
                <c:pt idx="184">
                  <c:v>43.582452684375909</c:v>
                </c:pt>
                <c:pt idx="185">
                  <c:v>43.582452684375909</c:v>
                </c:pt>
                <c:pt idx="186">
                  <c:v>43.582452684375909</c:v>
                </c:pt>
                <c:pt idx="187">
                  <c:v>43.582452684375909</c:v>
                </c:pt>
                <c:pt idx="188">
                  <c:v>43.582452684375909</c:v>
                </c:pt>
                <c:pt idx="189">
                  <c:v>43.582452684375909</c:v>
                </c:pt>
                <c:pt idx="190">
                  <c:v>43.582452684375909</c:v>
                </c:pt>
                <c:pt idx="191">
                  <c:v>43.582452684375909</c:v>
                </c:pt>
                <c:pt idx="192">
                  <c:v>43.582452684375909</c:v>
                </c:pt>
                <c:pt idx="193">
                  <c:v>43.582452684375909</c:v>
                </c:pt>
                <c:pt idx="194">
                  <c:v>43.582452684375909</c:v>
                </c:pt>
                <c:pt idx="195">
                  <c:v>43.582452684375909</c:v>
                </c:pt>
                <c:pt idx="196">
                  <c:v>43.582452684375909</c:v>
                </c:pt>
                <c:pt idx="197">
                  <c:v>43.582452684375909</c:v>
                </c:pt>
                <c:pt idx="198">
                  <c:v>43.582452684375909</c:v>
                </c:pt>
                <c:pt idx="199">
                  <c:v>43.582452684375909</c:v>
                </c:pt>
                <c:pt idx="200">
                  <c:v>43.582452684375909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4" x14ac:dyDescent="0.3"/>
  <cols>
    <col min="1" max="1" width="6.6640625" customWidth="1"/>
    <col min="2" max="13" width="15.77734375" customWidth="1"/>
  </cols>
  <sheetData>
    <row r="12" spans="2:13" ht="15" customHeight="1" x14ac:dyDescent="0.3">
      <c r="B12" s="266" t="s">
        <v>291</v>
      </c>
      <c r="C12" s="266"/>
      <c r="D12" s="266"/>
      <c r="E12" s="266"/>
      <c r="F12" s="266"/>
      <c r="G12" s="266"/>
      <c r="H12" s="266"/>
      <c r="I12" s="266"/>
      <c r="J12" s="266"/>
      <c r="K12" s="266"/>
      <c r="L12" s="266"/>
      <c r="M12" s="266"/>
    </row>
    <row r="13" spans="2:13" ht="15" customHeight="1" x14ac:dyDescent="0.3">
      <c r="B13" s="266"/>
      <c r="C13" s="266"/>
      <c r="D13" s="266"/>
      <c r="E13" s="266"/>
      <c r="F13" s="266"/>
      <c r="G13" s="266"/>
      <c r="H13" s="266"/>
      <c r="I13" s="266"/>
      <c r="J13" s="266"/>
      <c r="K13" s="266"/>
      <c r="L13" s="266"/>
      <c r="M13" s="266"/>
    </row>
    <row r="14" spans="2:13" ht="15" customHeight="1" x14ac:dyDescent="0.3">
      <c r="B14" s="266"/>
      <c r="C14" s="266"/>
      <c r="D14" s="266"/>
      <c r="E14" s="266"/>
      <c r="F14" s="266"/>
      <c r="G14" s="266"/>
      <c r="H14" s="266"/>
      <c r="I14" s="266"/>
      <c r="J14" s="266"/>
      <c r="K14" s="266"/>
      <c r="L14" s="266"/>
      <c r="M14" s="266"/>
    </row>
    <row r="15" spans="2:13" ht="18.75" customHeight="1" x14ac:dyDescent="0.3">
      <c r="B15" s="266"/>
      <c r="C15" s="266"/>
      <c r="D15" s="266"/>
      <c r="E15" s="266"/>
      <c r="F15" s="266"/>
      <c r="G15" s="266"/>
      <c r="H15" s="266"/>
      <c r="I15" s="266"/>
      <c r="J15" s="266"/>
      <c r="K15" s="266"/>
      <c r="L15" s="266"/>
      <c r="M15" s="266"/>
    </row>
    <row r="16" spans="2:13" ht="18.75" customHeight="1" x14ac:dyDescent="0.3">
      <c r="B16" s="266"/>
      <c r="C16" s="266"/>
      <c r="D16" s="266"/>
      <c r="E16" s="266"/>
      <c r="F16" s="266"/>
      <c r="G16" s="266"/>
      <c r="H16" s="266"/>
      <c r="I16" s="266"/>
      <c r="J16" s="266"/>
      <c r="K16" s="266"/>
      <c r="L16" s="266"/>
      <c r="M16" s="266"/>
    </row>
    <row r="18" spans="2:13" ht="12" customHeight="1" x14ac:dyDescent="0.3">
      <c r="B18" s="266" t="s">
        <v>292</v>
      </c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</row>
    <row r="19" spans="2:13" ht="12" customHeight="1" x14ac:dyDescent="0.3">
      <c r="B19" s="266"/>
      <c r="C19" s="266"/>
      <c r="D19" s="266"/>
      <c r="E19" s="266"/>
      <c r="F19" s="266"/>
      <c r="G19" s="266"/>
      <c r="H19" s="266"/>
      <c r="I19" s="266"/>
      <c r="J19" s="266"/>
      <c r="K19" s="266"/>
      <c r="L19" s="266"/>
      <c r="M19" s="266"/>
    </row>
    <row r="20" spans="2:13" ht="12" customHeight="1" x14ac:dyDescent="0.3">
      <c r="B20" s="266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</row>
    <row r="21" spans="2:13" ht="12" customHeight="1" x14ac:dyDescent="0.3">
      <c r="B21" s="266"/>
      <c r="C21" s="266"/>
      <c r="D21" s="266"/>
      <c r="E21" s="266"/>
      <c r="F21" s="266"/>
      <c r="G21" s="266"/>
      <c r="H21" s="266"/>
      <c r="I21" s="266"/>
      <c r="J21" s="266"/>
      <c r="K21" s="266"/>
      <c r="L21" s="266"/>
      <c r="M21" s="266"/>
    </row>
    <row r="22" spans="2:13" ht="12" customHeight="1" x14ac:dyDescent="0.3">
      <c r="B22" s="266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</row>
    <row r="23" spans="2:13" ht="12" customHeight="1" x14ac:dyDescent="0.3">
      <c r="B23" s="266"/>
      <c r="C23" s="266"/>
      <c r="D23" s="266"/>
      <c r="E23" s="266"/>
      <c r="F23" s="266"/>
      <c r="G23" s="266"/>
      <c r="H23" s="266"/>
      <c r="I23" s="266"/>
      <c r="J23" s="266"/>
      <c r="K23" s="266"/>
      <c r="L23" s="266"/>
      <c r="M23" s="266"/>
    </row>
    <row r="24" spans="2:13" ht="12" customHeight="1" x14ac:dyDescent="0.3"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</row>
    <row r="25" spans="2:13" ht="12" customHeight="1" x14ac:dyDescent="0.3">
      <c r="B25" s="266"/>
      <c r="C25" s="266"/>
      <c r="D25" s="266"/>
      <c r="E25" s="266"/>
      <c r="F25" s="266"/>
      <c r="G25" s="266"/>
      <c r="H25" s="266"/>
      <c r="I25" s="266"/>
      <c r="J25" s="266"/>
      <c r="K25" s="266"/>
      <c r="L25" s="266"/>
      <c r="M25" s="266"/>
    </row>
    <row r="26" spans="2:13" ht="12" customHeight="1" x14ac:dyDescent="0.3">
      <c r="B26" s="266"/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266"/>
    </row>
    <row r="27" spans="2:13" ht="12" customHeight="1" x14ac:dyDescent="0.3">
      <c r="B27" s="266"/>
      <c r="C27" s="266"/>
      <c r="D27" s="266"/>
      <c r="E27" s="266"/>
      <c r="F27" s="266"/>
      <c r="G27" s="266"/>
      <c r="H27" s="266"/>
      <c r="I27" s="266"/>
      <c r="J27" s="266"/>
      <c r="K27" s="266"/>
      <c r="L27" s="266"/>
      <c r="M27" s="266"/>
    </row>
    <row r="28" spans="2:13" ht="12" customHeight="1" x14ac:dyDescent="0.3">
      <c r="B28" s="266"/>
      <c r="C28" s="266"/>
      <c r="D28" s="266"/>
      <c r="E28" s="266"/>
      <c r="F28" s="266"/>
      <c r="G28" s="266"/>
      <c r="H28" s="266"/>
      <c r="I28" s="266"/>
      <c r="J28" s="266"/>
      <c r="K28" s="266"/>
      <c r="L28" s="266"/>
      <c r="M28" s="266"/>
    </row>
    <row r="29" spans="2:13" ht="12" customHeight="1" x14ac:dyDescent="0.3">
      <c r="B29" s="266"/>
      <c r="C29" s="266"/>
      <c r="D29" s="266"/>
      <c r="E29" s="266"/>
      <c r="F29" s="266"/>
      <c r="G29" s="266"/>
      <c r="H29" s="266"/>
      <c r="I29" s="266"/>
      <c r="J29" s="266"/>
      <c r="K29" s="266"/>
      <c r="L29" s="266"/>
      <c r="M29" s="266"/>
    </row>
    <row r="30" spans="2:13" ht="12" customHeight="1" x14ac:dyDescent="0.3">
      <c r="B30" s="266"/>
      <c r="C30" s="266"/>
      <c r="D30" s="266"/>
      <c r="E30" s="266"/>
      <c r="F30" s="266"/>
      <c r="G30" s="266"/>
      <c r="H30" s="266"/>
      <c r="I30" s="266"/>
      <c r="J30" s="266"/>
      <c r="K30" s="266"/>
      <c r="L30" s="266"/>
      <c r="M30" s="266"/>
    </row>
    <row r="31" spans="2:13" ht="12" customHeight="1" x14ac:dyDescent="0.3">
      <c r="B31" s="266"/>
      <c r="C31" s="266"/>
      <c r="D31" s="266"/>
      <c r="E31" s="266"/>
      <c r="F31" s="266"/>
      <c r="G31" s="266"/>
      <c r="H31" s="266"/>
      <c r="I31" s="266"/>
      <c r="J31" s="266"/>
      <c r="K31" s="266"/>
      <c r="L31" s="266"/>
      <c r="M31" s="26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topLeftCell="A3" zoomScale="80" zoomScaleNormal="80" workbookViewId="0">
      <selection activeCell="E19" sqref="E19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77734375" style="23" bestFit="1" customWidth="1"/>
    <col min="4" max="4" width="16.44140625" style="23" customWidth="1"/>
    <col min="5" max="5" width="23.33203125" style="23" customWidth="1"/>
    <col min="6" max="6" width="28.77734375" style="23" bestFit="1" customWidth="1"/>
    <col min="7" max="8" width="14.6640625" style="23" customWidth="1"/>
    <col min="9" max="9" width="17" style="23" customWidth="1"/>
    <col min="10" max="10" width="13.77734375" style="23" customWidth="1"/>
    <col min="11" max="16384" width="11.44140625" style="23"/>
  </cols>
  <sheetData>
    <row r="1" spans="1:38" x14ac:dyDescent="0.3">
      <c r="A1" s="4"/>
      <c r="B1" s="4"/>
      <c r="C1" s="271" t="s">
        <v>190</v>
      </c>
      <c r="D1" s="271"/>
      <c r="E1" s="271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09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72" t="s">
        <v>192</v>
      </c>
      <c r="C3" s="273"/>
      <c r="D3" s="273"/>
      <c r="E3" s="273"/>
      <c r="F3" s="274"/>
      <c r="G3" s="87"/>
      <c r="I3" s="209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88"/>
      <c r="B4" s="88"/>
      <c r="C4" s="88"/>
      <c r="D4" s="88"/>
      <c r="E4" s="88"/>
      <c r="F4" s="88"/>
      <c r="G4" s="216"/>
      <c r="I4" s="209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77" t="s">
        <v>231</v>
      </c>
      <c r="B5" s="277"/>
      <c r="C5" s="24">
        <v>2.5</v>
      </c>
      <c r="D5" s="278" t="s">
        <v>229</v>
      </c>
      <c r="E5" s="279"/>
      <c r="F5" s="88"/>
      <c r="G5" s="216"/>
      <c r="H5" s="216"/>
      <c r="I5" s="216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89"/>
      <c r="B6" s="89"/>
      <c r="C6" s="4"/>
      <c r="D6" s="85"/>
      <c r="E6" s="85"/>
      <c r="F6" s="26"/>
      <c r="G6" s="203"/>
      <c r="H6" s="203"/>
      <c r="I6" s="203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76" t="s">
        <v>226</v>
      </c>
      <c r="B7" s="276"/>
      <c r="C7" s="88"/>
      <c r="D7" s="88"/>
      <c r="E7" s="4"/>
      <c r="F7" s="88"/>
      <c r="G7" s="216"/>
      <c r="H7" s="216"/>
      <c r="I7" s="216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3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263" t="s">
        <v>14</v>
      </c>
      <c r="C9" s="264">
        <v>0.8276</v>
      </c>
      <c r="D9" s="33">
        <f t="shared" ref="D9:D18" si="0">C9*$C$5</f>
        <v>2.069</v>
      </c>
      <c r="E9" s="265">
        <v>131</v>
      </c>
      <c r="F9" s="35" t="str">
        <f t="array" ref="F9">IF(E9="","",IF(INDEX(A:A,MAX(IF(ISNUMBER($A$36:$A$55),ROW($A$36:$A$55),"")))&lt;&gt;E9,"Corrigez : révolution incorrecte","OK"))</f>
        <v>OK</v>
      </c>
      <c r="G9" s="226" t="s">
        <v>306</v>
      </c>
      <c r="I9" s="22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263" t="s">
        <v>25</v>
      </c>
      <c r="C10" s="264">
        <v>8.6199999999999999E-2</v>
      </c>
      <c r="D10" s="33">
        <f t="shared" si="0"/>
        <v>0.2155</v>
      </c>
      <c r="E10" s="265">
        <v>115</v>
      </c>
      <c r="F10" s="35" t="str">
        <f t="array" ref="F10">IF(E10="","",IF(INDEX(A:A,MAX(IF(ISNUMBER($A$62:$A$81),ROW($A$62:$A$81),"")))&lt;&gt;E10,"Corrigez : révolution incorrecte","OK"))</f>
        <v>OK</v>
      </c>
      <c r="I10" s="22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263" t="s">
        <v>29</v>
      </c>
      <c r="C11" s="264">
        <v>3.4500000000000003E-2</v>
      </c>
      <c r="D11" s="33">
        <f t="shared" si="0"/>
        <v>8.6250000000000007E-2</v>
      </c>
      <c r="E11" s="265">
        <v>69</v>
      </c>
      <c r="F11" s="35" t="str">
        <f t="array" ref="F11">IF(E11="","",IF(INDEX(A:A,MAX(IF(ISNUMBER($A$88:$A$107),ROW($A$88:$A$107),"")))&lt;&gt;E11,"Corrigez : révolution incorrecte","OK"))</f>
        <v>OK</v>
      </c>
      <c r="I11" s="22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263" t="s">
        <v>1</v>
      </c>
      <c r="C12" s="264">
        <v>1.72E-2</v>
      </c>
      <c r="D12" s="33">
        <f t="shared" si="0"/>
        <v>4.2999999999999997E-2</v>
      </c>
      <c r="E12" s="265">
        <v>131</v>
      </c>
      <c r="F12" s="35" t="str">
        <f t="array" ref="F12">IF(E12="","",IF(INDEX(A:A,MAX(IF(ISNUMBER($A$114:$A$133),ROW($A$114:$A$133),"")))&lt;&gt;E12,"Corrigez : révolution incorrecte","OK"))</f>
        <v>OK</v>
      </c>
      <c r="I12" s="22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 t="s">
        <v>6</v>
      </c>
      <c r="C13" s="32">
        <v>3.4500000000000003E-2</v>
      </c>
      <c r="D13" s="33">
        <f t="shared" si="0"/>
        <v>8.6250000000000007E-2</v>
      </c>
      <c r="E13" s="34">
        <v>131</v>
      </c>
      <c r="F13" s="35" t="str">
        <f t="array" ref="F13">IF(E13="","",IF(INDEX(A:A,MAX(IF(ISNUMBER($A$140:$A$159),ROW($A$140:$A$159),"")))&lt;&gt;E13,"Corrigez : révolution incorrecte","OK"))</f>
        <v>OK</v>
      </c>
      <c r="I13" s="22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7"/>
      <c r="B19" s="36" t="s">
        <v>175</v>
      </c>
      <c r="C19" s="37">
        <f>SUM(C9:C18)</f>
        <v>0.99999999999999989</v>
      </c>
      <c r="D19" s="38">
        <f>SUM(D9:D18)</f>
        <v>2.5000000000000004</v>
      </c>
      <c r="E19" s="4"/>
      <c r="F19" s="90"/>
      <c r="G19" s="217"/>
      <c r="H19" s="217"/>
      <c r="I19" s="217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7"/>
      <c r="B20" s="39" t="s">
        <v>230</v>
      </c>
      <c r="C20" s="40" t="str">
        <f>IF(C19&gt;100%,"Erreur : corrigez","OK")</f>
        <v>OK</v>
      </c>
      <c r="D20" s="220"/>
      <c r="F20" s="203"/>
      <c r="G20" s="203"/>
      <c r="H20" s="217"/>
      <c r="I20" s="217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18"/>
      <c r="I21" s="218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75" t="s">
        <v>232</v>
      </c>
      <c r="B22" s="27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1"/>
      <c r="F24" s="91"/>
      <c r="G24" s="200"/>
      <c r="I24" s="200"/>
      <c r="J24" s="219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2"/>
      <c r="E25" s="4"/>
      <c r="F25" s="92"/>
      <c r="G25" s="219"/>
      <c r="I25" s="219"/>
      <c r="J25" s="219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</v>
      </c>
      <c r="D26" s="44" t="s">
        <v>234</v>
      </c>
      <c r="E26" s="91"/>
      <c r="F26" s="91"/>
      <c r="G26" s="200"/>
      <c r="I26" s="200"/>
      <c r="J26" s="200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1"/>
      <c r="F27" s="91"/>
      <c r="G27" s="200"/>
      <c r="I27" s="200"/>
      <c r="J27" s="200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76" t="s">
        <v>227</v>
      </c>
      <c r="B30" s="276"/>
      <c r="D30" s="221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1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Chêne sessile</v>
      </c>
      <c r="D32" s="227" t="s">
        <v>307</v>
      </c>
      <c r="K32" s="221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1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4" t="s">
        <v>185</v>
      </c>
      <c r="C34" s="267" t="s">
        <v>186</v>
      </c>
      <c r="D34" s="267"/>
      <c r="E34" s="268" t="s">
        <v>187</v>
      </c>
      <c r="F34" s="269"/>
      <c r="G34" s="269"/>
      <c r="H34" s="270"/>
      <c r="I34" s="93"/>
      <c r="J34" s="221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2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259">
        <v>30</v>
      </c>
      <c r="B36" s="259">
        <v>121.8846154</v>
      </c>
      <c r="C36" s="259"/>
      <c r="D36" s="259"/>
      <c r="E36" s="260"/>
      <c r="F36" s="260"/>
      <c r="G36" s="260"/>
      <c r="H36" s="260"/>
      <c r="I36" s="49">
        <f>IFERROR(B36/A36,"")</f>
        <v>4.0628205133333335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259">
        <v>35</v>
      </c>
      <c r="B37" s="259">
        <v>201.29</v>
      </c>
      <c r="C37" s="259">
        <v>1</v>
      </c>
      <c r="D37" s="259">
        <v>69.58</v>
      </c>
      <c r="E37" s="260">
        <v>1</v>
      </c>
      <c r="F37" s="260"/>
      <c r="G37" s="260"/>
      <c r="H37" s="260"/>
      <c r="I37" s="53">
        <f t="shared" ref="I37:I55" si="1">IF(A37&lt;&gt;0,(B37-(B36-D36))/(A37-A36),"")</f>
        <v>15.881076919999998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259">
        <v>41</v>
      </c>
      <c r="B38" s="259">
        <v>208.88</v>
      </c>
      <c r="C38" s="259">
        <v>2</v>
      </c>
      <c r="D38" s="259">
        <v>47.41</v>
      </c>
      <c r="E38" s="260">
        <v>1</v>
      </c>
      <c r="F38" s="260"/>
      <c r="G38" s="260"/>
      <c r="H38" s="260"/>
      <c r="I38" s="53">
        <f t="shared" si="1"/>
        <v>12.86166666666667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259">
        <v>48</v>
      </c>
      <c r="B39" s="259">
        <v>252.89</v>
      </c>
      <c r="C39" s="259">
        <v>3</v>
      </c>
      <c r="D39" s="259">
        <v>61.12</v>
      </c>
      <c r="E39" s="260">
        <v>1</v>
      </c>
      <c r="F39" s="260"/>
      <c r="G39" s="260"/>
      <c r="H39" s="260"/>
      <c r="I39" s="49">
        <f t="shared" si="1"/>
        <v>13.059999999999999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259">
        <v>55</v>
      </c>
      <c r="B40" s="259">
        <v>277.67</v>
      </c>
      <c r="C40" s="259">
        <v>4</v>
      </c>
      <c r="D40" s="259">
        <v>58.24</v>
      </c>
      <c r="E40" s="260">
        <v>1</v>
      </c>
      <c r="F40" s="260"/>
      <c r="G40" s="260"/>
      <c r="H40" s="260"/>
      <c r="I40" s="49">
        <f t="shared" si="1"/>
        <v>12.271428571428576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259">
        <v>63</v>
      </c>
      <c r="B41" s="259">
        <v>312.58999999999997</v>
      </c>
      <c r="C41" s="259">
        <v>5</v>
      </c>
      <c r="D41" s="259">
        <v>54.21</v>
      </c>
      <c r="E41" s="260">
        <v>1</v>
      </c>
      <c r="F41" s="260"/>
      <c r="G41" s="260"/>
      <c r="H41" s="260"/>
      <c r="I41" s="53">
        <f t="shared" si="1"/>
        <v>11.644999999999996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259">
        <v>71</v>
      </c>
      <c r="B42" s="259">
        <v>348.69</v>
      </c>
      <c r="C42" s="259">
        <v>6</v>
      </c>
      <c r="D42" s="259">
        <v>52.07</v>
      </c>
      <c r="E42" s="260">
        <v>1</v>
      </c>
      <c r="F42" s="260"/>
      <c r="G42" s="260"/>
      <c r="H42" s="260"/>
      <c r="I42" s="53">
        <f t="shared" si="1"/>
        <v>11.28875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259">
        <v>80</v>
      </c>
      <c r="B43" s="259">
        <v>395.71</v>
      </c>
      <c r="C43" s="259">
        <v>7</v>
      </c>
      <c r="D43" s="259">
        <v>59.57</v>
      </c>
      <c r="E43" s="260">
        <v>1</v>
      </c>
      <c r="F43" s="260"/>
      <c r="G43" s="260"/>
      <c r="H43" s="260"/>
      <c r="I43" s="49">
        <f t="shared" si="1"/>
        <v>11.009999999999998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259">
        <v>89</v>
      </c>
      <c r="B44" s="259">
        <v>429.83</v>
      </c>
      <c r="C44" s="259">
        <v>8</v>
      </c>
      <c r="D44" s="259">
        <v>64.5</v>
      </c>
      <c r="E44" s="260">
        <v>1</v>
      </c>
      <c r="F44" s="260"/>
      <c r="G44" s="260"/>
      <c r="H44" s="260"/>
      <c r="I44" s="49">
        <f t="shared" si="1"/>
        <v>10.41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259">
        <v>99</v>
      </c>
      <c r="B45" s="261">
        <v>464.8</v>
      </c>
      <c r="C45" s="259">
        <v>9</v>
      </c>
      <c r="D45" s="261">
        <v>62.94</v>
      </c>
      <c r="E45" s="260">
        <v>1</v>
      </c>
      <c r="F45" s="260"/>
      <c r="G45" s="260"/>
      <c r="H45" s="260"/>
      <c r="I45" s="49">
        <f t="shared" si="1"/>
        <v>9.9470000000000027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259">
        <v>109</v>
      </c>
      <c r="B46" s="262">
        <v>498.97</v>
      </c>
      <c r="C46" s="259">
        <v>10</v>
      </c>
      <c r="D46" s="262">
        <v>66.959999999999994</v>
      </c>
      <c r="E46" s="260">
        <v>1</v>
      </c>
      <c r="F46" s="260"/>
      <c r="G46" s="260"/>
      <c r="H46" s="260"/>
      <c r="I46" s="49">
        <f t="shared" si="1"/>
        <v>9.7110000000000021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259">
        <v>119</v>
      </c>
      <c r="B47" s="261">
        <v>526.04</v>
      </c>
      <c r="C47" s="259">
        <v>11</v>
      </c>
      <c r="D47" s="261">
        <v>196.46</v>
      </c>
      <c r="E47" s="260">
        <v>1</v>
      </c>
      <c r="F47" s="260"/>
      <c r="G47" s="260"/>
      <c r="H47" s="260"/>
      <c r="I47" s="49">
        <f t="shared" si="1"/>
        <v>9.4029999999999916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259">
        <v>123</v>
      </c>
      <c r="B48" s="261">
        <v>328.09</v>
      </c>
      <c r="C48" s="259">
        <v>12</v>
      </c>
      <c r="D48" s="261">
        <v>100.6</v>
      </c>
      <c r="E48" s="260">
        <v>1</v>
      </c>
      <c r="F48" s="260"/>
      <c r="G48" s="260"/>
      <c r="H48" s="260"/>
      <c r="I48" s="49">
        <f t="shared" si="1"/>
        <v>-0.37249999999998806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259">
        <v>127</v>
      </c>
      <c r="B49" s="261">
        <v>228.28</v>
      </c>
      <c r="C49" s="259">
        <v>13</v>
      </c>
      <c r="D49" s="261">
        <v>65.02</v>
      </c>
      <c r="E49" s="260">
        <v>1</v>
      </c>
      <c r="F49" s="260"/>
      <c r="G49" s="260"/>
      <c r="H49" s="260"/>
      <c r="I49" s="49">
        <f t="shared" si="1"/>
        <v>0.19750000000000512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261">
        <v>131</v>
      </c>
      <c r="B50" s="261">
        <v>163.65</v>
      </c>
      <c r="C50" s="261">
        <v>14</v>
      </c>
      <c r="D50" s="261">
        <v>143.84</v>
      </c>
      <c r="E50" s="260">
        <v>1</v>
      </c>
      <c r="F50" s="260"/>
      <c r="G50" s="260"/>
      <c r="H50" s="260"/>
      <c r="I50" s="49">
        <f t="shared" si="1"/>
        <v>9.7500000000003695E-2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261"/>
      <c r="B51" s="261"/>
      <c r="C51" s="261"/>
      <c r="D51" s="261"/>
      <c r="E51" s="260"/>
      <c r="F51" s="260"/>
      <c r="G51" s="260"/>
      <c r="H51" s="260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261"/>
      <c r="B52" s="261"/>
      <c r="C52" s="261"/>
      <c r="D52" s="261"/>
      <c r="E52" s="260"/>
      <c r="F52" s="260"/>
      <c r="G52" s="260"/>
      <c r="H52" s="260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261"/>
      <c r="B53" s="261"/>
      <c r="C53" s="261"/>
      <c r="D53" s="261"/>
      <c r="E53" s="260"/>
      <c r="F53" s="260"/>
      <c r="G53" s="260"/>
      <c r="H53" s="260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261"/>
      <c r="B54" s="261"/>
      <c r="C54" s="261"/>
      <c r="D54" s="261"/>
      <c r="E54" s="260"/>
      <c r="F54" s="260"/>
      <c r="G54" s="260"/>
      <c r="H54" s="260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261"/>
      <c r="B55" s="261"/>
      <c r="C55" s="261"/>
      <c r="D55" s="261"/>
      <c r="E55" s="260"/>
      <c r="F55" s="260"/>
      <c r="G55" s="260"/>
      <c r="H55" s="260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Hêtre</v>
      </c>
      <c r="D58" s="227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4" t="s">
        <v>185</v>
      </c>
      <c r="C60" s="267" t="s">
        <v>186</v>
      </c>
      <c r="D60" s="267"/>
      <c r="E60" s="268" t="s">
        <v>187</v>
      </c>
      <c r="F60" s="269"/>
      <c r="G60" s="269"/>
      <c r="H60" s="270"/>
      <c r="I60" s="93"/>
      <c r="J60" s="221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2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261">
        <v>20</v>
      </c>
      <c r="B62" s="261">
        <v>32</v>
      </c>
      <c r="C62" s="261"/>
      <c r="D62" s="261">
        <v>0</v>
      </c>
      <c r="E62" s="260"/>
      <c r="F62" s="260"/>
      <c r="G62" s="260"/>
      <c r="H62" s="260"/>
      <c r="I62" s="53">
        <f>IFERROR(B62/A62,"")</f>
        <v>1.6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261">
        <v>25</v>
      </c>
      <c r="B63" s="261">
        <v>76</v>
      </c>
      <c r="C63" s="261">
        <v>1</v>
      </c>
      <c r="D63" s="261">
        <v>7</v>
      </c>
      <c r="E63" s="260"/>
      <c r="F63" s="260"/>
      <c r="G63" s="260"/>
      <c r="H63" s="260">
        <v>1</v>
      </c>
      <c r="I63" s="49">
        <f>IF(A63&lt;&gt;0,(B63-(B62-D62))/(A63-A62),"")</f>
        <v>8.8000000000000007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261">
        <v>30</v>
      </c>
      <c r="B64" s="261">
        <v>116</v>
      </c>
      <c r="C64" s="261">
        <v>2</v>
      </c>
      <c r="D64" s="261">
        <v>28</v>
      </c>
      <c r="E64" s="260"/>
      <c r="F64" s="260"/>
      <c r="G64" s="260"/>
      <c r="H64" s="260">
        <v>1</v>
      </c>
      <c r="I64" s="49">
        <f>IF(A64&lt;&gt;0,(B64-(B63-D63))/(A64-A63),"")</f>
        <v>9.4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261">
        <v>35</v>
      </c>
      <c r="B65" s="261">
        <v>139</v>
      </c>
      <c r="C65" s="261">
        <v>3</v>
      </c>
      <c r="D65" s="261">
        <v>28</v>
      </c>
      <c r="E65" s="260">
        <v>1</v>
      </c>
      <c r="F65" s="260"/>
      <c r="G65" s="260"/>
      <c r="H65" s="260"/>
      <c r="I65" s="49">
        <f>IF(A65&lt;&gt;0,(B65-(B64-D64))/(A65-A64),"")</f>
        <v>10.199999999999999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261">
        <v>40</v>
      </c>
      <c r="B66" s="261">
        <v>163</v>
      </c>
      <c r="C66" s="261">
        <v>4</v>
      </c>
      <c r="D66" s="261">
        <v>28</v>
      </c>
      <c r="E66" s="260">
        <v>1</v>
      </c>
      <c r="F66" s="260"/>
      <c r="G66" s="260"/>
      <c r="H66" s="260"/>
      <c r="I66" s="49">
        <f t="shared" ref="I66:I81" si="2">IF(A66&lt;&gt;0,(B66-(B65-D65))/(A66-A65),"")</f>
        <v>10.4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261">
        <v>45</v>
      </c>
      <c r="B67" s="261">
        <v>190</v>
      </c>
      <c r="C67" s="261">
        <v>5</v>
      </c>
      <c r="D67" s="261">
        <v>28</v>
      </c>
      <c r="E67" s="260">
        <v>1</v>
      </c>
      <c r="F67" s="260"/>
      <c r="G67" s="260"/>
      <c r="H67" s="260"/>
      <c r="I67" s="49">
        <f t="shared" si="2"/>
        <v>11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261">
        <v>50</v>
      </c>
      <c r="B68" s="261">
        <v>217</v>
      </c>
      <c r="C68" s="261">
        <v>6</v>
      </c>
      <c r="D68" s="261">
        <v>28</v>
      </c>
      <c r="E68" s="260">
        <v>1</v>
      </c>
      <c r="F68" s="260"/>
      <c r="G68" s="260"/>
      <c r="H68" s="260"/>
      <c r="I68" s="49">
        <f t="shared" si="2"/>
        <v>11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261">
        <v>55</v>
      </c>
      <c r="B69" s="261">
        <v>244</v>
      </c>
      <c r="C69" s="261">
        <v>7</v>
      </c>
      <c r="D69" s="261">
        <v>28</v>
      </c>
      <c r="E69" s="260">
        <v>1</v>
      </c>
      <c r="F69" s="260"/>
      <c r="G69" s="260"/>
      <c r="H69" s="260"/>
      <c r="I69" s="49">
        <f t="shared" si="2"/>
        <v>11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261">
        <v>60</v>
      </c>
      <c r="B70" s="261">
        <v>270</v>
      </c>
      <c r="C70" s="261">
        <v>8</v>
      </c>
      <c r="D70" s="261">
        <v>28</v>
      </c>
      <c r="E70" s="260">
        <v>1</v>
      </c>
      <c r="F70" s="260"/>
      <c r="G70" s="260"/>
      <c r="H70" s="260"/>
      <c r="I70" s="49">
        <f t="shared" si="2"/>
        <v>10.8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261">
        <v>65</v>
      </c>
      <c r="B71" s="261">
        <v>294</v>
      </c>
      <c r="C71" s="261">
        <v>9</v>
      </c>
      <c r="D71" s="261">
        <v>28</v>
      </c>
      <c r="E71" s="260">
        <v>1</v>
      </c>
      <c r="F71" s="260"/>
      <c r="G71" s="260"/>
      <c r="H71" s="260"/>
      <c r="I71" s="49">
        <f t="shared" si="2"/>
        <v>10.4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261">
        <v>70</v>
      </c>
      <c r="B72" s="261">
        <v>316</v>
      </c>
      <c r="C72" s="261">
        <v>10</v>
      </c>
      <c r="D72" s="261">
        <v>28</v>
      </c>
      <c r="E72" s="260">
        <v>1</v>
      </c>
      <c r="F72" s="260"/>
      <c r="G72" s="260"/>
      <c r="H72" s="260"/>
      <c r="I72" s="49">
        <f t="shared" si="2"/>
        <v>10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261">
        <v>75</v>
      </c>
      <c r="B73" s="261">
        <v>335</v>
      </c>
      <c r="C73" s="261">
        <v>11</v>
      </c>
      <c r="D73" s="261">
        <v>28</v>
      </c>
      <c r="E73" s="260">
        <v>1</v>
      </c>
      <c r="F73" s="260"/>
      <c r="G73" s="260"/>
      <c r="H73" s="260"/>
      <c r="I73" s="49">
        <f t="shared" si="2"/>
        <v>9.4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261">
        <v>80</v>
      </c>
      <c r="B74" s="261">
        <v>351</v>
      </c>
      <c r="C74" s="261">
        <v>12</v>
      </c>
      <c r="D74" s="261">
        <v>28</v>
      </c>
      <c r="E74" s="260">
        <v>1</v>
      </c>
      <c r="F74" s="260"/>
      <c r="G74" s="260"/>
      <c r="H74" s="260"/>
      <c r="I74" s="49">
        <f t="shared" si="2"/>
        <v>8.8000000000000007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261">
        <v>85</v>
      </c>
      <c r="B75" s="261">
        <v>365</v>
      </c>
      <c r="C75" s="261">
        <v>13</v>
      </c>
      <c r="D75" s="261">
        <v>27</v>
      </c>
      <c r="E75" s="260">
        <v>1</v>
      </c>
      <c r="F75" s="260"/>
      <c r="G75" s="260"/>
      <c r="H75" s="260"/>
      <c r="I75" s="49">
        <f t="shared" si="2"/>
        <v>8.4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261">
        <v>90</v>
      </c>
      <c r="B76" s="261">
        <v>377</v>
      </c>
      <c r="C76" s="261">
        <v>14</v>
      </c>
      <c r="D76" s="261">
        <v>26</v>
      </c>
      <c r="E76" s="260">
        <v>1</v>
      </c>
      <c r="F76" s="260"/>
      <c r="G76" s="260"/>
      <c r="H76" s="260"/>
      <c r="I76" s="49">
        <f t="shared" si="2"/>
        <v>7.8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256">
        <v>95</v>
      </c>
      <c r="B77" s="257">
        <v>389</v>
      </c>
      <c r="C77" s="256">
        <v>15</v>
      </c>
      <c r="D77" s="256">
        <v>25</v>
      </c>
      <c r="E77" s="255">
        <v>1</v>
      </c>
      <c r="F77" s="255"/>
      <c r="G77" s="255"/>
      <c r="H77" s="255"/>
      <c r="I77" s="49">
        <f t="shared" si="2"/>
        <v>7.6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256">
        <v>100</v>
      </c>
      <c r="B78" s="257">
        <v>400</v>
      </c>
      <c r="C78" s="256">
        <v>16</v>
      </c>
      <c r="D78" s="256">
        <v>24</v>
      </c>
      <c r="E78" s="255">
        <v>1</v>
      </c>
      <c r="F78" s="255"/>
      <c r="G78" s="255"/>
      <c r="H78" s="255"/>
      <c r="I78" s="49">
        <f t="shared" si="2"/>
        <v>7.2</v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256">
        <v>105</v>
      </c>
      <c r="B79" s="257">
        <v>409</v>
      </c>
      <c r="C79" s="256">
        <v>17</v>
      </c>
      <c r="D79" s="256">
        <v>23</v>
      </c>
      <c r="E79" s="255">
        <v>1</v>
      </c>
      <c r="F79" s="255"/>
      <c r="G79" s="255"/>
      <c r="H79" s="255"/>
      <c r="I79" s="49">
        <f t="shared" si="2"/>
        <v>6.6</v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256">
        <v>110</v>
      </c>
      <c r="B80" s="257">
        <v>420</v>
      </c>
      <c r="C80" s="256">
        <v>18</v>
      </c>
      <c r="D80" s="256">
        <v>22</v>
      </c>
      <c r="E80" s="255">
        <v>1</v>
      </c>
      <c r="F80" s="255"/>
      <c r="G80" s="255"/>
      <c r="H80" s="255"/>
      <c r="I80" s="49">
        <f t="shared" si="2"/>
        <v>6.8</v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256">
        <v>115</v>
      </c>
      <c r="B81" s="257">
        <v>426</v>
      </c>
      <c r="C81" s="256">
        <v>19</v>
      </c>
      <c r="D81" s="258">
        <v>22</v>
      </c>
      <c r="E81" s="255">
        <v>1</v>
      </c>
      <c r="F81" s="255"/>
      <c r="G81" s="255"/>
      <c r="H81" s="255"/>
      <c r="I81" s="49">
        <f t="shared" si="2"/>
        <v>5.6</v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Merisier</v>
      </c>
      <c r="D84" s="227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4" t="s">
        <v>185</v>
      </c>
      <c r="C86" s="267" t="s">
        <v>186</v>
      </c>
      <c r="D86" s="267"/>
      <c r="E86" s="268" t="s">
        <v>187</v>
      </c>
      <c r="F86" s="269"/>
      <c r="G86" s="269"/>
      <c r="H86" s="270"/>
      <c r="I86" s="93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261">
        <v>15</v>
      </c>
      <c r="B88" s="261">
        <v>40</v>
      </c>
      <c r="C88" s="261">
        <v>1</v>
      </c>
      <c r="D88" s="261">
        <v>3</v>
      </c>
      <c r="E88" s="260"/>
      <c r="F88" s="260"/>
      <c r="G88" s="260"/>
      <c r="H88" s="260">
        <v>1</v>
      </c>
      <c r="I88" s="53">
        <f>IFERROR(B88/A88,"")</f>
        <v>2.6666666666666665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261">
        <v>20</v>
      </c>
      <c r="B89" s="261">
        <v>85</v>
      </c>
      <c r="C89" s="261">
        <v>2</v>
      </c>
      <c r="D89" s="261">
        <v>25</v>
      </c>
      <c r="E89" s="260"/>
      <c r="F89" s="260"/>
      <c r="G89" s="260"/>
      <c r="H89" s="260">
        <v>1</v>
      </c>
      <c r="I89" s="53">
        <f t="shared" ref="I89:I107" si="3">IF(A89&lt;&gt;0,(B89-(B88-D88))/(A89-A88),"")</f>
        <v>9.6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261">
        <v>25</v>
      </c>
      <c r="B90" s="261">
        <v>113</v>
      </c>
      <c r="C90" s="261">
        <v>3</v>
      </c>
      <c r="D90" s="261">
        <v>27</v>
      </c>
      <c r="E90" s="260"/>
      <c r="F90" s="260"/>
      <c r="G90" s="260"/>
      <c r="H90" s="260">
        <v>1</v>
      </c>
      <c r="I90" s="53">
        <f t="shared" si="3"/>
        <v>10.6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261">
        <v>31</v>
      </c>
      <c r="B91" s="261">
        <v>155</v>
      </c>
      <c r="C91" s="261">
        <v>4</v>
      </c>
      <c r="D91" s="261">
        <v>36</v>
      </c>
      <c r="E91" s="260">
        <v>1</v>
      </c>
      <c r="F91" s="260"/>
      <c r="G91" s="260"/>
      <c r="H91" s="260"/>
      <c r="I91" s="53">
        <f t="shared" si="3"/>
        <v>11.5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261">
        <v>37</v>
      </c>
      <c r="B92" s="261">
        <v>188</v>
      </c>
      <c r="C92" s="261">
        <v>5</v>
      </c>
      <c r="D92" s="261">
        <v>36</v>
      </c>
      <c r="E92" s="260">
        <v>1</v>
      </c>
      <c r="F92" s="260"/>
      <c r="G92" s="260"/>
      <c r="H92" s="260"/>
      <c r="I92" s="53">
        <f t="shared" si="3"/>
        <v>11.5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261">
        <v>44</v>
      </c>
      <c r="B93" s="261">
        <v>230</v>
      </c>
      <c r="C93" s="261">
        <v>6</v>
      </c>
      <c r="D93" s="261">
        <v>43</v>
      </c>
      <c r="E93" s="260">
        <v>1</v>
      </c>
      <c r="F93" s="260"/>
      <c r="G93" s="260"/>
      <c r="H93" s="260"/>
      <c r="I93" s="53">
        <f t="shared" si="3"/>
        <v>11.142857142857142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261">
        <v>52</v>
      </c>
      <c r="B94" s="261">
        <v>270</v>
      </c>
      <c r="C94" s="261">
        <v>7</v>
      </c>
      <c r="D94" s="261">
        <v>48</v>
      </c>
      <c r="E94" s="260">
        <v>1</v>
      </c>
      <c r="F94" s="260"/>
      <c r="G94" s="260"/>
      <c r="H94" s="260"/>
      <c r="I94" s="53">
        <f t="shared" si="3"/>
        <v>10.375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261">
        <v>60</v>
      </c>
      <c r="B95" s="261">
        <v>297</v>
      </c>
      <c r="C95" s="261">
        <v>8</v>
      </c>
      <c r="D95" s="261">
        <v>47</v>
      </c>
      <c r="E95" s="260">
        <v>1</v>
      </c>
      <c r="F95" s="260"/>
      <c r="G95" s="260"/>
      <c r="H95" s="260"/>
      <c r="I95" s="53">
        <f t="shared" si="3"/>
        <v>9.375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261">
        <v>69</v>
      </c>
      <c r="B96" s="261">
        <v>328</v>
      </c>
      <c r="C96" s="261"/>
      <c r="D96" s="261"/>
      <c r="E96" s="260"/>
      <c r="F96" s="260"/>
      <c r="G96" s="260"/>
      <c r="H96" s="260"/>
      <c r="I96" s="53">
        <f t="shared" si="3"/>
        <v>8.6666666666666661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261"/>
      <c r="B97" s="261"/>
      <c r="C97" s="261"/>
      <c r="D97" s="261"/>
      <c r="E97" s="260"/>
      <c r="F97" s="260"/>
      <c r="G97" s="260"/>
      <c r="H97" s="260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261"/>
      <c r="B98" s="261"/>
      <c r="C98" s="261"/>
      <c r="D98" s="261"/>
      <c r="E98" s="260"/>
      <c r="F98" s="260"/>
      <c r="G98" s="260"/>
      <c r="H98" s="260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261"/>
      <c r="B99" s="261"/>
      <c r="C99" s="261"/>
      <c r="D99" s="261"/>
      <c r="E99" s="260"/>
      <c r="F99" s="260"/>
      <c r="G99" s="260"/>
      <c r="H99" s="260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261"/>
      <c r="B100" s="261"/>
      <c r="C100" s="261"/>
      <c r="D100" s="261"/>
      <c r="E100" s="260"/>
      <c r="F100" s="260"/>
      <c r="G100" s="260"/>
      <c r="H100" s="260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261"/>
      <c r="B101" s="261"/>
      <c r="C101" s="261"/>
      <c r="D101" s="261"/>
      <c r="E101" s="260"/>
      <c r="F101" s="260"/>
      <c r="G101" s="260"/>
      <c r="H101" s="260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261"/>
      <c r="B102" s="261"/>
      <c r="C102" s="261"/>
      <c r="D102" s="261"/>
      <c r="E102" s="260"/>
      <c r="F102" s="260"/>
      <c r="G102" s="260"/>
      <c r="H102" s="260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256"/>
      <c r="B103" s="257"/>
      <c r="C103" s="256"/>
      <c r="D103" s="256"/>
      <c r="E103" s="255"/>
      <c r="F103" s="255"/>
      <c r="G103" s="255"/>
      <c r="H103" s="255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256"/>
      <c r="B104" s="257"/>
      <c r="C104" s="256"/>
      <c r="D104" s="256"/>
      <c r="E104" s="255"/>
      <c r="F104" s="255"/>
      <c r="G104" s="255"/>
      <c r="H104" s="255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256"/>
      <c r="B105" s="257"/>
      <c r="C105" s="256"/>
      <c r="D105" s="256"/>
      <c r="E105" s="255"/>
      <c r="F105" s="255"/>
      <c r="G105" s="255"/>
      <c r="H105" s="255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256"/>
      <c r="B106" s="257"/>
      <c r="C106" s="256"/>
      <c r="D106" s="256"/>
      <c r="E106" s="255"/>
      <c r="F106" s="255"/>
      <c r="G106" s="255"/>
      <c r="H106" s="255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256"/>
      <c r="B107" s="257"/>
      <c r="C107" s="256"/>
      <c r="D107" s="258"/>
      <c r="E107" s="255"/>
      <c r="F107" s="255"/>
      <c r="G107" s="255"/>
      <c r="H107" s="255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>Alisier torminal</v>
      </c>
      <c r="D110" s="227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4" t="s">
        <v>185</v>
      </c>
      <c r="C112" s="267" t="s">
        <v>186</v>
      </c>
      <c r="D112" s="267"/>
      <c r="E112" s="268" t="s">
        <v>187</v>
      </c>
      <c r="F112" s="269"/>
      <c r="G112" s="269"/>
      <c r="H112" s="270"/>
      <c r="I112" s="93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261">
        <v>30</v>
      </c>
      <c r="B114" s="261">
        <v>121.8846154</v>
      </c>
      <c r="C114" s="261"/>
      <c r="D114" s="261"/>
      <c r="E114" s="260"/>
      <c r="F114" s="260"/>
      <c r="G114" s="260"/>
      <c r="H114" s="260"/>
      <c r="I114" s="53">
        <f>IFERROR(B114/A114,"")</f>
        <v>4.0628205133333335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261">
        <v>35</v>
      </c>
      <c r="B115" s="261">
        <v>201.29</v>
      </c>
      <c r="C115" s="261">
        <v>1</v>
      </c>
      <c r="D115" s="261">
        <v>69.58</v>
      </c>
      <c r="E115" s="260">
        <v>1</v>
      </c>
      <c r="F115" s="260"/>
      <c r="G115" s="260"/>
      <c r="H115" s="260"/>
      <c r="I115" s="53">
        <f t="shared" ref="I115:I133" si="4">IF(A115&lt;&gt;0,(B115-(B114-D114))/(A115-A114),"")</f>
        <v>15.881076919999998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261">
        <v>41</v>
      </c>
      <c r="B116" s="261">
        <v>208.88</v>
      </c>
      <c r="C116" s="261">
        <v>2</v>
      </c>
      <c r="D116" s="261">
        <v>47.41</v>
      </c>
      <c r="E116" s="260">
        <v>1</v>
      </c>
      <c r="F116" s="260"/>
      <c r="G116" s="260"/>
      <c r="H116" s="260"/>
      <c r="I116" s="53">
        <f t="shared" si="4"/>
        <v>12.86166666666667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261">
        <v>48</v>
      </c>
      <c r="B117" s="261">
        <v>252.89</v>
      </c>
      <c r="C117" s="261">
        <v>3</v>
      </c>
      <c r="D117" s="261">
        <v>61.12</v>
      </c>
      <c r="E117" s="260">
        <v>1</v>
      </c>
      <c r="F117" s="260"/>
      <c r="G117" s="260"/>
      <c r="H117" s="260"/>
      <c r="I117" s="53">
        <f t="shared" si="4"/>
        <v>13.059999999999999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261">
        <v>55</v>
      </c>
      <c r="B118" s="261">
        <v>277.67</v>
      </c>
      <c r="C118" s="261">
        <v>4</v>
      </c>
      <c r="D118" s="261">
        <v>58.24</v>
      </c>
      <c r="E118" s="260">
        <v>1</v>
      </c>
      <c r="F118" s="260"/>
      <c r="G118" s="260"/>
      <c r="H118" s="260"/>
      <c r="I118" s="53">
        <f t="shared" si="4"/>
        <v>12.271428571428576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261">
        <v>63</v>
      </c>
      <c r="B119" s="261">
        <v>312.58999999999997</v>
      </c>
      <c r="C119" s="261">
        <v>5</v>
      </c>
      <c r="D119" s="261">
        <v>54.21</v>
      </c>
      <c r="E119" s="260">
        <v>1</v>
      </c>
      <c r="F119" s="260"/>
      <c r="G119" s="260"/>
      <c r="H119" s="260"/>
      <c r="I119" s="53">
        <f t="shared" si="4"/>
        <v>11.644999999999996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261">
        <v>71</v>
      </c>
      <c r="B120" s="261">
        <v>348.69</v>
      </c>
      <c r="C120" s="261">
        <v>6</v>
      </c>
      <c r="D120" s="261">
        <v>52.07</v>
      </c>
      <c r="E120" s="260">
        <v>1</v>
      </c>
      <c r="F120" s="260"/>
      <c r="G120" s="260"/>
      <c r="H120" s="260"/>
      <c r="I120" s="53">
        <f t="shared" si="4"/>
        <v>11.28875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261">
        <v>80</v>
      </c>
      <c r="B121" s="261">
        <v>395.71</v>
      </c>
      <c r="C121" s="261">
        <v>7</v>
      </c>
      <c r="D121" s="261">
        <v>59.57</v>
      </c>
      <c r="E121" s="260">
        <v>1</v>
      </c>
      <c r="F121" s="260"/>
      <c r="G121" s="260"/>
      <c r="H121" s="260"/>
      <c r="I121" s="53">
        <f t="shared" si="4"/>
        <v>11.009999999999998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261">
        <v>89</v>
      </c>
      <c r="B122" s="261">
        <v>429.83</v>
      </c>
      <c r="C122" s="261">
        <v>8</v>
      </c>
      <c r="D122" s="261">
        <v>64.5</v>
      </c>
      <c r="E122" s="260">
        <v>1</v>
      </c>
      <c r="F122" s="260"/>
      <c r="G122" s="260"/>
      <c r="H122" s="260"/>
      <c r="I122" s="53">
        <f t="shared" si="4"/>
        <v>10.41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261">
        <v>99</v>
      </c>
      <c r="B123" s="261">
        <v>464.8</v>
      </c>
      <c r="C123" s="261">
        <v>9</v>
      </c>
      <c r="D123" s="261">
        <v>62.94</v>
      </c>
      <c r="E123" s="260">
        <v>1</v>
      </c>
      <c r="F123" s="260"/>
      <c r="G123" s="260"/>
      <c r="H123" s="260"/>
      <c r="I123" s="53">
        <f t="shared" si="4"/>
        <v>9.9470000000000027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261">
        <v>109</v>
      </c>
      <c r="B124" s="261">
        <v>498.97</v>
      </c>
      <c r="C124" s="261">
        <v>10</v>
      </c>
      <c r="D124" s="261">
        <v>66.959999999999994</v>
      </c>
      <c r="E124" s="260">
        <v>1</v>
      </c>
      <c r="F124" s="260"/>
      <c r="G124" s="260"/>
      <c r="H124" s="260"/>
      <c r="I124" s="53">
        <f t="shared" si="4"/>
        <v>9.7110000000000021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261">
        <v>119</v>
      </c>
      <c r="B125" s="261">
        <v>526.04</v>
      </c>
      <c r="C125" s="261">
        <v>11</v>
      </c>
      <c r="D125" s="261">
        <v>196.46</v>
      </c>
      <c r="E125" s="260">
        <v>1</v>
      </c>
      <c r="F125" s="260"/>
      <c r="G125" s="260"/>
      <c r="H125" s="260"/>
      <c r="I125" s="53">
        <f t="shared" si="4"/>
        <v>9.4029999999999916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261">
        <v>123</v>
      </c>
      <c r="B126" s="261">
        <v>328.09</v>
      </c>
      <c r="C126" s="261">
        <v>12</v>
      </c>
      <c r="D126" s="261">
        <v>100.6</v>
      </c>
      <c r="E126" s="260">
        <v>1</v>
      </c>
      <c r="F126" s="260"/>
      <c r="G126" s="260"/>
      <c r="H126" s="260"/>
      <c r="I126" s="53">
        <f t="shared" si="4"/>
        <v>-0.37249999999998806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261">
        <v>127</v>
      </c>
      <c r="B127" s="261">
        <v>228.28</v>
      </c>
      <c r="C127" s="261">
        <v>13</v>
      </c>
      <c r="D127" s="261">
        <v>65.02</v>
      </c>
      <c r="E127" s="260">
        <v>1</v>
      </c>
      <c r="F127" s="260"/>
      <c r="G127" s="260"/>
      <c r="H127" s="260"/>
      <c r="I127" s="53">
        <f t="shared" si="4"/>
        <v>0.19750000000000512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261">
        <v>131</v>
      </c>
      <c r="B128" s="261">
        <v>163.65</v>
      </c>
      <c r="C128" s="261">
        <v>14</v>
      </c>
      <c r="D128" s="261">
        <v>143.84</v>
      </c>
      <c r="E128" s="260">
        <v>1</v>
      </c>
      <c r="F128" s="260"/>
      <c r="G128" s="260"/>
      <c r="H128" s="260"/>
      <c r="I128" s="53">
        <f t="shared" si="4"/>
        <v>9.7500000000003695E-2</v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261"/>
      <c r="B129" s="261"/>
      <c r="C129" s="261"/>
      <c r="D129" s="261"/>
      <c r="E129" s="260"/>
      <c r="F129" s="260"/>
      <c r="G129" s="260"/>
      <c r="H129" s="260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261"/>
      <c r="B130" s="261"/>
      <c r="C130" s="261"/>
      <c r="D130" s="261"/>
      <c r="E130" s="260"/>
      <c r="F130" s="260"/>
      <c r="G130" s="260"/>
      <c r="H130" s="260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261"/>
      <c r="B131" s="261"/>
      <c r="C131" s="261"/>
      <c r="D131" s="261"/>
      <c r="E131" s="260"/>
      <c r="F131" s="260"/>
      <c r="G131" s="260"/>
      <c r="H131" s="260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261"/>
      <c r="B132" s="261"/>
      <c r="C132" s="261"/>
      <c r="D132" s="261"/>
      <c r="E132" s="260"/>
      <c r="F132" s="260"/>
      <c r="G132" s="260"/>
      <c r="H132" s="260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261"/>
      <c r="B133" s="261"/>
      <c r="C133" s="261"/>
      <c r="D133" s="261"/>
      <c r="E133" s="260"/>
      <c r="F133" s="260"/>
      <c r="G133" s="260"/>
      <c r="H133" s="260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>Charme</v>
      </c>
      <c r="D136" s="227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4" t="s">
        <v>185</v>
      </c>
      <c r="C138" s="267" t="s">
        <v>186</v>
      </c>
      <c r="D138" s="267"/>
      <c r="E138" s="268" t="s">
        <v>187</v>
      </c>
      <c r="F138" s="269"/>
      <c r="G138" s="269"/>
      <c r="H138" s="270"/>
      <c r="I138" s="93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>
        <v>30</v>
      </c>
      <c r="B140" s="60">
        <v>121.8846154</v>
      </c>
      <c r="C140" s="50"/>
      <c r="D140" s="60"/>
      <c r="E140" s="51"/>
      <c r="F140" s="51"/>
      <c r="G140" s="51"/>
      <c r="H140" s="51"/>
      <c r="I140" s="57">
        <f>IFERROR(B140/A140,"")</f>
        <v>4.0628205133333335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>
        <v>35</v>
      </c>
      <c r="B141" s="60">
        <v>201.29</v>
      </c>
      <c r="C141" s="50">
        <v>1</v>
      </c>
      <c r="D141" s="60">
        <v>69.58</v>
      </c>
      <c r="E141" s="51">
        <v>1</v>
      </c>
      <c r="F141" s="51"/>
      <c r="G141" s="51"/>
      <c r="H141" s="51"/>
      <c r="I141" s="57">
        <f t="shared" ref="I141:I159" si="5">IF(A141&lt;&gt;0,(B141-(B140-D140))/(A141-A140),"")</f>
        <v>15.881076919999998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>
        <v>41</v>
      </c>
      <c r="B142" s="60">
        <v>208.88</v>
      </c>
      <c r="C142" s="50">
        <v>2</v>
      </c>
      <c r="D142" s="60">
        <v>47.41</v>
      </c>
      <c r="E142" s="51">
        <v>1</v>
      </c>
      <c r="F142" s="51"/>
      <c r="G142" s="51"/>
      <c r="H142" s="51"/>
      <c r="I142" s="57">
        <f t="shared" si="5"/>
        <v>12.86166666666667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>
        <v>48</v>
      </c>
      <c r="B143" s="60">
        <v>252.89</v>
      </c>
      <c r="C143" s="50">
        <v>3</v>
      </c>
      <c r="D143" s="60">
        <v>61.12</v>
      </c>
      <c r="E143" s="51">
        <v>1</v>
      </c>
      <c r="F143" s="51"/>
      <c r="G143" s="51"/>
      <c r="H143" s="51"/>
      <c r="I143" s="57">
        <f t="shared" si="5"/>
        <v>13.059999999999999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>
        <v>55</v>
      </c>
      <c r="B144" s="60">
        <v>277.67</v>
      </c>
      <c r="C144" s="50">
        <v>4</v>
      </c>
      <c r="D144" s="60">
        <v>58.24</v>
      </c>
      <c r="E144" s="51">
        <v>1</v>
      </c>
      <c r="F144" s="51"/>
      <c r="G144" s="51"/>
      <c r="H144" s="51"/>
      <c r="I144" s="57">
        <f t="shared" si="5"/>
        <v>12.271428571428576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>
        <v>63</v>
      </c>
      <c r="B145" s="60">
        <v>312.58999999999997</v>
      </c>
      <c r="C145" s="50">
        <v>5</v>
      </c>
      <c r="D145" s="60">
        <v>54.21</v>
      </c>
      <c r="E145" s="51">
        <v>1</v>
      </c>
      <c r="F145" s="51"/>
      <c r="G145" s="51"/>
      <c r="H145" s="51"/>
      <c r="I145" s="57">
        <f t="shared" si="5"/>
        <v>11.644999999999996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>
        <v>71</v>
      </c>
      <c r="B146" s="60">
        <v>348.69</v>
      </c>
      <c r="C146" s="50">
        <v>6</v>
      </c>
      <c r="D146" s="60">
        <v>52.07</v>
      </c>
      <c r="E146" s="51">
        <v>1</v>
      </c>
      <c r="F146" s="51"/>
      <c r="G146" s="51"/>
      <c r="H146" s="51"/>
      <c r="I146" s="57">
        <f t="shared" si="5"/>
        <v>11.28875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>
        <v>80</v>
      </c>
      <c r="B147" s="60">
        <v>395.71</v>
      </c>
      <c r="C147" s="50">
        <v>7</v>
      </c>
      <c r="D147" s="60">
        <v>59.57</v>
      </c>
      <c r="E147" s="51">
        <v>1</v>
      </c>
      <c r="F147" s="51"/>
      <c r="G147" s="51"/>
      <c r="H147" s="51"/>
      <c r="I147" s="57">
        <f>IF(A147&lt;&gt;0,(B147-(B146-D146))/(A147-A146),"")</f>
        <v>11.009999999999998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>
        <v>89</v>
      </c>
      <c r="B148" s="60">
        <v>429.83</v>
      </c>
      <c r="C148" s="50">
        <v>8</v>
      </c>
      <c r="D148" s="60">
        <v>64.5</v>
      </c>
      <c r="E148" s="51">
        <v>1</v>
      </c>
      <c r="F148" s="51"/>
      <c r="G148" s="51"/>
      <c r="H148" s="51"/>
      <c r="I148" s="57">
        <f t="shared" si="5"/>
        <v>10.41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>
        <v>99</v>
      </c>
      <c r="B149" s="60">
        <v>464.8</v>
      </c>
      <c r="C149" s="50">
        <v>9</v>
      </c>
      <c r="D149" s="60">
        <v>62.94</v>
      </c>
      <c r="E149" s="51">
        <v>1</v>
      </c>
      <c r="F149" s="51"/>
      <c r="G149" s="51"/>
      <c r="H149" s="51"/>
      <c r="I149" s="57">
        <f t="shared" si="5"/>
        <v>9.9470000000000027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>
        <v>109</v>
      </c>
      <c r="B150" s="60">
        <v>498.97</v>
      </c>
      <c r="C150" s="50">
        <v>10</v>
      </c>
      <c r="D150" s="60">
        <v>66.959999999999994</v>
      </c>
      <c r="E150" s="51">
        <v>1</v>
      </c>
      <c r="F150" s="51"/>
      <c r="G150" s="51"/>
      <c r="H150" s="51"/>
      <c r="I150" s="57">
        <f t="shared" si="5"/>
        <v>9.7110000000000021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>
        <v>119</v>
      </c>
      <c r="B151" s="60">
        <v>526.04</v>
      </c>
      <c r="C151" s="50">
        <v>11</v>
      </c>
      <c r="D151" s="60">
        <v>196.46</v>
      </c>
      <c r="E151" s="51">
        <v>1</v>
      </c>
      <c r="F151" s="51"/>
      <c r="G151" s="51"/>
      <c r="H151" s="51"/>
      <c r="I151" s="57">
        <f t="shared" si="5"/>
        <v>9.4029999999999916</v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>
        <v>123</v>
      </c>
      <c r="B152" s="60">
        <v>328.09</v>
      </c>
      <c r="C152" s="50">
        <v>12</v>
      </c>
      <c r="D152" s="60">
        <v>100.6</v>
      </c>
      <c r="E152" s="54">
        <v>1</v>
      </c>
      <c r="F152" s="54"/>
      <c r="G152" s="54"/>
      <c r="H152" s="54"/>
      <c r="I152" s="57">
        <f t="shared" si="5"/>
        <v>-0.37249999999998806</v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>
        <v>127</v>
      </c>
      <c r="B153" s="60">
        <v>228.28</v>
      </c>
      <c r="C153" s="50">
        <v>13</v>
      </c>
      <c r="D153" s="60">
        <v>65.02</v>
      </c>
      <c r="E153" s="54">
        <v>1</v>
      </c>
      <c r="F153" s="54"/>
      <c r="G153" s="54"/>
      <c r="H153" s="54"/>
      <c r="I153" s="57">
        <f t="shared" si="5"/>
        <v>0.19750000000000512</v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>
        <v>131</v>
      </c>
      <c r="B154" s="56">
        <v>163.65</v>
      </c>
      <c r="C154" s="50">
        <v>14</v>
      </c>
      <c r="D154" s="50">
        <v>143.84</v>
      </c>
      <c r="E154" s="54">
        <v>1</v>
      </c>
      <c r="F154" s="54"/>
      <c r="G154" s="54"/>
      <c r="H154" s="54"/>
      <c r="I154" s="57">
        <f t="shared" si="5"/>
        <v>9.7500000000003695E-2</v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7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4" t="s">
        <v>185</v>
      </c>
      <c r="C164" s="267" t="s">
        <v>186</v>
      </c>
      <c r="D164" s="267"/>
      <c r="E164" s="268" t="s">
        <v>187</v>
      </c>
      <c r="F164" s="269"/>
      <c r="G164" s="269"/>
      <c r="H164" s="270"/>
      <c r="I164" s="93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7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4" t="s">
        <v>185</v>
      </c>
      <c r="C190" s="267" t="s">
        <v>186</v>
      </c>
      <c r="D190" s="267"/>
      <c r="E190" s="268" t="s">
        <v>187</v>
      </c>
      <c r="F190" s="269"/>
      <c r="G190" s="269"/>
      <c r="H190" s="270"/>
      <c r="I190" s="93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7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4" t="s">
        <v>185</v>
      </c>
      <c r="C216" s="267" t="s">
        <v>186</v>
      </c>
      <c r="D216" s="267"/>
      <c r="E216" s="268" t="s">
        <v>187</v>
      </c>
      <c r="F216" s="269"/>
      <c r="G216" s="269"/>
      <c r="H216" s="270"/>
      <c r="I216" s="93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6"/>
      <c r="B231" s="60"/>
      <c r="C231" s="86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7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4" t="s">
        <v>185</v>
      </c>
      <c r="C242" s="267" t="s">
        <v>186</v>
      </c>
      <c r="D242" s="267"/>
      <c r="E242" s="268" t="s">
        <v>187</v>
      </c>
      <c r="F242" s="269"/>
      <c r="G242" s="269"/>
      <c r="H242" s="270"/>
      <c r="I242" s="93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6"/>
      <c r="B257" s="60"/>
      <c r="C257" s="86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7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4" t="s">
        <v>185</v>
      </c>
      <c r="C268" s="267" t="s">
        <v>186</v>
      </c>
      <c r="D268" s="267"/>
      <c r="E268" s="268" t="s">
        <v>187</v>
      </c>
      <c r="F268" s="269"/>
      <c r="G268" s="269"/>
      <c r="H268" s="270"/>
      <c r="I268" s="93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6"/>
      <c r="B283" s="60"/>
      <c r="C283" s="86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B4" zoomScale="115" zoomScaleNormal="115" workbookViewId="0">
      <selection activeCell="F16" sqref="F16"/>
    </sheetView>
  </sheetViews>
  <sheetFormatPr baseColWidth="10" defaultColWidth="11.44140625" defaultRowHeight="14.4" x14ac:dyDescent="0.3"/>
  <cols>
    <col min="1" max="1" width="5.777343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4414062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5"/>
      <c r="K1" s="95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81" t="s">
        <v>191</v>
      </c>
      <c r="C2" s="282"/>
      <c r="D2" s="282"/>
      <c r="E2" s="282"/>
      <c r="F2" s="282"/>
      <c r="G2" s="283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80"/>
      <c r="C4" s="280"/>
      <c r="D4" s="280"/>
      <c r="E4" s="280"/>
      <c r="F4" s="280"/>
      <c r="G4" s="280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6" t="s">
        <v>296</v>
      </c>
      <c r="C5" s="96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5"/>
      <c r="C6" s="215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7"/>
      <c r="B7" s="26" t="s">
        <v>295</v>
      </c>
      <c r="C7" s="98" t="s">
        <v>214</v>
      </c>
      <c r="D7" s="213"/>
      <c r="E7" s="99"/>
      <c r="F7" s="26" t="s">
        <v>295</v>
      </c>
      <c r="G7" s="98" t="s">
        <v>215</v>
      </c>
      <c r="H7" s="214"/>
      <c r="I7" s="214"/>
      <c r="J7" s="214"/>
      <c r="K7" s="214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</row>
    <row r="8" spans="1:38" ht="17.25" customHeight="1" x14ac:dyDescent="0.3">
      <c r="A8" s="103">
        <v>1</v>
      </c>
      <c r="B8" s="61">
        <v>1</v>
      </c>
      <c r="C8" s="49" t="s">
        <v>177</v>
      </c>
      <c r="D8" s="23"/>
      <c r="E8" s="103">
        <v>4</v>
      </c>
      <c r="F8" s="61">
        <v>0</v>
      </c>
      <c r="G8" s="100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3">
        <v>2</v>
      </c>
      <c r="B9" s="61">
        <v>0</v>
      </c>
      <c r="C9" s="106" t="s">
        <v>216</v>
      </c>
      <c r="D9" s="23"/>
      <c r="E9" s="103">
        <v>5</v>
      </c>
      <c r="F9" s="61">
        <v>0</v>
      </c>
      <c r="G9" s="101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3">
        <v>3</v>
      </c>
      <c r="B10" s="61">
        <v>0</v>
      </c>
      <c r="C10" s="107" t="s">
        <v>217</v>
      </c>
      <c r="D10" s="23"/>
      <c r="E10" s="4"/>
      <c r="F10" s="104">
        <f>SUM(F7:F9)</f>
        <v>0</v>
      </c>
      <c r="G10" s="102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4">
        <v>0</v>
      </c>
      <c r="C11" s="102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4"/>
      <c r="B13" s="105"/>
      <c r="C13" s="96" t="s">
        <v>273</v>
      </c>
      <c r="D13" s="214"/>
      <c r="E13" s="97"/>
      <c r="F13" s="105"/>
      <c r="G13" s="96" t="s">
        <v>301</v>
      </c>
      <c r="H13" s="214"/>
      <c r="I13" s="214"/>
      <c r="J13" s="214"/>
      <c r="K13" s="214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</row>
    <row r="14" spans="1:38" s="3" customFormat="1" ht="21" customHeight="1" x14ac:dyDescent="0.3">
      <c r="A14" s="214"/>
      <c r="B14" s="105"/>
      <c r="C14" s="96" t="s">
        <v>309</v>
      </c>
      <c r="D14" s="214"/>
      <c r="E14" s="97"/>
      <c r="F14" s="105"/>
      <c r="G14" s="96" t="s">
        <v>294</v>
      </c>
      <c r="H14" s="214"/>
      <c r="I14" s="214"/>
      <c r="J14" s="214"/>
      <c r="K14" s="214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1</v>
      </c>
      <c r="C16" s="108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</v>
      </c>
      <c r="C17" s="108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08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4">
        <f>SUM(B16:B18)</f>
        <v>1</v>
      </c>
      <c r="C19" s="102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77734375" style="4" bestFit="1" customWidth="1"/>
    <col min="2" max="4" width="11.44140625" style="4"/>
    <col min="5" max="5" width="9.44140625" style="4" customWidth="1"/>
    <col min="6" max="7" width="11.44140625" style="4"/>
    <col min="8" max="8" width="10.6640625" style="4" customWidth="1"/>
    <col min="9" max="9" width="9.44140625" style="4" customWidth="1"/>
    <col min="10" max="11" width="10.4414062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4414062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44140625" style="4" bestFit="1" customWidth="1"/>
    <col min="36" max="36" width="9.44140625" style="4" bestFit="1" customWidth="1"/>
    <col min="37" max="38" width="10.44140625" style="4" bestFit="1" customWidth="1"/>
    <col min="39" max="41" width="10.44140625" style="4" customWidth="1"/>
    <col min="42" max="42" width="9" style="4" bestFit="1" customWidth="1"/>
    <col min="43" max="43" width="10.4414062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44140625" style="4" bestFit="1" customWidth="1"/>
    <col min="54" max="54" width="14.33203125" style="4" customWidth="1"/>
    <col min="55" max="55" width="14" style="4" customWidth="1"/>
    <col min="56" max="56" width="10.44140625" style="4" bestFit="1" customWidth="1"/>
    <col min="57" max="57" width="9.44140625" style="4" bestFit="1" customWidth="1"/>
    <col min="58" max="59" width="10.44140625" style="4" bestFit="1" customWidth="1"/>
    <col min="60" max="62" width="10.44140625" style="4" customWidth="1"/>
    <col min="63" max="63" width="9" style="4" bestFit="1" customWidth="1"/>
    <col min="64" max="64" width="10.4414062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44140625" style="4" bestFit="1" customWidth="1"/>
    <col min="75" max="75" width="14" style="4" bestFit="1" customWidth="1"/>
    <col min="76" max="76" width="13.77734375" style="4" customWidth="1"/>
    <col min="77" max="77" width="10.44140625" style="4" bestFit="1" customWidth="1"/>
    <col min="78" max="78" width="9.44140625" style="4" bestFit="1" customWidth="1"/>
    <col min="79" max="80" width="10.44140625" style="4" bestFit="1" customWidth="1"/>
    <col min="81" max="83" width="10.44140625" style="4" customWidth="1"/>
    <col min="84" max="84" width="11.44140625" style="4"/>
    <col min="85" max="85" width="10.4414062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44140625" style="4" bestFit="1" customWidth="1"/>
    <col min="99" max="99" width="9.44140625" style="4" bestFit="1" customWidth="1"/>
    <col min="100" max="101" width="10.44140625" style="4" bestFit="1" customWidth="1"/>
    <col min="102" max="104" width="10.44140625" style="4" customWidth="1"/>
    <col min="105" max="105" width="9" style="4" bestFit="1" customWidth="1"/>
    <col min="106" max="106" width="10.4414062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44140625" style="4" bestFit="1" customWidth="1"/>
    <col min="117" max="117" width="14.33203125" style="4" customWidth="1"/>
    <col min="118" max="118" width="14" style="4" bestFit="1" customWidth="1"/>
    <col min="119" max="119" width="10.44140625" style="4" bestFit="1" customWidth="1"/>
    <col min="120" max="120" width="9.44140625" style="4" bestFit="1" customWidth="1"/>
    <col min="121" max="122" width="10.44140625" style="4" bestFit="1" customWidth="1"/>
    <col min="123" max="125" width="10.44140625" style="4" customWidth="1"/>
    <col min="126" max="126" width="9" style="4" bestFit="1" customWidth="1"/>
    <col min="127" max="127" width="10.4414062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44140625" style="4" bestFit="1" customWidth="1"/>
    <col min="138" max="139" width="14" style="4" customWidth="1"/>
    <col min="140" max="140" width="10.44140625" style="4" bestFit="1" customWidth="1"/>
    <col min="141" max="141" width="9.44140625" style="4" bestFit="1" customWidth="1"/>
    <col min="142" max="143" width="10.44140625" style="4" bestFit="1" customWidth="1"/>
    <col min="144" max="146" width="10.44140625" style="4" customWidth="1"/>
    <col min="147" max="147" width="9" style="4" bestFit="1" customWidth="1"/>
    <col min="148" max="148" width="10.4414062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44140625" style="4" bestFit="1" customWidth="1"/>
    <col min="162" max="162" width="9.44140625" style="4" bestFit="1" customWidth="1"/>
    <col min="163" max="164" width="10.44140625" style="4" bestFit="1" customWidth="1"/>
    <col min="165" max="167" width="10.44140625" style="4" customWidth="1"/>
    <col min="168" max="168" width="9" style="4" bestFit="1" customWidth="1"/>
    <col min="169" max="169" width="10.4414062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44140625" style="4" bestFit="1" customWidth="1"/>
    <col min="180" max="181" width="14" style="4" bestFit="1" customWidth="1"/>
    <col min="182" max="182" width="10.44140625" style="4" bestFit="1" customWidth="1"/>
    <col min="183" max="183" width="9.44140625" style="4" bestFit="1" customWidth="1"/>
    <col min="184" max="185" width="10.44140625" style="4" bestFit="1" customWidth="1"/>
    <col min="186" max="188" width="10.44140625" style="4" customWidth="1"/>
    <col min="189" max="189" width="9" style="4" bestFit="1" customWidth="1"/>
    <col min="190" max="190" width="10.4414062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44140625" style="4" bestFit="1" customWidth="1"/>
    <col min="201" max="201" width="14" style="4" customWidth="1"/>
    <col min="202" max="202" width="14.33203125" style="4" customWidth="1"/>
    <col min="203" max="203" width="10.44140625" style="4" bestFit="1" customWidth="1"/>
    <col min="204" max="204" width="9.44140625" style="4" bestFit="1" customWidth="1"/>
    <col min="205" max="206" width="10.44140625" style="4" bestFit="1" customWidth="1"/>
    <col min="207" max="209" width="10.44140625" style="4" customWidth="1"/>
    <col min="210" max="210" width="9" style="4" bestFit="1" customWidth="1"/>
    <col min="211" max="211" width="10.4414062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87" t="s">
        <v>176</v>
      </c>
      <c r="C1" s="288"/>
      <c r="D1" s="288"/>
      <c r="E1" s="288"/>
      <c r="F1" s="288"/>
      <c r="G1" s="288"/>
      <c r="H1" s="289"/>
      <c r="I1" s="284" t="str">
        <f>IF('Données projet'!$B$9="","",'Données projet'!$B$9)</f>
        <v>Chêne sessile</v>
      </c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  <c r="Y1" s="285"/>
      <c r="Z1" s="285"/>
      <c r="AA1" s="285"/>
      <c r="AB1" s="285"/>
      <c r="AC1" s="286"/>
      <c r="AD1" s="285" t="str">
        <f>IF('Données projet'!$B$10="","",'Données projet'!$B$10)</f>
        <v>Hêtre</v>
      </c>
      <c r="AE1" s="285"/>
      <c r="AF1" s="285"/>
      <c r="AG1" s="285"/>
      <c r="AH1" s="285"/>
      <c r="AI1" s="285"/>
      <c r="AJ1" s="285"/>
      <c r="AK1" s="285"/>
      <c r="AL1" s="285"/>
      <c r="AM1" s="285"/>
      <c r="AN1" s="285"/>
      <c r="AO1" s="285"/>
      <c r="AP1" s="285"/>
      <c r="AQ1" s="285"/>
      <c r="AR1" s="285"/>
      <c r="AS1" s="285"/>
      <c r="AT1" s="285"/>
      <c r="AU1" s="285"/>
      <c r="AV1" s="285"/>
      <c r="AW1" s="285"/>
      <c r="AX1" s="286"/>
      <c r="AY1" s="284" t="str">
        <f>IF('Données projet'!$B$11="","",'Données projet'!$B$11)</f>
        <v>Merisier</v>
      </c>
      <c r="AZ1" s="285"/>
      <c r="BA1" s="285"/>
      <c r="BB1" s="285"/>
      <c r="BC1" s="285"/>
      <c r="BD1" s="285"/>
      <c r="BE1" s="285"/>
      <c r="BF1" s="285"/>
      <c r="BG1" s="285"/>
      <c r="BH1" s="285"/>
      <c r="BI1" s="285"/>
      <c r="BJ1" s="285"/>
      <c r="BK1" s="285"/>
      <c r="BL1" s="285"/>
      <c r="BM1" s="285"/>
      <c r="BN1" s="285"/>
      <c r="BO1" s="285"/>
      <c r="BP1" s="285"/>
      <c r="BQ1" s="285"/>
      <c r="BR1" s="285"/>
      <c r="BS1" s="286"/>
      <c r="BT1" s="284" t="str">
        <f>IF('Données projet'!$B$12="","",'Données projet'!$B$12)</f>
        <v>Alisier torminal</v>
      </c>
      <c r="BU1" s="285"/>
      <c r="BV1" s="285"/>
      <c r="BW1" s="285"/>
      <c r="BX1" s="285"/>
      <c r="BY1" s="285"/>
      <c r="BZ1" s="285"/>
      <c r="CA1" s="285"/>
      <c r="CB1" s="285"/>
      <c r="CC1" s="285"/>
      <c r="CD1" s="285"/>
      <c r="CE1" s="285"/>
      <c r="CF1" s="285"/>
      <c r="CG1" s="285"/>
      <c r="CH1" s="285"/>
      <c r="CI1" s="285"/>
      <c r="CJ1" s="285"/>
      <c r="CK1" s="285"/>
      <c r="CL1" s="285"/>
      <c r="CM1" s="285"/>
      <c r="CN1" s="286"/>
      <c r="CO1" s="284" t="str">
        <f>IF('Données projet'!$B$13="","",'Données projet'!$B$13)</f>
        <v>Charme</v>
      </c>
      <c r="CP1" s="285"/>
      <c r="CQ1" s="285"/>
      <c r="CR1" s="285"/>
      <c r="CS1" s="285"/>
      <c r="CT1" s="285"/>
      <c r="CU1" s="285"/>
      <c r="CV1" s="285"/>
      <c r="CW1" s="285"/>
      <c r="CX1" s="285"/>
      <c r="CY1" s="285"/>
      <c r="CZ1" s="285"/>
      <c r="DA1" s="285"/>
      <c r="DB1" s="285"/>
      <c r="DC1" s="285"/>
      <c r="DD1" s="285"/>
      <c r="DE1" s="285"/>
      <c r="DF1" s="285"/>
      <c r="DG1" s="285"/>
      <c r="DH1" s="285"/>
      <c r="DI1" s="286"/>
      <c r="DJ1" s="284" t="str">
        <f>IF('Données projet'!$B$14="","",'Données projet'!$B$14)</f>
        <v/>
      </c>
      <c r="DK1" s="285"/>
      <c r="DL1" s="285"/>
      <c r="DM1" s="285"/>
      <c r="DN1" s="285"/>
      <c r="DO1" s="285"/>
      <c r="DP1" s="285"/>
      <c r="DQ1" s="285"/>
      <c r="DR1" s="285"/>
      <c r="DS1" s="285"/>
      <c r="DT1" s="285"/>
      <c r="DU1" s="285"/>
      <c r="DV1" s="285"/>
      <c r="DW1" s="285"/>
      <c r="DX1" s="285"/>
      <c r="DY1" s="285"/>
      <c r="DZ1" s="285"/>
      <c r="EA1" s="285"/>
      <c r="EB1" s="285"/>
      <c r="EC1" s="285"/>
      <c r="ED1" s="286"/>
      <c r="EE1" s="284" t="str">
        <f>IF('Données projet'!$B$15="","",'Données projet'!$B$15)</f>
        <v/>
      </c>
      <c r="EF1" s="285"/>
      <c r="EG1" s="285"/>
      <c r="EH1" s="285"/>
      <c r="EI1" s="285"/>
      <c r="EJ1" s="285"/>
      <c r="EK1" s="285"/>
      <c r="EL1" s="285"/>
      <c r="EM1" s="285"/>
      <c r="EN1" s="285"/>
      <c r="EO1" s="285"/>
      <c r="EP1" s="285"/>
      <c r="EQ1" s="285"/>
      <c r="ER1" s="285"/>
      <c r="ES1" s="285"/>
      <c r="ET1" s="285"/>
      <c r="EU1" s="285"/>
      <c r="EV1" s="285"/>
      <c r="EW1" s="285"/>
      <c r="EX1" s="285"/>
      <c r="EY1" s="286"/>
      <c r="EZ1" s="284" t="str">
        <f>IF('Données projet'!$B$16="","",'Données projet'!$B$16)</f>
        <v/>
      </c>
      <c r="FA1" s="285"/>
      <c r="FB1" s="285"/>
      <c r="FC1" s="285"/>
      <c r="FD1" s="285"/>
      <c r="FE1" s="285"/>
      <c r="FF1" s="285"/>
      <c r="FG1" s="285"/>
      <c r="FH1" s="285"/>
      <c r="FI1" s="285"/>
      <c r="FJ1" s="285"/>
      <c r="FK1" s="285"/>
      <c r="FL1" s="285"/>
      <c r="FM1" s="285"/>
      <c r="FN1" s="285"/>
      <c r="FO1" s="285"/>
      <c r="FP1" s="285"/>
      <c r="FQ1" s="285"/>
      <c r="FR1" s="285"/>
      <c r="FS1" s="285"/>
      <c r="FT1" s="286"/>
      <c r="FU1" s="284" t="str">
        <f>IF('Données projet'!$B$17="","",'Données projet'!$B$17)</f>
        <v/>
      </c>
      <c r="FV1" s="285"/>
      <c r="FW1" s="285"/>
      <c r="FX1" s="285"/>
      <c r="FY1" s="285"/>
      <c r="FZ1" s="285"/>
      <c r="GA1" s="285"/>
      <c r="GB1" s="285"/>
      <c r="GC1" s="285"/>
      <c r="GD1" s="285"/>
      <c r="GE1" s="285"/>
      <c r="GF1" s="285"/>
      <c r="GG1" s="285"/>
      <c r="GH1" s="285"/>
      <c r="GI1" s="285"/>
      <c r="GJ1" s="285"/>
      <c r="GK1" s="285"/>
      <c r="GL1" s="285"/>
      <c r="GM1" s="285"/>
      <c r="GN1" s="285"/>
      <c r="GO1" s="286"/>
      <c r="GP1" s="284" t="str">
        <f>IF('Données projet'!$B$18="","",'Données projet'!$B$18)</f>
        <v/>
      </c>
      <c r="GQ1" s="285"/>
      <c r="GR1" s="285"/>
      <c r="GS1" s="285"/>
      <c r="GT1" s="285"/>
      <c r="GU1" s="285"/>
      <c r="GV1" s="285"/>
      <c r="GW1" s="285"/>
      <c r="GX1" s="285"/>
      <c r="GY1" s="285"/>
      <c r="GZ1" s="285"/>
      <c r="HA1" s="285"/>
      <c r="HB1" s="285"/>
      <c r="HC1" s="285"/>
      <c r="HD1" s="285"/>
      <c r="HE1" s="285"/>
      <c r="HF1" s="285"/>
      <c r="HG1" s="285"/>
      <c r="HH1" s="285"/>
      <c r="HI1" s="285"/>
      <c r="HJ1" s="286"/>
    </row>
    <row r="2" spans="1:218" ht="58.2" thickBot="1" x14ac:dyDescent="0.35">
      <c r="A2" s="70" t="s">
        <v>178</v>
      </c>
      <c r="B2" s="71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5" t="s">
        <v>299</v>
      </c>
      <c r="I2" s="67" t="s">
        <v>298</v>
      </c>
      <c r="J2" s="68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8" t="s">
        <v>298</v>
      </c>
      <c r="AE2" s="68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7" t="s">
        <v>298</v>
      </c>
      <c r="AZ2" s="68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7" t="s">
        <v>298</v>
      </c>
      <c r="BU2" s="68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7" t="s">
        <v>298</v>
      </c>
      <c r="CP2" s="68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7" t="s">
        <v>298</v>
      </c>
      <c r="DK2" s="68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7" t="s">
        <v>298</v>
      </c>
      <c r="EF2" s="68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7" t="s">
        <v>298</v>
      </c>
      <c r="FA2" s="68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7" t="s">
        <v>298</v>
      </c>
      <c r="FV2" s="68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7" t="s">
        <v>298</v>
      </c>
      <c r="GQ2" s="68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2">
        <f>'Scénario référence'!$B$16*5+'Scénario référence'!$B$17*0+'Scénario référence'!$B$18*5</f>
        <v>5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66">
        <f>(B3+E3+F3)*44/12+(C3+D3)*0.475*44/12</f>
        <v>183.33333333333334</v>
      </c>
      <c r="I3" s="6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165</v>
      </c>
      <c r="S3" s="59">
        <f ca="1">AVERAGE(OFFSET($R$3,0,0,'Données projet'!$E$9+1,1))-AVERAGE(OFFSET($H$3,0,0,'Données projet'!$E$9+1,1))</f>
        <v>567.42635821507474</v>
      </c>
      <c r="T3" s="59">
        <f>IF('Données projet'!E9&gt;30,$R$33-$H$33,LOOKUP('Données projet'!$E$9,$A$3:$A$203,R3:R203)-LOOKUP('Données projet'!$E$9,$A$3:$A$203,$H$3:$H$203))</f>
        <v>299.04735309930152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165</v>
      </c>
      <c r="AN3" s="59">
        <f ca="1">AVERAGE(OFFSET($AM$3,0,0,'Données projet'!$E$10+1,1))-AVERAGE(OFFSET($H$3,0,0,'Données projet'!$E$10+1,1))</f>
        <v>481.23392184981651</v>
      </c>
      <c r="AO3" s="59">
        <f>IF('Données projet'!E10&gt;30,$AM$33-$H$33,LOOKUP('Données projet'!$E$10,$A$3:$A$203,AM3:AM203)-LOOKUP('Données projet'!$E$10,$A$3:$A$203,$H$3:$H$203))</f>
        <v>275.88160405468193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165</v>
      </c>
      <c r="BI3" s="59">
        <f ca="1">AVERAGE(OFFSET($BH$3,0,0,'Données projet'!$E$11+1,1))-AVERAGE(OFFSET($H$3,0,0,'Données projet'!$E$11+1,1))</f>
        <v>308.85018589589453</v>
      </c>
      <c r="BJ3" s="59">
        <f>IF('Données projet'!E11&gt;30,$BH$33-$H$33,LOOKUP('Données projet'!$E$11,$A$3:$A$203,BH3:BH203)-LOOKUP('Données projet'!$E$11,$A$3:$A$203,$H$3:$H$203))</f>
        <v>302.59481222418219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165</v>
      </c>
      <c r="CD3" s="59">
        <f ca="1">AVERAGE(OFFSET($CC$3,0,0,'Données projet'!$E$12+1,1))-AVERAGE(OFFSET($H$3,0,0,'Données projet'!$E$12+1,1))</f>
        <v>600.96600099724276</v>
      </c>
      <c r="CE3" s="59">
        <f>IF('Données projet'!E12&gt;30,$CC$33-$H$33,LOOKUP('Données projet'!$E$12,$A$3:$A$203,CC3:CC203)-LOOKUP('Données projet'!$E$12,$A$3:$A$203,$H$3:$H$203))</f>
        <v>315.40159260706264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165</v>
      </c>
      <c r="CY3" s="59">
        <f ca="1">AVERAGE(OFFSET($CX$3,0,0,'Données projet'!$E$13+1,1))-AVERAGE(OFFSET($H$3,0,0,'Données projet'!$E$13+1,1))</f>
        <v>592.58528889137358</v>
      </c>
      <c r="CZ3" s="59">
        <f>IF('Données projet'!E13&gt;30,$CX$33-$H$33,LOOKUP('Données projet'!$E$13,$A$3:$A$203,CX3:CX203)-LOOKUP('Données projet'!$E$13,$A$3:$A$203,$H$3:$H$203))</f>
        <v>311.31528020403709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2">
        <f>'Scénario référence'!$B$16*5+'Scénario référence'!$B$17*0+'Scénario référence'!$B$18*5</f>
        <v>5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66">
        <f t="shared" ref="H4:H67" si="1">(B4+E4+F4)*44/12+(C4+D4)*0.475*44/12</f>
        <v>183.33333333333334</v>
      </c>
      <c r="I4" s="6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4.0628205133333335</v>
      </c>
      <c r="N4" s="13">
        <f>IF('Données projet'!$A$36&gt;35,N3+M4-V3,IF(A4&lt;'Données projet'!$A$36,$K$205^A4,IF(A4='Données projet'!$A$36,'Données projet'!$B$36,N3+M4-V3)))</f>
        <v>1.1736311550493581</v>
      </c>
      <c r="O4" s="13">
        <f>N4*VLOOKUP('Données projet'!$B$9,Paramètres!$A$1:$I$89,3,0)*VLOOKUP('Données projet'!$B$9,Paramètres!$A$1:$I$89,5,0)</f>
        <v>1.0619014690886592</v>
      </c>
      <c r="P4" s="13">
        <f>EXP(-1.0587+0.8836*LN(O4)+0.284)</f>
        <v>0.48595950733071469</v>
      </c>
      <c r="Q4" s="20">
        <f t="shared" ref="Q4:Q34" si="2">(O4+P4)*0.475*44/12</f>
        <v>2.6958578672637423</v>
      </c>
      <c r="R4" s="59">
        <f t="shared" si="0"/>
        <v>170.50829182018759</v>
      </c>
      <c r="S4" s="59">
        <f ca="1">AVERAGE(OFFSET($R$3,0,0,'Données projet'!$E$9+1,1))-AVERAGE(OFFSET($H$3,0,0,'Données projet'!$E$9+1,1))</f>
        <v>567.42635821507474</v>
      </c>
      <c r="T4" s="59">
        <f>$T$3</f>
        <v>299.04735309930152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1.6</v>
      </c>
      <c r="AI4" s="13">
        <f>IF('Données projet'!$A$62&gt;35,AI3+AH4-AQ3,IF(A4&lt;'Données projet'!$A$62,$AF$205^A4,IF(A4='Données projet'!$A$62,'Données projet'!$B$62,AI3+AH4-AQ3)))</f>
        <v>1.189207115002721</v>
      </c>
      <c r="AJ4" s="13">
        <f>AI4*VLOOKUP('Données projet'!$B$10,Paramètres!$A$1:$I$89,3,0)*VLOOKUP('Données projet'!$B$10,Paramètres!$A$1:$I$89,5,0)</f>
        <v>1.0203397046723348</v>
      </c>
      <c r="AK4" s="13">
        <f>EXP(-1.0587+0.8836*LN(AJ4)+0.284)</f>
        <v>0.46911460970544039</v>
      </c>
      <c r="AL4" s="20">
        <f t="shared" ref="AL4:AL67" si="4">(AJ4+AK4)*0.475*44/12</f>
        <v>2.594132930874625</v>
      </c>
      <c r="AM4" s="59">
        <f t="shared" ref="AM4:AM67" si="5">AL4+(AD4+AE4)*44/12</f>
        <v>170.40656688379846</v>
      </c>
      <c r="AN4" s="59">
        <f ca="1">AVERAGE(OFFSET($AM$3,0,0,'Données projet'!$E$10+1,1))-AVERAGE(OFFSET($H$3,0,0,'Données projet'!$E$10+1,1))</f>
        <v>481.23392184981651</v>
      </c>
      <c r="AO4" s="59">
        <f>$AO$3</f>
        <v>275.88160405468193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2.6666666666666665</v>
      </c>
      <c r="BD4" s="12">
        <f>IF('Données projet'!$A$88&gt;35,BD3+BC4-BL3,IF(A4&lt;'Données projet'!$A$88,$BA$205^A4,IF(A4='Données projet'!$A$88,'Données projet'!$B$88,BD3+BC4-BL3)))</f>
        <v>1.2788040393997409</v>
      </c>
      <c r="BE4" s="13">
        <f>BD4*VLOOKUP('Données projet'!$B$11,Paramètres!$A$1:$I$89,3,0)*VLOOKUP('Données projet'!$B$11,Paramètres!$A$1:$I$89,5,0)</f>
        <v>0.99746715073179792</v>
      </c>
      <c r="BF4" s="13">
        <f>EXP(-1.0587+0.8836*LN(BE4)+0.284)</f>
        <v>0.45981048445793882</v>
      </c>
      <c r="BG4" s="20">
        <f t="shared" ref="BG4:BG67" si="7">(BE4+BF4)*0.475*44/12</f>
        <v>2.5380918812887914</v>
      </c>
      <c r="BH4" s="59">
        <f t="shared" ref="BH4:BH67" si="8">BG4+(AY4+AZ4)*44/12</f>
        <v>170.35052583421262</v>
      </c>
      <c r="BI4" s="59">
        <f ca="1">AVERAGE(OFFSET($BH$3,0,0,'Données projet'!$E$11+1,1))-AVERAGE(OFFSET($H$3,0,0,'Données projet'!$E$11+1,1))</f>
        <v>308.85018589589453</v>
      </c>
      <c r="BJ4" s="59">
        <f>$BJ$3</f>
        <v>302.59481222418219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4.0628205133333335</v>
      </c>
      <c r="BY4" s="12">
        <f>IF('Données projet'!$A$114&gt;35,BY3+BX4-CG3,IF(A4&lt;'Données projet'!$A$114,$BV$205^A4,IF(A4='Données projet'!$A$114,'Données projet'!$B$114,BY3+BX4-CG3)))</f>
        <v>1.1736311550493581</v>
      </c>
      <c r="BZ4" s="13">
        <f>BY4*VLOOKUP('Données projet'!$B$12,Paramètres!$A$1:$I$89,3,0)*VLOOKUP('Données projet'!$B$12,Paramètres!$A$1:$I$89,5,0)</f>
        <v>1.1351360531637393</v>
      </c>
      <c r="CA4" s="13">
        <f>EXP(-1.0587+0.8836*LN(BZ4)+0.284)</f>
        <v>0.51545695611912312</v>
      </c>
      <c r="CB4" s="20">
        <f t="shared" ref="CB4:CB67" si="10">(BZ4+CA4)*0.475*44/12</f>
        <v>2.874782824500985</v>
      </c>
      <c r="CC4" s="59">
        <f t="shared" ref="CC4:CC67" si="11">CB4+(BT4+BU4)*44/12</f>
        <v>170.68721677742482</v>
      </c>
      <c r="CD4" s="59">
        <f ca="1">AVERAGE(OFFSET($CC$3,0,0,'Données projet'!$E$12+1,1))-AVERAGE(OFFSET($H$3,0,0,'Données projet'!$E$12+1,1))</f>
        <v>600.96600099724276</v>
      </c>
      <c r="CE4" s="59">
        <f>$CE$3</f>
        <v>315.40159260706264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4.0628205133333335</v>
      </c>
      <c r="CT4" s="12">
        <f>IF('Données projet'!$A$140&gt;35,CT3+CS4-DB3,IF(A4&lt;'Données projet'!$A$140,$CQ$205^A4,IF(A4='Données projet'!$A$140,'Données projet'!$B$140,CT3+CS4-DB3)))</f>
        <v>1.1736311550493581</v>
      </c>
      <c r="CU4" s="17">
        <f>CT4*VLOOKUP('Données projet'!$B$13,Paramètres!$A$1:$I$89,3,0)*VLOOKUP('Données projet'!$B$13,Paramètres!$A$1:$I$89,5,0)</f>
        <v>1.1168274071449693</v>
      </c>
      <c r="CV4" s="13">
        <f>EXP(-1.0587+0.8836*LN(CU4)+0.284)</f>
        <v>0.50810392551691341</v>
      </c>
      <c r="CW4" s="20">
        <f t="shared" ref="CW4:CW67" si="13">(CU4+CV4)*0.475*44/12</f>
        <v>2.8300887377194459</v>
      </c>
      <c r="CX4" s="59">
        <f t="shared" ref="CX4:CX67" si="14">CW4+(CO4+CP4)*44/12</f>
        <v>170.64252269064329</v>
      </c>
      <c r="CY4" s="59">
        <f ca="1">AVERAGE(OFFSET($CX$3,0,0,'Données projet'!$E$13+1,1))-AVERAGE(OFFSET($H$3,0,0,'Données projet'!$E$13+1,1))</f>
        <v>592.58528889137358</v>
      </c>
      <c r="CZ4" s="59">
        <f>$CZ$3</f>
        <v>311.31528020403709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2">
        <f>'Scénario référence'!$B$16*5+'Scénario référence'!$B$17*0+'Scénario référence'!$B$18*5</f>
        <v>5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66">
        <f t="shared" si="1"/>
        <v>183.33333333333334</v>
      </c>
      <c r="I5" s="6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4.0628205133333335</v>
      </c>
      <c r="N5" s="13">
        <f>IF('Données projet'!$A$36&gt;35,N4+M5-V4,IF(A5&lt;'Données projet'!$A$36,$K$205^A5,IF(A5='Données projet'!$A$36,'Données projet'!$B$36,N4+M5-V4)))</f>
        <v>1.3774100881024904</v>
      </c>
      <c r="O5" s="13">
        <f>N5*VLOOKUP('Données projet'!$B$9,Paramètres!$A$1:$I$89,3,0)*VLOOKUP('Données projet'!$B$9,Paramètres!$A$1:$I$89,5,0)</f>
        <v>1.2462806477151334</v>
      </c>
      <c r="P5" s="13">
        <f t="shared" ref="P5:P68" si="33">EXP(-1.0587+0.8836*LN(O5)+0.284)</f>
        <v>0.55980687934033857</v>
      </c>
      <c r="Q5" s="20">
        <f t="shared" si="2"/>
        <v>3.1456024429549463</v>
      </c>
      <c r="R5" s="59">
        <f t="shared" si="0"/>
        <v>173.74288373045579</v>
      </c>
      <c r="S5" s="59">
        <f ca="1">AVERAGE(OFFSET($R$3,0,0,'Données projet'!$E$9+1,1))-AVERAGE(OFFSET($H$3,0,0,'Données projet'!$E$9+1,1))</f>
        <v>567.42635821507474</v>
      </c>
      <c r="T5" s="59">
        <f t="shared" ref="T5:T68" si="34">$T$3</f>
        <v>299.04735309930152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1.6</v>
      </c>
      <c r="AI5" s="13">
        <f>IF('Données projet'!$A$62&gt;35,AI4+AH5-AQ4,IF(A5&lt;'Données projet'!$A$62,$AF$205^A5,IF(A5='Données projet'!$A$62,'Données projet'!$B$62,AI4+AH5-AQ4)))</f>
        <v>1.4142135623730949</v>
      </c>
      <c r="AJ5" s="13">
        <f>AI5*VLOOKUP('Données projet'!$B$10,Paramètres!$A$1:$I$89,3,0)*VLOOKUP('Données projet'!$B$10,Paramètres!$A$1:$I$89,5,0)</f>
        <v>1.2133952365161156</v>
      </c>
      <c r="AK5" s="13">
        <f t="shared" ref="AK5:AK68" si="35">EXP(-1.0587+0.8836*LN(AJ5)+0.284)</f>
        <v>0.54673450619692521</v>
      </c>
      <c r="AL5" s="20">
        <f t="shared" si="4"/>
        <v>3.0655593018918794</v>
      </c>
      <c r="AM5" s="59">
        <f t="shared" si="5"/>
        <v>173.66284058939272</v>
      </c>
      <c r="AN5" s="59">
        <f ca="1">AVERAGE(OFFSET($AM$3,0,0,'Données projet'!$E$10+1,1))-AVERAGE(OFFSET($H$3,0,0,'Données projet'!$E$10+1,1))</f>
        <v>481.23392184981651</v>
      </c>
      <c r="AO5" s="59">
        <f t="shared" ref="AO5:AO68" si="36">$AO$3</f>
        <v>275.88160405468193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2.6666666666666665</v>
      </c>
      <c r="BD5" s="12">
        <f>IF('Données projet'!$A$88&gt;35,BD4+BC5-BL4,IF(A5&lt;'Données projet'!$A$88,$BA$205^A5,IF(A5='Données projet'!$A$88,'Données projet'!$B$88,BD4+BC5-BL4)))</f>
        <v>1.6353397711850939</v>
      </c>
      <c r="BE5" s="13">
        <f>BD5*VLOOKUP('Données projet'!$B$11,Paramètres!$A$1:$I$89,3,0)*VLOOKUP('Données projet'!$B$11,Paramètres!$A$1:$I$89,5,0)</f>
        <v>1.2755650215243732</v>
      </c>
      <c r="BF5" s="13">
        <f t="shared" ref="BF5:BF68" si="37">EXP(-1.0587+0.8836*LN(BE5)+0.284)</f>
        <v>0.57141400910743001</v>
      </c>
      <c r="BG5" s="20">
        <f t="shared" si="7"/>
        <v>3.2168218116837237</v>
      </c>
      <c r="BH5" s="59">
        <f t="shared" si="8"/>
        <v>173.81410309918456</v>
      </c>
      <c r="BI5" s="59">
        <f ca="1">AVERAGE(OFFSET($BH$3,0,0,'Données projet'!$E$11+1,1))-AVERAGE(OFFSET($H$3,0,0,'Données projet'!$E$11+1,1))</f>
        <v>308.85018589589453</v>
      </c>
      <c r="BJ5" s="59">
        <f t="shared" ref="BJ5:BJ68" si="38">$BJ$3</f>
        <v>302.59481222418219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4.0628205133333335</v>
      </c>
      <c r="BY5" s="12">
        <f>IF('Données projet'!$A$114&gt;35,BY4+BX5-CG4,IF(A5&lt;'Données projet'!$A$114,$BV$205^A5,IF(A5='Données projet'!$A$114,'Données projet'!$B$114,BY4+BX5-CG4)))</f>
        <v>1.3774100881024904</v>
      </c>
      <c r="BZ5" s="13">
        <f>BY5*VLOOKUP('Données projet'!$B$12,Paramètres!$A$1:$I$89,3,0)*VLOOKUP('Données projet'!$B$12,Paramètres!$A$1:$I$89,5,0)</f>
        <v>1.3322310372127288</v>
      </c>
      <c r="CA5" s="13">
        <f t="shared" ref="CA5:CA68" si="39">EXP(-1.0587+0.8836*LN(BZ5)+0.284)</f>
        <v>0.5937868190382829</v>
      </c>
      <c r="CB5" s="20">
        <f t="shared" si="10"/>
        <v>3.3544810996371788</v>
      </c>
      <c r="CC5" s="59">
        <f t="shared" si="11"/>
        <v>173.95176238713802</v>
      </c>
      <c r="CD5" s="59">
        <f ca="1">AVERAGE(OFFSET($CC$3,0,0,'Données projet'!$E$12+1,1))-AVERAGE(OFFSET($H$3,0,0,'Données projet'!$E$12+1,1))</f>
        <v>600.96600099724276</v>
      </c>
      <c r="CE5" s="59">
        <f t="shared" ref="CE5:CE68" si="40">$CE$3</f>
        <v>315.40159260706264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4.0628205133333335</v>
      </c>
      <c r="CT5" s="12">
        <f>IF('Données projet'!$A$140&gt;35,CT4+CS5-DB4,IF(A5&lt;'Données projet'!$A$140,$CQ$205^A5,IF(A5='Données projet'!$A$140,'Données projet'!$B$140,CT4+CS5-DB4)))</f>
        <v>1.3774100881024904</v>
      </c>
      <c r="CU5" s="17">
        <f>CT5*VLOOKUP('Données projet'!$B$13,Paramètres!$A$1:$I$89,3,0)*VLOOKUP('Données projet'!$B$13,Paramètres!$A$1:$I$89,5,0)</f>
        <v>1.31074343983833</v>
      </c>
      <c r="CV5" s="13">
        <f t="shared" ref="CV5:CV68" si="41">EXP(-1.0587+0.8836*LN(CU5)+0.284)</f>
        <v>0.5853164073002205</v>
      </c>
      <c r="CW5" s="20">
        <f t="shared" si="13"/>
        <v>3.3023042337663089</v>
      </c>
      <c r="CX5" s="59">
        <f t="shared" si="14"/>
        <v>173.89958552126714</v>
      </c>
      <c r="CY5" s="59">
        <f ca="1">AVERAGE(OFFSET($CX$3,0,0,'Données projet'!$E$13+1,1))-AVERAGE(OFFSET($H$3,0,0,'Données projet'!$E$13+1,1))</f>
        <v>592.58528889137358</v>
      </c>
      <c r="CZ5" s="59">
        <f t="shared" ref="CZ5:CZ68" si="42">$CZ$3</f>
        <v>311.31528020403709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2">
        <f>'Scénario référence'!$B$16*5+'Scénario référence'!$B$17*0+'Scénario référence'!$B$18*5</f>
        <v>5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66">
        <f t="shared" si="1"/>
        <v>183.33333333333334</v>
      </c>
      <c r="I6" s="6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4.0628205133333335</v>
      </c>
      <c r="N6" s="13">
        <f>IF('Données projet'!$A$36&gt;35,N5+M6-V5,IF(A6&lt;'Données projet'!$A$36,$K$205^A6,IF(A6='Données projet'!$A$36,'Données projet'!$B$36,N5+M6-V5)))</f>
        <v>1.6165713926763641</v>
      </c>
      <c r="O6" s="13">
        <f>N6*VLOOKUP('Données projet'!$B$9,Paramètres!$A$1:$I$89,3,0)*VLOOKUP('Données projet'!$B$9,Paramètres!$A$1:$I$89,5,0)</f>
        <v>1.4626737960935743</v>
      </c>
      <c r="P6" s="13">
        <f t="shared" si="33"/>
        <v>0.64487624468574989</v>
      </c>
      <c r="Q6" s="20">
        <f t="shared" si="2"/>
        <v>3.670649654357323</v>
      </c>
      <c r="R6" s="59">
        <f t="shared" si="0"/>
        <v>177.02567022424222</v>
      </c>
      <c r="S6" s="59">
        <f ca="1">AVERAGE(OFFSET($R$3,0,0,'Données projet'!$E$9+1,1))-AVERAGE(OFFSET($H$3,0,0,'Données projet'!$E$9+1,1))</f>
        <v>567.42635821507474</v>
      </c>
      <c r="T6" s="59">
        <f t="shared" si="34"/>
        <v>299.04735309930152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1.6</v>
      </c>
      <c r="AI6" s="13">
        <f>IF('Données projet'!$A$62&gt;35,AI5+AH6-AQ5,IF(A6&lt;'Données projet'!$A$62,$AF$205^A6,IF(A6='Données projet'!$A$62,'Données projet'!$B$62,AI5+AH6-AQ5)))</f>
        <v>1.6817928305074288</v>
      </c>
      <c r="AJ6" s="13">
        <f>AI6*VLOOKUP('Données projet'!$B$10,Paramètres!$A$1:$I$89,3,0)*VLOOKUP('Données projet'!$B$10,Paramètres!$A$1:$I$89,5,0)</f>
        <v>1.4429782485753739</v>
      </c>
      <c r="AK6" s="13">
        <f t="shared" si="35"/>
        <v>0.6371974227238163</v>
      </c>
      <c r="AL6" s="20">
        <f t="shared" si="4"/>
        <v>3.6229726275127558</v>
      </c>
      <c r="AM6" s="59">
        <f t="shared" si="5"/>
        <v>176.97799319739764</v>
      </c>
      <c r="AN6" s="59">
        <f ca="1">AVERAGE(OFFSET($AM$3,0,0,'Données projet'!$E$10+1,1))-AVERAGE(OFFSET($H$3,0,0,'Données projet'!$E$10+1,1))</f>
        <v>481.23392184981651</v>
      </c>
      <c r="AO6" s="59">
        <f t="shared" si="36"/>
        <v>275.88160405468193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2.6666666666666665</v>
      </c>
      <c r="BD6" s="12">
        <f>IF('Données projet'!$A$88&gt;35,BD5+BC6-BL5,IF(A6&lt;'Données projet'!$A$88,$BA$205^A6,IF(A6='Données projet'!$A$88,'Données projet'!$B$88,BD5+BC6-BL5)))</f>
        <v>2.0912791051825459</v>
      </c>
      <c r="BE6" s="13">
        <f>BD6*VLOOKUP('Données projet'!$B$11,Paramètres!$A$1:$I$89,3,0)*VLOOKUP('Données projet'!$B$11,Paramètres!$A$1:$I$89,5,0)</f>
        <v>1.6311977020423858</v>
      </c>
      <c r="BF6" s="13">
        <f t="shared" si="37"/>
        <v>0.71010553443370616</v>
      </c>
      <c r="BG6" s="20">
        <f t="shared" si="7"/>
        <v>4.0777698035291934</v>
      </c>
      <c r="BH6" s="59">
        <f t="shared" si="8"/>
        <v>177.43279037341409</v>
      </c>
      <c r="BI6" s="59">
        <f ca="1">AVERAGE(OFFSET($BH$3,0,0,'Données projet'!$E$11+1,1))-AVERAGE(OFFSET($H$3,0,0,'Données projet'!$E$11+1,1))</f>
        <v>308.85018589589453</v>
      </c>
      <c r="BJ6" s="59">
        <f t="shared" si="38"/>
        <v>302.59481222418219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4.0628205133333335</v>
      </c>
      <c r="BY6" s="12">
        <f>IF('Données projet'!$A$114&gt;35,BY5+BX6-CG5,IF(A6&lt;'Données projet'!$A$114,$BV$205^A6,IF(A6='Données projet'!$A$114,'Données projet'!$B$114,BY5+BX6-CG5)))</f>
        <v>1.6165713926763641</v>
      </c>
      <c r="BZ6" s="13">
        <f>BY6*VLOOKUP('Données projet'!$B$12,Paramètres!$A$1:$I$89,3,0)*VLOOKUP('Données projet'!$B$12,Paramètres!$A$1:$I$89,5,0)</f>
        <v>1.5635478509965794</v>
      </c>
      <c r="CA6" s="13">
        <f t="shared" si="39"/>
        <v>0.68401984351554634</v>
      </c>
      <c r="CB6" s="20">
        <f t="shared" si="10"/>
        <v>3.9145137346086183</v>
      </c>
      <c r="CC6" s="59">
        <f t="shared" si="11"/>
        <v>177.2695343044935</v>
      </c>
      <c r="CD6" s="59">
        <f ca="1">AVERAGE(OFFSET($CC$3,0,0,'Données projet'!$E$12+1,1))-AVERAGE(OFFSET($H$3,0,0,'Données projet'!$E$12+1,1))</f>
        <v>600.96600099724276</v>
      </c>
      <c r="CE6" s="59">
        <f t="shared" si="40"/>
        <v>315.40159260706264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4.0628205133333335</v>
      </c>
      <c r="CT6" s="12">
        <f>IF('Données projet'!$A$140&gt;35,CT5+CS6-DB5,IF(A6&lt;'Données projet'!$A$140,$CQ$205^A6,IF(A6='Données projet'!$A$140,'Données projet'!$B$140,CT5+CS6-DB5)))</f>
        <v>1.6165713926763641</v>
      </c>
      <c r="CU6" s="17">
        <f>CT6*VLOOKUP('Données projet'!$B$13,Paramètres!$A$1:$I$89,3,0)*VLOOKUP('Données projet'!$B$13,Paramètres!$A$1:$I$89,5,0)</f>
        <v>1.5383293372708282</v>
      </c>
      <c r="CV6" s="13">
        <f t="shared" si="41"/>
        <v>0.67426225118474037</v>
      </c>
      <c r="CW6" s="20">
        <f t="shared" si="13"/>
        <v>3.8535970165601152</v>
      </c>
      <c r="CX6" s="59">
        <f t="shared" si="14"/>
        <v>177.208617586445</v>
      </c>
      <c r="CY6" s="59">
        <f ca="1">AVERAGE(OFFSET($CX$3,0,0,'Données projet'!$E$13+1,1))-AVERAGE(OFFSET($H$3,0,0,'Données projet'!$E$13+1,1))</f>
        <v>592.58528889137358</v>
      </c>
      <c r="CZ6" s="59">
        <f t="shared" si="42"/>
        <v>311.31528020403709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2">
        <f>'Scénario référence'!$B$16*5+'Scénario référence'!$B$17*0+'Scénario référence'!$B$18*5</f>
        <v>5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66">
        <f t="shared" si="1"/>
        <v>183.33333333333334</v>
      </c>
      <c r="I7" s="6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4.0628205133333335</v>
      </c>
      <c r="N7" s="13">
        <f>IF('Données projet'!$A$36&gt;35,N6+M7-V6,IF(A7&lt;'Données projet'!$A$36,$K$205^A7,IF(A7='Données projet'!$A$36,'Données projet'!$B$36,N6+M7-V6)))</f>
        <v>1.8972585508065105</v>
      </c>
      <c r="O7" s="13">
        <f>N7*VLOOKUP('Données projet'!$B$9,Paramètres!$A$1:$I$89,3,0)*VLOOKUP('Données projet'!$B$9,Paramètres!$A$1:$I$89,5,0)</f>
        <v>1.7166395367697307</v>
      </c>
      <c r="P7" s="13">
        <f t="shared" si="33"/>
        <v>0.74287291976482961</v>
      </c>
      <c r="Q7" s="20">
        <f t="shared" si="2"/>
        <v>4.2836508617976925</v>
      </c>
      <c r="R7" s="59">
        <f t="shared" si="0"/>
        <v>180.36977292597464</v>
      </c>
      <c r="S7" s="59">
        <f ca="1">AVERAGE(OFFSET($R$3,0,0,'Données projet'!$E$9+1,1))-AVERAGE(OFFSET($H$3,0,0,'Données projet'!$E$9+1,1))</f>
        <v>567.42635821507474</v>
      </c>
      <c r="T7" s="59">
        <f t="shared" si="34"/>
        <v>299.04735309930152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1.6</v>
      </c>
      <c r="AI7" s="13">
        <f>IF('Données projet'!$A$62&gt;35,AI6+AH7-AQ6,IF(A7&lt;'Données projet'!$A$62,$AF$205^A7,IF(A7='Données projet'!$A$62,'Données projet'!$B$62,AI6+AH7-AQ6)))</f>
        <v>1.9999999999999996</v>
      </c>
      <c r="AJ7" s="13">
        <f>AI7*VLOOKUP('Données projet'!$B$10,Paramètres!$A$1:$I$89,3,0)*VLOOKUP('Données projet'!$B$10,Paramètres!$A$1:$I$89,5,0)</f>
        <v>1.7159999999999997</v>
      </c>
      <c r="AK7" s="13">
        <f t="shared" si="35"/>
        <v>0.74262837066960552</v>
      </c>
      <c r="AL7" s="20">
        <f t="shared" si="4"/>
        <v>4.2821110789162296</v>
      </c>
      <c r="AM7" s="59">
        <f t="shared" si="5"/>
        <v>180.36823314309316</v>
      </c>
      <c r="AN7" s="59">
        <f ca="1">AVERAGE(OFFSET($AM$3,0,0,'Données projet'!$E$10+1,1))-AVERAGE(OFFSET($H$3,0,0,'Données projet'!$E$10+1,1))</f>
        <v>481.23392184981651</v>
      </c>
      <c r="AO7" s="59">
        <f t="shared" si="36"/>
        <v>275.88160405468193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2.6666666666666665</v>
      </c>
      <c r="BD7" s="12">
        <f>IF('Données projet'!$A$88&gt;35,BD6+BC7-BL6,IF(A7&lt;'Données projet'!$A$88,$BA$205^A7,IF(A7='Données projet'!$A$88,'Données projet'!$B$88,BD6+BC7-BL6)))</f>
        <v>2.6743361672197152</v>
      </c>
      <c r="BE7" s="13">
        <f>BD7*VLOOKUP('Données projet'!$B$11,Paramètres!$A$1:$I$89,3,0)*VLOOKUP('Données projet'!$B$11,Paramètres!$A$1:$I$89,5,0)</f>
        <v>2.0859822104313781</v>
      </c>
      <c r="BF7" s="13">
        <f t="shared" si="37"/>
        <v>0.88245976121767966</v>
      </c>
      <c r="BG7" s="20">
        <f t="shared" si="7"/>
        <v>5.1700364339554419</v>
      </c>
      <c r="BH7" s="59">
        <f t="shared" si="8"/>
        <v>181.25615849813238</v>
      </c>
      <c r="BI7" s="59">
        <f ca="1">AVERAGE(OFFSET($BH$3,0,0,'Données projet'!$E$11+1,1))-AVERAGE(OFFSET($H$3,0,0,'Données projet'!$E$11+1,1))</f>
        <v>308.85018589589453</v>
      </c>
      <c r="BJ7" s="59">
        <f t="shared" si="38"/>
        <v>302.59481222418219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4.0628205133333335</v>
      </c>
      <c r="BY7" s="12">
        <f>IF('Données projet'!$A$114&gt;35,BY6+BX7-CG6,IF(A7&lt;'Données projet'!$A$114,$BV$205^A7,IF(A7='Données projet'!$A$114,'Données projet'!$B$114,BY6+BX7-CG6)))</f>
        <v>1.8972585508065105</v>
      </c>
      <c r="BZ7" s="13">
        <f>BY7*VLOOKUP('Données projet'!$B$12,Paramètres!$A$1:$I$89,3,0)*VLOOKUP('Données projet'!$B$12,Paramètres!$A$1:$I$89,5,0)</f>
        <v>1.8350284703400572</v>
      </c>
      <c r="CA7" s="13">
        <f t="shared" si="39"/>
        <v>0.78796485762488266</v>
      </c>
      <c r="CB7" s="20">
        <f t="shared" si="10"/>
        <v>4.5683800462056032</v>
      </c>
      <c r="CC7" s="59">
        <f t="shared" si="11"/>
        <v>180.65450211038254</v>
      </c>
      <c r="CD7" s="59">
        <f ca="1">AVERAGE(OFFSET($CC$3,0,0,'Données projet'!$E$12+1,1))-AVERAGE(OFFSET($H$3,0,0,'Données projet'!$E$12+1,1))</f>
        <v>600.96600099724276</v>
      </c>
      <c r="CE7" s="59">
        <f t="shared" si="40"/>
        <v>315.40159260706264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4.0628205133333335</v>
      </c>
      <c r="CT7" s="12">
        <f>IF('Données projet'!$A$140&gt;35,CT6+CS7-DB6,IF(A7&lt;'Données projet'!$A$140,$CQ$205^A7,IF(A7='Données projet'!$A$140,'Données projet'!$B$140,CT6+CS7-DB6)))</f>
        <v>1.8972585508065105</v>
      </c>
      <c r="CU7" s="17">
        <f>CT7*VLOOKUP('Données projet'!$B$13,Paramètres!$A$1:$I$89,3,0)*VLOOKUP('Données projet'!$B$13,Paramètres!$A$1:$I$89,5,0)</f>
        <v>1.8054312369474756</v>
      </c>
      <c r="CV7" s="13">
        <f t="shared" si="41"/>
        <v>0.7767244821816951</v>
      </c>
      <c r="CW7" s="20">
        <f t="shared" si="13"/>
        <v>4.4972545441499721</v>
      </c>
      <c r="CX7" s="59">
        <f t="shared" si="14"/>
        <v>180.58337660832692</v>
      </c>
      <c r="CY7" s="59">
        <f ca="1">AVERAGE(OFFSET($CX$3,0,0,'Données projet'!$E$13+1,1))-AVERAGE(OFFSET($H$3,0,0,'Données projet'!$E$13+1,1))</f>
        <v>592.58528889137358</v>
      </c>
      <c r="CZ7" s="59">
        <f t="shared" si="42"/>
        <v>311.31528020403709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2">
        <f>'Scénario référence'!$B$16*5+'Scénario référence'!$B$17*0+'Scénario référence'!$B$18*5</f>
        <v>5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66">
        <f t="shared" si="1"/>
        <v>183.33333333333334</v>
      </c>
      <c r="I8" s="6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4.0628205133333335</v>
      </c>
      <c r="N8" s="13">
        <f>IF('Données projet'!$A$36&gt;35,N7+M8-V7,IF(A8&lt;'Données projet'!$A$36,$K$205^A8,IF(A8='Données projet'!$A$36,'Données projet'!$B$36,N7+M8-V7)))</f>
        <v>2.2266817444103162</v>
      </c>
      <c r="O8" s="13">
        <f>N8*VLOOKUP('Données projet'!$B$9,Paramètres!$A$1:$I$89,3,0)*VLOOKUP('Données projet'!$B$9,Paramètres!$A$1:$I$89,5,0)</f>
        <v>2.014701642342454</v>
      </c>
      <c r="P8" s="13">
        <f t="shared" si="33"/>
        <v>0.85576136424260163</v>
      </c>
      <c r="Q8" s="20">
        <f t="shared" si="2"/>
        <v>4.999389736468971</v>
      </c>
      <c r="R8" s="59">
        <f t="shared" si="0"/>
        <v>183.79043761291632</v>
      </c>
      <c r="S8" s="59">
        <f ca="1">AVERAGE(OFFSET($R$3,0,0,'Données projet'!$E$9+1,1))-AVERAGE(OFFSET($H$3,0,0,'Données projet'!$E$9+1,1))</f>
        <v>567.42635821507474</v>
      </c>
      <c r="T8" s="59">
        <f t="shared" si="34"/>
        <v>299.04735309930152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1.6</v>
      </c>
      <c r="AI8" s="13">
        <f>IF('Données projet'!$A$62&gt;35,AI7+AH8-AQ7,IF(A8&lt;'Données projet'!$A$62,$AF$205^A8,IF(A8='Données projet'!$A$62,'Données projet'!$B$62,AI7+AH8-AQ7)))</f>
        <v>2.3784142300054416</v>
      </c>
      <c r="AJ8" s="13">
        <f>AI8*VLOOKUP('Données projet'!$B$10,Paramètres!$A$1:$I$89,3,0)*VLOOKUP('Données projet'!$B$10,Paramètres!$A$1:$I$89,5,0)</f>
        <v>2.0406794093446692</v>
      </c>
      <c r="AK8" s="13">
        <f t="shared" si="35"/>
        <v>0.86550396667632346</v>
      </c>
      <c r="AL8" s="20">
        <f t="shared" si="4"/>
        <v>5.061602713236562</v>
      </c>
      <c r="AM8" s="59">
        <f t="shared" si="5"/>
        <v>183.85265058968392</v>
      </c>
      <c r="AN8" s="59">
        <f ca="1">AVERAGE(OFFSET($AM$3,0,0,'Données projet'!$E$10+1,1))-AVERAGE(OFFSET($H$3,0,0,'Données projet'!$E$10+1,1))</f>
        <v>481.23392184981651</v>
      </c>
      <c r="AO8" s="59">
        <f t="shared" si="36"/>
        <v>275.88160405468193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2.6666666666666665</v>
      </c>
      <c r="BD8" s="12">
        <f>IF('Données projet'!$A$88&gt;35,BD7+BC8-BL7,IF(A8&lt;'Données projet'!$A$88,$BA$205^A8,IF(A8='Données projet'!$A$88,'Données projet'!$B$88,BD7+BC8-BL7)))</f>
        <v>3.4199518933533928</v>
      </c>
      <c r="BE8" s="13">
        <f>BD8*VLOOKUP('Données projet'!$B$11,Paramètres!$A$1:$I$89,3,0)*VLOOKUP('Données projet'!$B$11,Paramètres!$A$1:$I$89,5,0)</f>
        <v>2.6675624768156463</v>
      </c>
      <c r="BF8" s="13">
        <f t="shared" si="37"/>
        <v>1.0966471776471767</v>
      </c>
      <c r="BG8" s="20">
        <f t="shared" si="7"/>
        <v>6.5559984815227494</v>
      </c>
      <c r="BH8" s="59">
        <f t="shared" si="8"/>
        <v>185.3470463579701</v>
      </c>
      <c r="BI8" s="59">
        <f ca="1">AVERAGE(OFFSET($BH$3,0,0,'Données projet'!$E$11+1,1))-AVERAGE(OFFSET($H$3,0,0,'Données projet'!$E$11+1,1))</f>
        <v>308.85018589589453</v>
      </c>
      <c r="BJ8" s="59">
        <f t="shared" si="38"/>
        <v>302.59481222418219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4.0628205133333335</v>
      </c>
      <c r="BY8" s="12">
        <f>IF('Données projet'!$A$114&gt;35,BY7+BX8-CG7,IF(A8&lt;'Données projet'!$A$114,$BV$205^A8,IF(A8='Données projet'!$A$114,'Données projet'!$B$114,BY7+BX8-CG7)))</f>
        <v>2.2266817444103162</v>
      </c>
      <c r="BZ8" s="13">
        <f>BY8*VLOOKUP('Données projet'!$B$12,Paramètres!$A$1:$I$89,3,0)*VLOOKUP('Données projet'!$B$12,Paramètres!$A$1:$I$89,5,0)</f>
        <v>2.153646583193658</v>
      </c>
      <c r="CA8" s="13">
        <f t="shared" si="39"/>
        <v>0.9077055625473095</v>
      </c>
      <c r="CB8" s="20">
        <f t="shared" si="10"/>
        <v>5.3318549871655181</v>
      </c>
      <c r="CC8" s="59">
        <f t="shared" si="11"/>
        <v>184.12290286361286</v>
      </c>
      <c r="CD8" s="59">
        <f ca="1">AVERAGE(OFFSET($CC$3,0,0,'Données projet'!$E$12+1,1))-AVERAGE(OFFSET($H$3,0,0,'Données projet'!$E$12+1,1))</f>
        <v>600.96600099724276</v>
      </c>
      <c r="CE8" s="59">
        <f t="shared" si="40"/>
        <v>315.40159260706264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4.0628205133333335</v>
      </c>
      <c r="CT8" s="12">
        <f>IF('Données projet'!$A$140&gt;35,CT7+CS8-DB7,IF(A8&lt;'Données projet'!$A$140,$CQ$205^A8,IF(A8='Données projet'!$A$140,'Données projet'!$B$140,CT7+CS8-DB7)))</f>
        <v>2.2266817444103162</v>
      </c>
      <c r="CU8" s="17">
        <f>CT8*VLOOKUP('Données projet'!$B$13,Paramètres!$A$1:$I$89,3,0)*VLOOKUP('Données projet'!$B$13,Paramètres!$A$1:$I$89,5,0)</f>
        <v>2.1189103479808566</v>
      </c>
      <c r="CV8" s="13">
        <f t="shared" si="41"/>
        <v>0.8947570773246869</v>
      </c>
      <c r="CW8" s="20">
        <f t="shared" si="13"/>
        <v>5.248804099073821</v>
      </c>
      <c r="CX8" s="59">
        <f t="shared" si="14"/>
        <v>184.03985197552117</v>
      </c>
      <c r="CY8" s="59">
        <f ca="1">AVERAGE(OFFSET($CX$3,0,0,'Données projet'!$E$13+1,1))-AVERAGE(OFFSET($H$3,0,0,'Données projet'!$E$13+1,1))</f>
        <v>592.58528889137358</v>
      </c>
      <c r="CZ8" s="59">
        <f t="shared" si="42"/>
        <v>311.31528020403709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2">
        <f>'Scénario référence'!$B$16*5+'Scénario référence'!$B$17*0+'Scénario référence'!$B$18*5</f>
        <v>5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66">
        <f t="shared" si="1"/>
        <v>183.33333333333334</v>
      </c>
      <c r="I9" s="6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4.0628205133333335</v>
      </c>
      <c r="N9" s="13">
        <f>IF('Données projet'!$A$36&gt;35,N8+M9-V8,IF(A9&lt;'Données projet'!$A$36,$K$205^A9,IF(A9='Données projet'!$A$36,'Données projet'!$B$36,N8+M9-V8)))</f>
        <v>2.613303067619599</v>
      </c>
      <c r="O9" s="13">
        <f>N9*VLOOKUP('Données projet'!$B$9,Paramètres!$A$1:$I$89,3,0)*VLOOKUP('Données projet'!$B$9,Paramètres!$A$1:$I$89,5,0)</f>
        <v>2.3645166155822133</v>
      </c>
      <c r="P9" s="13">
        <f t="shared" si="33"/>
        <v>0.98580456097685032</v>
      </c>
      <c r="Q9" s="20">
        <f t="shared" si="2"/>
        <v>5.8351427158403695</v>
      </c>
      <c r="R9" s="59">
        <f t="shared" si="0"/>
        <v>187.30539481209934</v>
      </c>
      <c r="S9" s="59">
        <f ca="1">AVERAGE(OFFSET($R$3,0,0,'Données projet'!$E$9+1,1))-AVERAGE(OFFSET($H$3,0,0,'Données projet'!$E$9+1,1))</f>
        <v>567.42635821507474</v>
      </c>
      <c r="T9" s="59">
        <f t="shared" si="34"/>
        <v>299.04735309930152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1.6</v>
      </c>
      <c r="AI9" s="13">
        <f>IF('Données projet'!$A$62&gt;35,AI8+AH9-AQ8,IF(A9&lt;'Données projet'!$A$62,$AF$205^A9,IF(A9='Données projet'!$A$62,'Données projet'!$B$62,AI8+AH9-AQ8)))</f>
        <v>2.8284271247461894</v>
      </c>
      <c r="AJ9" s="13">
        <f>AI9*VLOOKUP('Données projet'!$B$10,Paramètres!$A$1:$I$89,3,0)*VLOOKUP('Données projet'!$B$10,Paramètres!$A$1:$I$89,5,0)</f>
        <v>2.4267904730322307</v>
      </c>
      <c r="AK9" s="13">
        <f t="shared" si="35"/>
        <v>1.0087106093953995</v>
      </c>
      <c r="AL9" s="20">
        <f t="shared" si="4"/>
        <v>5.9834977185614555</v>
      </c>
      <c r="AM9" s="59">
        <f t="shared" si="5"/>
        <v>187.45374981482044</v>
      </c>
      <c r="AN9" s="59">
        <f ca="1">AVERAGE(OFFSET($AM$3,0,0,'Données projet'!$E$10+1,1))-AVERAGE(OFFSET($H$3,0,0,'Données projet'!$E$10+1,1))</f>
        <v>481.23392184981651</v>
      </c>
      <c r="AO9" s="59">
        <f t="shared" si="36"/>
        <v>275.88160405468193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2.6666666666666665</v>
      </c>
      <c r="BD9" s="12">
        <f>IF('Données projet'!$A$88&gt;35,BD8+BC9-BL8,IF(A9&lt;'Données projet'!$A$88,$BA$205^A9,IF(A9='Données projet'!$A$88,'Données projet'!$B$88,BD8+BC9-BL8)))</f>
        <v>4.3734482957731098</v>
      </c>
      <c r="BE9" s="13">
        <f>BD9*VLOOKUP('Données projet'!$B$11,Paramètres!$A$1:$I$89,3,0)*VLOOKUP('Données projet'!$B$11,Paramètres!$A$1:$I$89,5,0)</f>
        <v>3.4112896707030256</v>
      </c>
      <c r="BF9" s="13">
        <f t="shared" si="37"/>
        <v>1.3628213830192535</v>
      </c>
      <c r="BG9" s="20">
        <f t="shared" si="7"/>
        <v>8.3149100852329703</v>
      </c>
      <c r="BH9" s="59">
        <f t="shared" si="8"/>
        <v>189.78516218149196</v>
      </c>
      <c r="BI9" s="59">
        <f ca="1">AVERAGE(OFFSET($BH$3,0,0,'Données projet'!$E$11+1,1))-AVERAGE(OFFSET($H$3,0,0,'Données projet'!$E$11+1,1))</f>
        <v>308.85018589589453</v>
      </c>
      <c r="BJ9" s="59">
        <f t="shared" si="38"/>
        <v>302.59481222418219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4.0628205133333335</v>
      </c>
      <c r="BY9" s="12">
        <f>IF('Données projet'!$A$114&gt;35,BY8+BX9-CG8,IF(A9&lt;'Données projet'!$A$114,$BV$205^A9,IF(A9='Données projet'!$A$114,'Données projet'!$B$114,BY8+BX9-CG8)))</f>
        <v>2.613303067619599</v>
      </c>
      <c r="BZ9" s="13">
        <f>BY9*VLOOKUP('Données projet'!$B$12,Paramètres!$A$1:$I$89,3,0)*VLOOKUP('Données projet'!$B$12,Paramètres!$A$1:$I$89,5,0)</f>
        <v>2.5275867270016761</v>
      </c>
      <c r="CA9" s="13">
        <f t="shared" si="39"/>
        <v>1.0456423028342288</v>
      </c>
      <c r="CB9" s="20">
        <f t="shared" si="10"/>
        <v>6.2233738936308676</v>
      </c>
      <c r="CC9" s="59">
        <f t="shared" si="11"/>
        <v>187.69362598988985</v>
      </c>
      <c r="CD9" s="59">
        <f ca="1">AVERAGE(OFFSET($CC$3,0,0,'Données projet'!$E$12+1,1))-AVERAGE(OFFSET($H$3,0,0,'Données projet'!$E$12+1,1))</f>
        <v>600.96600099724276</v>
      </c>
      <c r="CE9" s="59">
        <f t="shared" si="40"/>
        <v>315.40159260706264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4.0628205133333335</v>
      </c>
      <c r="CT9" s="12">
        <f>IF('Données projet'!$A$140&gt;35,CT8+CS9-DB8,IF(A9&lt;'Données projet'!$A$140,$CQ$205^A9,IF(A9='Données projet'!$A$140,'Données projet'!$B$140,CT8+CS9-DB8)))</f>
        <v>2.613303067619599</v>
      </c>
      <c r="CU9" s="17">
        <f>CT9*VLOOKUP('Données projet'!$B$13,Paramètres!$A$1:$I$89,3,0)*VLOOKUP('Données projet'!$B$13,Paramètres!$A$1:$I$89,5,0)</f>
        <v>2.4868191991468103</v>
      </c>
      <c r="CV9" s="13">
        <f t="shared" si="41"/>
        <v>1.0307261400772199</v>
      </c>
      <c r="CW9" s="20">
        <f t="shared" si="13"/>
        <v>6.1263914658151855</v>
      </c>
      <c r="CX9" s="59">
        <f t="shared" si="14"/>
        <v>187.59664356207415</v>
      </c>
      <c r="CY9" s="59">
        <f ca="1">AVERAGE(OFFSET($CX$3,0,0,'Données projet'!$E$13+1,1))-AVERAGE(OFFSET($H$3,0,0,'Données projet'!$E$13+1,1))</f>
        <v>592.58528889137358</v>
      </c>
      <c r="CZ9" s="59">
        <f t="shared" si="42"/>
        <v>311.31528020403709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2">
        <f>'Scénario référence'!$B$16*5+'Scénario référence'!$B$17*0+'Scénario référence'!$B$18*5</f>
        <v>5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66">
        <f t="shared" si="1"/>
        <v>183.33333333333334</v>
      </c>
      <c r="I10" s="6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4.0628205133333335</v>
      </c>
      <c r="N10" s="13">
        <f>IF('Données projet'!$A$36&gt;35,N9+M10-V9,IF(A10&lt;'Données projet'!$A$36,$K$205^A10,IF(A10='Données projet'!$A$36,'Données projet'!$B$36,N9+M10-V9)))</f>
        <v>3.0670538977444211</v>
      </c>
      <c r="O10" s="13">
        <f>N10*VLOOKUP('Données projet'!$B$9,Paramètres!$A$1:$I$89,3,0)*VLOOKUP('Données projet'!$B$9,Paramètres!$A$1:$I$89,5,0)</f>
        <v>2.7750703666791523</v>
      </c>
      <c r="P10" s="13">
        <f t="shared" si="33"/>
        <v>1.1356093801954581</v>
      </c>
      <c r="Q10" s="20">
        <f t="shared" si="2"/>
        <v>6.8111005591399456</v>
      </c>
      <c r="R10" s="59">
        <f t="shared" si="0"/>
        <v>190.93528149487619</v>
      </c>
      <c r="S10" s="59">
        <f ca="1">AVERAGE(OFFSET($R$3,0,0,'Données projet'!$E$9+1,1))-AVERAGE(OFFSET($H$3,0,0,'Données projet'!$E$9+1,1))</f>
        <v>567.42635821507474</v>
      </c>
      <c r="T10" s="59">
        <f t="shared" si="34"/>
        <v>299.04735309930152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1.6</v>
      </c>
      <c r="AI10" s="13">
        <f>IF('Données projet'!$A$62&gt;35,AI9+AH10-AQ9,IF(A10&lt;'Données projet'!$A$62,$AF$205^A10,IF(A10='Données projet'!$A$62,'Données projet'!$B$62,AI9+AH10-AQ9)))</f>
        <v>3.3635856610148567</v>
      </c>
      <c r="AJ10" s="13">
        <f>AI10*VLOOKUP('Données projet'!$B$10,Paramètres!$A$1:$I$89,3,0)*VLOOKUP('Données projet'!$B$10,Paramètres!$A$1:$I$89,5,0)</f>
        <v>2.8859564971507474</v>
      </c>
      <c r="AK10" s="13">
        <f t="shared" si="35"/>
        <v>1.1756122821876749</v>
      </c>
      <c r="AL10" s="20">
        <f t="shared" si="4"/>
        <v>7.073898957347752</v>
      </c>
      <c r="AM10" s="59">
        <f t="shared" si="5"/>
        <v>191.19807989308399</v>
      </c>
      <c r="AN10" s="59">
        <f ca="1">AVERAGE(OFFSET($AM$3,0,0,'Données projet'!$E$10+1,1))-AVERAGE(OFFSET($H$3,0,0,'Données projet'!$E$10+1,1))</f>
        <v>481.23392184981651</v>
      </c>
      <c r="AO10" s="59">
        <f t="shared" si="36"/>
        <v>275.88160405468193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2.6666666666666665</v>
      </c>
      <c r="BD10" s="12">
        <f>IF('Données projet'!$A$88&gt;35,BD9+BC10-BL9,IF(A10&lt;'Données projet'!$A$88,$BA$205^A10,IF(A10='Données projet'!$A$88,'Données projet'!$B$88,BD9+BC10-BL9)))</f>
        <v>5.5927833467405659</v>
      </c>
      <c r="BE10" s="13">
        <f>BD10*VLOOKUP('Données projet'!$B$11,Paramètres!$A$1:$I$89,3,0)*VLOOKUP('Données projet'!$B$11,Paramètres!$A$1:$I$89,5,0)</f>
        <v>4.3623710104576414</v>
      </c>
      <c r="BF10" s="13">
        <f t="shared" si="37"/>
        <v>1.6936004212396314</v>
      </c>
      <c r="BG10" s="20">
        <f t="shared" si="7"/>
        <v>10.54748357687275</v>
      </c>
      <c r="BH10" s="59">
        <f t="shared" si="8"/>
        <v>194.67166451260897</v>
      </c>
      <c r="BI10" s="59">
        <f ca="1">AVERAGE(OFFSET($BH$3,0,0,'Données projet'!$E$11+1,1))-AVERAGE(OFFSET($H$3,0,0,'Données projet'!$E$11+1,1))</f>
        <v>308.85018589589453</v>
      </c>
      <c r="BJ10" s="59">
        <f t="shared" si="38"/>
        <v>302.59481222418219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4.0628205133333335</v>
      </c>
      <c r="BY10" s="12">
        <f>IF('Données projet'!$A$114&gt;35,BY9+BX10-CG9,IF(A10&lt;'Données projet'!$A$114,$BV$205^A10,IF(A10='Données projet'!$A$114,'Données projet'!$B$114,BY9+BX10-CG9)))</f>
        <v>3.0670538977444211</v>
      </c>
      <c r="BZ10" s="13">
        <f>BY10*VLOOKUP('Données projet'!$B$12,Paramètres!$A$1:$I$89,3,0)*VLOOKUP('Données projet'!$B$12,Paramètres!$A$1:$I$89,5,0)</f>
        <v>2.966454529898404</v>
      </c>
      <c r="CA10" s="13">
        <f t="shared" si="39"/>
        <v>1.2045401841629486</v>
      </c>
      <c r="CB10" s="20">
        <f t="shared" si="10"/>
        <v>7.2644824603235216</v>
      </c>
      <c r="CC10" s="59">
        <f t="shared" si="11"/>
        <v>191.38866339605977</v>
      </c>
      <c r="CD10" s="59">
        <f ca="1">AVERAGE(OFFSET($CC$3,0,0,'Données projet'!$E$12+1,1))-AVERAGE(OFFSET($H$3,0,0,'Données projet'!$E$12+1,1))</f>
        <v>600.96600099724276</v>
      </c>
      <c r="CE10" s="59">
        <f t="shared" si="40"/>
        <v>315.40159260706264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4.0628205133333335</v>
      </c>
      <c r="CT10" s="12">
        <f>IF('Données projet'!$A$140&gt;35,CT9+CS10-DB9,IF(A10&lt;'Données projet'!$A$140,$CQ$205^A10,IF(A10='Données projet'!$A$140,'Données projet'!$B$140,CT9+CS10-DB9)))</f>
        <v>3.0670538977444211</v>
      </c>
      <c r="CU10" s="17">
        <f>CT10*VLOOKUP('Données projet'!$B$13,Paramètres!$A$1:$I$89,3,0)*VLOOKUP('Données projet'!$B$13,Paramètres!$A$1:$I$89,5,0)</f>
        <v>2.9186084890935913</v>
      </c>
      <c r="CV10" s="13">
        <f t="shared" si="41"/>
        <v>1.1873573316849726</v>
      </c>
      <c r="CW10" s="20">
        <f t="shared" si="13"/>
        <v>7.1512238045226644</v>
      </c>
      <c r="CX10" s="59">
        <f t="shared" si="14"/>
        <v>191.27540474025889</v>
      </c>
      <c r="CY10" s="59">
        <f ca="1">AVERAGE(OFFSET($CX$3,0,0,'Données projet'!$E$13+1,1))-AVERAGE(OFFSET($H$3,0,0,'Données projet'!$E$13+1,1))</f>
        <v>592.58528889137358</v>
      </c>
      <c r="CZ10" s="59">
        <f t="shared" si="42"/>
        <v>311.31528020403709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2">
        <f>'Scénario référence'!$B$16*5+'Scénario référence'!$B$17*0+'Scénario référence'!$B$18*5</f>
        <v>5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66">
        <f t="shared" si="1"/>
        <v>183.33333333333334</v>
      </c>
      <c r="I11" s="6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4.0628205133333335</v>
      </c>
      <c r="N11" s="13">
        <f>IF('Données projet'!$A$36&gt;35,N10+M11-V10,IF(A11&lt;'Données projet'!$A$36,$K$205^A11,IF(A11='Données projet'!$A$36,'Données projet'!$B$36,N10+M11-V10)))</f>
        <v>3.5995900086084203</v>
      </c>
      <c r="O11" s="13">
        <f>N11*VLOOKUP('Données projet'!$B$9,Paramètres!$A$1:$I$89,3,0)*VLOOKUP('Données projet'!$B$9,Paramètres!$A$1:$I$89,5,0)</f>
        <v>3.2569090397888987</v>
      </c>
      <c r="P11" s="13">
        <f t="shared" si="33"/>
        <v>1.3081788373042398</v>
      </c>
      <c r="Q11" s="20">
        <f t="shared" si="2"/>
        <v>7.9508613859372161</v>
      </c>
      <c r="R11" s="59">
        <f t="shared" si="0"/>
        <v>194.70413425215776</v>
      </c>
      <c r="S11" s="59">
        <f ca="1">AVERAGE(OFFSET($R$3,0,0,'Données projet'!$E$9+1,1))-AVERAGE(OFFSET($H$3,0,0,'Données projet'!$E$9+1,1))</f>
        <v>567.42635821507474</v>
      </c>
      <c r="T11" s="59">
        <f t="shared" si="34"/>
        <v>299.04735309930152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1.6</v>
      </c>
      <c r="AI11" s="13">
        <f>IF('Données projet'!$A$62&gt;35,AI10+AH11-AQ10,IF(A11&lt;'Données projet'!$A$62,$AF$205^A11,IF(A11='Données projet'!$A$62,'Données projet'!$B$62,AI10+AH11-AQ10)))</f>
        <v>3.9999999999999982</v>
      </c>
      <c r="AJ11" s="13">
        <f>AI11*VLOOKUP('Données projet'!$B$10,Paramètres!$A$1:$I$89,3,0)*VLOOKUP('Données projet'!$B$10,Paramètres!$A$1:$I$89,5,0)</f>
        <v>3.4319999999999991</v>
      </c>
      <c r="AK11" s="13">
        <f t="shared" si="35"/>
        <v>1.3701295744860806</v>
      </c>
      <c r="AL11" s="20">
        <f t="shared" si="4"/>
        <v>8.3637090088965884</v>
      </c>
      <c r="AM11" s="59">
        <f t="shared" si="5"/>
        <v>195.11698187511715</v>
      </c>
      <c r="AN11" s="59">
        <f ca="1">AVERAGE(OFFSET($AM$3,0,0,'Données projet'!$E$10+1,1))-AVERAGE(OFFSET($H$3,0,0,'Données projet'!$E$10+1,1))</f>
        <v>481.23392184981651</v>
      </c>
      <c r="AO11" s="59">
        <f t="shared" si="36"/>
        <v>275.88160405468193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2.6666666666666665</v>
      </c>
      <c r="BD11" s="12">
        <f>IF('Données projet'!$A$88&gt;35,BD10+BC11-BL10,IF(A11&lt;'Données projet'!$A$88,$BA$205^A11,IF(A11='Données projet'!$A$88,'Données projet'!$B$88,BD10+BC11-BL10)))</f>
        <v>7.1520739352994367</v>
      </c>
      <c r="BE11" s="13">
        <f>BD11*VLOOKUP('Données projet'!$B$11,Paramètres!$A$1:$I$89,3,0)*VLOOKUP('Données projet'!$B$11,Paramètres!$A$1:$I$89,5,0)</f>
        <v>5.5786176695335605</v>
      </c>
      <c r="BF11" s="13">
        <f t="shared" si="37"/>
        <v>2.1046649418345189</v>
      </c>
      <c r="BG11" s="20">
        <f t="shared" si="7"/>
        <v>13.381717214799407</v>
      </c>
      <c r="BH11" s="59">
        <f t="shared" si="8"/>
        <v>200.13499008101996</v>
      </c>
      <c r="BI11" s="59">
        <f ca="1">AVERAGE(OFFSET($BH$3,0,0,'Données projet'!$E$11+1,1))-AVERAGE(OFFSET($H$3,0,0,'Données projet'!$E$11+1,1))</f>
        <v>308.85018589589453</v>
      </c>
      <c r="BJ11" s="59">
        <f t="shared" si="38"/>
        <v>302.59481222418219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4.0628205133333335</v>
      </c>
      <c r="BY11" s="12">
        <f>IF('Données projet'!$A$114&gt;35,BY10+BX11-CG10,IF(A11&lt;'Données projet'!$A$114,$BV$205^A11,IF(A11='Données projet'!$A$114,'Données projet'!$B$114,BY10+BX11-CG10)))</f>
        <v>3.5995900086084203</v>
      </c>
      <c r="BZ11" s="13">
        <f>BY11*VLOOKUP('Données projet'!$B$12,Paramètres!$A$1:$I$89,3,0)*VLOOKUP('Données projet'!$B$12,Paramètres!$A$1:$I$89,5,0)</f>
        <v>3.4815234563260642</v>
      </c>
      <c r="CA11" s="13">
        <f t="shared" si="39"/>
        <v>1.3875845031619112</v>
      </c>
      <c r="CB11" s="20">
        <f t="shared" si="10"/>
        <v>8.4803630294415555</v>
      </c>
      <c r="CC11" s="59">
        <f t="shared" si="11"/>
        <v>195.2336358956621</v>
      </c>
      <c r="CD11" s="59">
        <f ca="1">AVERAGE(OFFSET($CC$3,0,0,'Données projet'!$E$12+1,1))-AVERAGE(OFFSET($H$3,0,0,'Données projet'!$E$12+1,1))</f>
        <v>600.96600099724276</v>
      </c>
      <c r="CE11" s="59">
        <f t="shared" si="40"/>
        <v>315.40159260706264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4.0628205133333335</v>
      </c>
      <c r="CT11" s="12">
        <f>IF('Données projet'!$A$140&gt;35,CT10+CS11-DB10,IF(A11&lt;'Données projet'!$A$140,$CQ$205^A11,IF(A11='Données projet'!$A$140,'Données projet'!$B$140,CT10+CS11-DB10)))</f>
        <v>3.5995900086084203</v>
      </c>
      <c r="CU11" s="17">
        <f>CT11*VLOOKUP('Données projet'!$B$13,Paramètres!$A$1:$I$89,3,0)*VLOOKUP('Données projet'!$B$13,Paramètres!$A$1:$I$89,5,0)</f>
        <v>3.425369852191773</v>
      </c>
      <c r="CV11" s="13">
        <f t="shared" si="41"/>
        <v>1.367790510290577</v>
      </c>
      <c r="CW11" s="20">
        <f t="shared" si="13"/>
        <v>8.3480876313234251</v>
      </c>
      <c r="CX11" s="59">
        <f t="shared" si="14"/>
        <v>195.10136049754399</v>
      </c>
      <c r="CY11" s="59">
        <f ca="1">AVERAGE(OFFSET($CX$3,0,0,'Données projet'!$E$13+1,1))-AVERAGE(OFFSET($H$3,0,0,'Données projet'!$E$13+1,1))</f>
        <v>592.58528889137358</v>
      </c>
      <c r="CZ11" s="59">
        <f t="shared" si="42"/>
        <v>311.31528020403709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2">
        <f>'Scénario référence'!$B$16*5+'Scénario référence'!$B$17*0+'Scénario référence'!$B$18*5</f>
        <v>5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66">
        <f t="shared" si="1"/>
        <v>183.33333333333334</v>
      </c>
      <c r="I12" s="6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4.0628205133333335</v>
      </c>
      <c r="N12" s="13">
        <f>IF('Données projet'!$A$36&gt;35,N11+M12-V11,IF(A12&lt;'Données projet'!$A$36,$K$205^A12,IF(A12='Données projet'!$A$36,'Données projet'!$B$36,N11+M12-V11)))</f>
        <v>4.2245909795072292</v>
      </c>
      <c r="O12" s="13">
        <f>N12*VLOOKUP('Données projet'!$B$9,Paramètres!$A$1:$I$89,3,0)*VLOOKUP('Données projet'!$B$9,Paramètres!$A$1:$I$89,5,0)</f>
        <v>3.8224099182581406</v>
      </c>
      <c r="P12" s="13">
        <f t="shared" si="33"/>
        <v>1.5069722918950548</v>
      </c>
      <c r="Q12" s="20">
        <f t="shared" si="2"/>
        <v>9.2820073493501472</v>
      </c>
      <c r="R12" s="59">
        <f t="shared" si="0"/>
        <v>198.63996610190623</v>
      </c>
      <c r="S12" s="59">
        <f ca="1">AVERAGE(OFFSET($R$3,0,0,'Données projet'!$E$9+1,1))-AVERAGE(OFFSET($H$3,0,0,'Données projet'!$E$9+1,1))</f>
        <v>567.42635821507474</v>
      </c>
      <c r="T12" s="59">
        <f t="shared" si="34"/>
        <v>299.04735309930152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1.6</v>
      </c>
      <c r="AI12" s="13">
        <f>IF('Données projet'!$A$62&gt;35,AI11+AH12-AQ11,IF(A12&lt;'Données projet'!$A$62,$AF$205^A12,IF(A12='Données projet'!$A$62,'Données projet'!$B$62,AI11+AH12-AQ11)))</f>
        <v>4.7568284600108823</v>
      </c>
      <c r="AJ12" s="13">
        <f>AI12*VLOOKUP('Données projet'!$B$10,Paramètres!$A$1:$I$89,3,0)*VLOOKUP('Données projet'!$B$10,Paramètres!$A$1:$I$89,5,0)</f>
        <v>4.0813588186893375</v>
      </c>
      <c r="AK12" s="13">
        <f t="shared" si="35"/>
        <v>1.5968317780655192</v>
      </c>
      <c r="AL12" s="20">
        <f t="shared" si="4"/>
        <v>9.8895152893480418</v>
      </c>
      <c r="AM12" s="59">
        <f t="shared" si="5"/>
        <v>199.24747404190413</v>
      </c>
      <c r="AN12" s="59">
        <f ca="1">AVERAGE(OFFSET($AM$3,0,0,'Données projet'!$E$10+1,1))-AVERAGE(OFFSET($H$3,0,0,'Données projet'!$E$10+1,1))</f>
        <v>481.23392184981651</v>
      </c>
      <c r="AO12" s="59">
        <f t="shared" si="36"/>
        <v>275.88160405468193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2.6666666666666665</v>
      </c>
      <c r="BD12" s="12">
        <f>IF('Données projet'!$A$88&gt;35,BD11+BC12-BL11,IF(A12&lt;'Données projet'!$A$88,$BA$205^A12,IF(A12='Données projet'!$A$88,'Données projet'!$B$88,BD11+BC12-BL11)))</f>
        <v>9.1461010385465205</v>
      </c>
      <c r="BE12" s="13">
        <f>BD12*VLOOKUP('Données projet'!$B$11,Paramètres!$A$1:$I$89,3,0)*VLOOKUP('Données projet'!$B$11,Paramètres!$A$1:$I$89,5,0)</f>
        <v>7.1339588100662858</v>
      </c>
      <c r="BF12" s="13">
        <f t="shared" si="37"/>
        <v>2.6155015444227643</v>
      </c>
      <c r="BG12" s="20">
        <f t="shared" si="7"/>
        <v>16.980310117401761</v>
      </c>
      <c r="BH12" s="59">
        <f t="shared" si="8"/>
        <v>206.33826886995783</v>
      </c>
      <c r="BI12" s="59">
        <f ca="1">AVERAGE(OFFSET($BH$3,0,0,'Données projet'!$E$11+1,1))-AVERAGE(OFFSET($H$3,0,0,'Données projet'!$E$11+1,1))</f>
        <v>308.85018589589453</v>
      </c>
      <c r="BJ12" s="59">
        <f t="shared" si="38"/>
        <v>302.59481222418219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4.0628205133333335</v>
      </c>
      <c r="BY12" s="12">
        <f>IF('Données projet'!$A$114&gt;35,BY11+BX12-CG11,IF(A12&lt;'Données projet'!$A$114,$BV$205^A12,IF(A12='Données projet'!$A$114,'Données projet'!$B$114,BY11+BX12-CG11)))</f>
        <v>4.2245909795072292</v>
      </c>
      <c r="BZ12" s="13">
        <f>BY12*VLOOKUP('Données projet'!$B$12,Paramètres!$A$1:$I$89,3,0)*VLOOKUP('Données projet'!$B$12,Paramètres!$A$1:$I$89,5,0)</f>
        <v>4.0860243953793924</v>
      </c>
      <c r="CA12" s="13">
        <f t="shared" si="39"/>
        <v>1.5984446004622661</v>
      </c>
      <c r="CB12" s="20">
        <f t="shared" si="10"/>
        <v>9.9004501677575547</v>
      </c>
      <c r="CC12" s="59">
        <f t="shared" si="11"/>
        <v>199.25840892031363</v>
      </c>
      <c r="CD12" s="59">
        <f ca="1">AVERAGE(OFFSET($CC$3,0,0,'Données projet'!$E$12+1,1))-AVERAGE(OFFSET($H$3,0,0,'Données projet'!$E$12+1,1))</f>
        <v>600.96600099724276</v>
      </c>
      <c r="CE12" s="59">
        <f t="shared" si="40"/>
        <v>315.40159260706264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4.0628205133333335</v>
      </c>
      <c r="CT12" s="12">
        <f>IF('Données projet'!$A$140&gt;35,CT11+CS12-DB11,IF(A12&lt;'Données projet'!$A$140,$CQ$205^A12,IF(A12='Données projet'!$A$140,'Données projet'!$B$140,CT11+CS12-DB11)))</f>
        <v>4.2245909795072292</v>
      </c>
      <c r="CU12" s="17">
        <f>CT12*VLOOKUP('Données projet'!$B$13,Paramètres!$A$1:$I$89,3,0)*VLOOKUP('Données projet'!$B$13,Paramètres!$A$1:$I$89,5,0)</f>
        <v>4.0201207760990796</v>
      </c>
      <c r="CV12" s="13">
        <f t="shared" si="41"/>
        <v>1.5756426731168141</v>
      </c>
      <c r="CW12" s="20">
        <f t="shared" si="13"/>
        <v>9.7459546740510152</v>
      </c>
      <c r="CX12" s="59">
        <f t="shared" si="14"/>
        <v>199.10391342660708</v>
      </c>
      <c r="CY12" s="59">
        <f ca="1">AVERAGE(OFFSET($CX$3,0,0,'Données projet'!$E$13+1,1))-AVERAGE(OFFSET($H$3,0,0,'Données projet'!$E$13+1,1))</f>
        <v>592.58528889137358</v>
      </c>
      <c r="CZ12" s="59">
        <f t="shared" si="42"/>
        <v>311.31528020403709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2">
        <f>'Scénario référence'!$B$16*5+'Scénario référence'!$B$17*0+'Scénario référence'!$B$18*5</f>
        <v>5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66">
        <f t="shared" si="1"/>
        <v>183.33333333333334</v>
      </c>
      <c r="I13" s="6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4.0628205133333335</v>
      </c>
      <c r="N13" s="13">
        <f>IF('Données projet'!$A$36&gt;35,N12+M13-V12,IF(A13&lt;'Données projet'!$A$36,$K$205^A13,IF(A13='Données projet'!$A$36,'Données projet'!$B$36,N12+M13-V12)))</f>
        <v>4.9581115908901685</v>
      </c>
      <c r="O13" s="13">
        <f>N13*VLOOKUP('Données projet'!$B$9,Paramètres!$A$1:$I$89,3,0)*VLOOKUP('Données projet'!$B$9,Paramètres!$A$1:$I$89,5,0)</f>
        <v>4.4860993674374248</v>
      </c>
      <c r="P13" s="13">
        <f t="shared" si="33"/>
        <v>1.7359747947147708</v>
      </c>
      <c r="Q13" s="20">
        <f t="shared" si="2"/>
        <v>10.836779165748409</v>
      </c>
      <c r="R13" s="59">
        <f t="shared" si="0"/>
        <v>202.77544115079328</v>
      </c>
      <c r="S13" s="59">
        <f ca="1">AVERAGE(OFFSET($R$3,0,0,'Données projet'!$E$9+1,1))-AVERAGE(OFFSET($H$3,0,0,'Données projet'!$E$9+1,1))</f>
        <v>567.42635821507474</v>
      </c>
      <c r="T13" s="59">
        <f t="shared" si="34"/>
        <v>299.04735309930152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1.6</v>
      </c>
      <c r="AI13" s="13">
        <f>IF('Données projet'!$A$62&gt;35,AI12+AH13-AQ12,IF(A13&lt;'Données projet'!$A$62,$AF$205^A13,IF(A13='Données projet'!$A$62,'Données projet'!$B$62,AI12+AH13-AQ12)))</f>
        <v>5.656854249492377</v>
      </c>
      <c r="AJ13" s="13">
        <f>AI13*VLOOKUP('Données projet'!$B$10,Paramètres!$A$1:$I$89,3,0)*VLOOKUP('Données projet'!$B$10,Paramètres!$A$1:$I$89,5,0)</f>
        <v>4.8535809460644597</v>
      </c>
      <c r="AK13" s="13">
        <f t="shared" si="35"/>
        <v>1.8610442215994896</v>
      </c>
      <c r="AL13" s="20">
        <f t="shared" si="4"/>
        <v>11.694638833681379</v>
      </c>
      <c r="AM13" s="59">
        <f t="shared" si="5"/>
        <v>203.63330081872627</v>
      </c>
      <c r="AN13" s="59">
        <f ca="1">AVERAGE(OFFSET($AM$3,0,0,'Données projet'!$E$10+1,1))-AVERAGE(OFFSET($H$3,0,0,'Données projet'!$E$10+1,1))</f>
        <v>481.23392184981651</v>
      </c>
      <c r="AO13" s="59">
        <f t="shared" si="36"/>
        <v>275.88160405468193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2.6666666666666665</v>
      </c>
      <c r="BD13" s="12">
        <f>IF('Données projet'!$A$88&gt;35,BD12+BC13-BL12,IF(A13&lt;'Données projet'!$A$88,$BA$205^A13,IF(A13='Données projet'!$A$88,'Données projet'!$B$88,BD12+BC13-BL12)))</f>
        <v>11.696070952851455</v>
      </c>
      <c r="BE13" s="13">
        <f>BD13*VLOOKUP('Données projet'!$B$11,Paramètres!$A$1:$I$89,3,0)*VLOOKUP('Données projet'!$B$11,Paramètres!$A$1:$I$89,5,0)</f>
        <v>9.1229353432241354</v>
      </c>
      <c r="BF13" s="13">
        <f t="shared" si="37"/>
        <v>3.2503265450485803</v>
      </c>
      <c r="BG13" s="20">
        <f t="shared" si="7"/>
        <v>21.550097788741649</v>
      </c>
      <c r="BH13" s="59">
        <f t="shared" si="8"/>
        <v>213.48875977378654</v>
      </c>
      <c r="BI13" s="59">
        <f ca="1">AVERAGE(OFFSET($BH$3,0,0,'Données projet'!$E$11+1,1))-AVERAGE(OFFSET($H$3,0,0,'Données projet'!$E$11+1,1))</f>
        <v>308.85018589589453</v>
      </c>
      <c r="BJ13" s="59">
        <f t="shared" si="38"/>
        <v>302.59481222418219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4.0628205133333335</v>
      </c>
      <c r="BY13" s="12">
        <f>IF('Données projet'!$A$114&gt;35,BY12+BX13-CG12,IF(A13&lt;'Données projet'!$A$114,$BV$205^A13,IF(A13='Données projet'!$A$114,'Données projet'!$B$114,BY12+BX13-CG12)))</f>
        <v>4.9581115908901685</v>
      </c>
      <c r="BZ13" s="13">
        <f>BY13*VLOOKUP('Données projet'!$B$12,Paramètres!$A$1:$I$89,3,0)*VLOOKUP('Données projet'!$B$12,Paramètres!$A$1:$I$89,5,0)</f>
        <v>4.7954855307089712</v>
      </c>
      <c r="CA13" s="13">
        <f t="shared" si="39"/>
        <v>1.8413474169859889</v>
      </c>
      <c r="CB13" s="20">
        <f t="shared" si="10"/>
        <v>11.559150717235388</v>
      </c>
      <c r="CC13" s="59">
        <f t="shared" si="11"/>
        <v>203.49781270228027</v>
      </c>
      <c r="CD13" s="59">
        <f ca="1">AVERAGE(OFFSET($CC$3,0,0,'Données projet'!$E$12+1,1))-AVERAGE(OFFSET($H$3,0,0,'Données projet'!$E$12+1,1))</f>
        <v>600.96600099724276</v>
      </c>
      <c r="CE13" s="59">
        <f t="shared" si="40"/>
        <v>315.40159260706264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4.0628205133333335</v>
      </c>
      <c r="CT13" s="12">
        <f>IF('Données projet'!$A$140&gt;35,CT12+CS13-DB12,IF(A13&lt;'Données projet'!$A$140,$CQ$205^A13,IF(A13='Données projet'!$A$140,'Données projet'!$B$140,CT12+CS13-DB12)))</f>
        <v>4.9581115908901685</v>
      </c>
      <c r="CU13" s="17">
        <f>CT13*VLOOKUP('Données projet'!$B$13,Paramètres!$A$1:$I$89,3,0)*VLOOKUP('Données projet'!$B$13,Paramètres!$A$1:$I$89,5,0)</f>
        <v>4.7181389898910844</v>
      </c>
      <c r="CV13" s="13">
        <f t="shared" si="41"/>
        <v>1.8150804634689841</v>
      </c>
      <c r="CW13" s="20">
        <f t="shared" si="13"/>
        <v>11.378690547935454</v>
      </c>
      <c r="CX13" s="59">
        <f t="shared" si="14"/>
        <v>203.31735253298035</v>
      </c>
      <c r="CY13" s="59">
        <f ca="1">AVERAGE(OFFSET($CX$3,0,0,'Données projet'!$E$13+1,1))-AVERAGE(OFFSET($H$3,0,0,'Données projet'!$E$13+1,1))</f>
        <v>592.58528889137358</v>
      </c>
      <c r="CZ13" s="59">
        <f t="shared" si="42"/>
        <v>311.31528020403709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2">
        <f>'Scénario référence'!$B$16*5+'Scénario référence'!$B$17*0+'Scénario référence'!$B$18*5</f>
        <v>5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66">
        <f t="shared" si="1"/>
        <v>183.33333333333334</v>
      </c>
      <c r="I14" s="6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4.0628205133333335</v>
      </c>
      <c r="N14" s="13">
        <f>IF('Données projet'!$A$36&gt;35,N13+M14-V13,IF(A14&lt;'Données projet'!$A$36,$K$205^A14,IF(A14='Données projet'!$A$36,'Données projet'!$B$36,N13+M14-V13)))</f>
        <v>5.8189942332800397</v>
      </c>
      <c r="O14" s="13">
        <f>N14*VLOOKUP('Données projet'!$B$9,Paramètres!$A$1:$I$89,3,0)*VLOOKUP('Données projet'!$B$9,Paramètres!$A$1:$I$89,5,0)</f>
        <v>5.26502598227178</v>
      </c>
      <c r="P14" s="13">
        <f t="shared" si="33"/>
        <v>1.9997769727373709</v>
      </c>
      <c r="Q14" s="20">
        <f t="shared" si="2"/>
        <v>12.652865146640936</v>
      </c>
      <c r="R14" s="59">
        <f t="shared" si="0"/>
        <v>207.14866375575508</v>
      </c>
      <c r="S14" s="59">
        <f ca="1">AVERAGE(OFFSET($R$3,0,0,'Données projet'!$E$9+1,1))-AVERAGE(OFFSET($H$3,0,0,'Données projet'!$E$9+1,1))</f>
        <v>567.42635821507474</v>
      </c>
      <c r="T14" s="59">
        <f t="shared" si="34"/>
        <v>299.04735309930152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1.6</v>
      </c>
      <c r="AI14" s="13">
        <f>IF('Données projet'!$A$62&gt;35,AI13+AH14-AQ13,IF(A14&lt;'Données projet'!$A$62,$AF$205^A14,IF(A14='Données projet'!$A$62,'Données projet'!$B$62,AI13+AH14-AQ13)))</f>
        <v>6.7271713220297125</v>
      </c>
      <c r="AJ14" s="13">
        <f>AI14*VLOOKUP('Données projet'!$B$10,Paramètres!$A$1:$I$89,3,0)*VLOOKUP('Données projet'!$B$10,Paramètres!$A$1:$I$89,5,0)</f>
        <v>5.771912994301494</v>
      </c>
      <c r="AK14" s="13">
        <f t="shared" si="35"/>
        <v>2.1689733648366443</v>
      </c>
      <c r="AL14" s="20">
        <f t="shared" si="4"/>
        <v>13.830377075498925</v>
      </c>
      <c r="AM14" s="59">
        <f t="shared" si="5"/>
        <v>208.32617568461305</v>
      </c>
      <c r="AN14" s="59">
        <f ca="1">AVERAGE(OFFSET($AM$3,0,0,'Données projet'!$E$10+1,1))-AVERAGE(OFFSET($H$3,0,0,'Données projet'!$E$10+1,1))</f>
        <v>481.23392184981651</v>
      </c>
      <c r="AO14" s="59">
        <f t="shared" si="36"/>
        <v>275.88160405468193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2.6666666666666665</v>
      </c>
      <c r="BD14" s="12">
        <f>IF('Données projet'!$A$88&gt;35,BD13+BC14-BL13,IF(A14&lt;'Données projet'!$A$88,$BA$205^A14,IF(A14='Données projet'!$A$88,'Données projet'!$B$88,BD13+BC14-BL13)))</f>
        <v>14.956982779612416</v>
      </c>
      <c r="BE14" s="13">
        <f>BD14*VLOOKUP('Données projet'!$B$11,Paramètres!$A$1:$I$89,3,0)*VLOOKUP('Données projet'!$B$11,Paramètres!$A$1:$I$89,5,0)</f>
        <v>11.666446568097685</v>
      </c>
      <c r="BF14" s="13">
        <f t="shared" si="37"/>
        <v>4.0392339557111736</v>
      </c>
      <c r="BG14" s="20">
        <f t="shared" si="7"/>
        <v>27.354060245633761</v>
      </c>
      <c r="BH14" s="59">
        <f t="shared" si="8"/>
        <v>221.84985885474788</v>
      </c>
      <c r="BI14" s="59">
        <f ca="1">AVERAGE(OFFSET($BH$3,0,0,'Données projet'!$E$11+1,1))-AVERAGE(OFFSET($H$3,0,0,'Données projet'!$E$11+1,1))</f>
        <v>308.85018589589453</v>
      </c>
      <c r="BJ14" s="59">
        <f t="shared" si="38"/>
        <v>302.59481222418219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4.0628205133333335</v>
      </c>
      <c r="BY14" s="12">
        <f>IF('Données projet'!$A$114&gt;35,BY13+BX14-CG13,IF(A14&lt;'Données projet'!$A$114,$BV$205^A14,IF(A14='Données projet'!$A$114,'Données projet'!$B$114,BY13+BX14-CG13)))</f>
        <v>5.8189942332800397</v>
      </c>
      <c r="BZ14" s="13">
        <f>BY14*VLOOKUP('Données projet'!$B$12,Paramètres!$A$1:$I$89,3,0)*VLOOKUP('Données projet'!$B$12,Paramètres!$A$1:$I$89,5,0)</f>
        <v>5.6281312224284541</v>
      </c>
      <c r="CA14" s="13">
        <f t="shared" si="39"/>
        <v>2.1211622279936591</v>
      </c>
      <c r="CB14" s="20">
        <f t="shared" si="10"/>
        <v>13.496686092818514</v>
      </c>
      <c r="CC14" s="59">
        <f t="shared" si="11"/>
        <v>207.99248470193265</v>
      </c>
      <c r="CD14" s="59">
        <f ca="1">AVERAGE(OFFSET($CC$3,0,0,'Données projet'!$E$12+1,1))-AVERAGE(OFFSET($H$3,0,0,'Données projet'!$E$12+1,1))</f>
        <v>600.96600099724276</v>
      </c>
      <c r="CE14" s="59">
        <f t="shared" si="40"/>
        <v>315.40159260706264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4.0628205133333335</v>
      </c>
      <c r="CT14" s="12">
        <f>IF('Données projet'!$A$140&gt;35,CT13+CS14-DB13,IF(A14&lt;'Données projet'!$A$140,$CQ$205^A14,IF(A14='Données projet'!$A$140,'Données projet'!$B$140,CT13+CS14-DB13)))</f>
        <v>5.8189942332800397</v>
      </c>
      <c r="CU14" s="17">
        <f>CT14*VLOOKUP('Données projet'!$B$13,Paramètres!$A$1:$I$89,3,0)*VLOOKUP('Données projet'!$B$13,Paramètres!$A$1:$I$89,5,0)</f>
        <v>5.5373549123892865</v>
      </c>
      <c r="CV14" s="13">
        <f t="shared" si="41"/>
        <v>2.0909036960453893</v>
      </c>
      <c r="CW14" s="20">
        <f t="shared" si="13"/>
        <v>13.285883743023726</v>
      </c>
      <c r="CX14" s="59">
        <f t="shared" si="14"/>
        <v>207.78168235213786</v>
      </c>
      <c r="CY14" s="59">
        <f ca="1">AVERAGE(OFFSET($CX$3,0,0,'Données projet'!$E$13+1,1))-AVERAGE(OFFSET($H$3,0,0,'Données projet'!$E$13+1,1))</f>
        <v>592.58528889137358</v>
      </c>
      <c r="CZ14" s="59">
        <f t="shared" si="42"/>
        <v>311.31528020403709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2">
        <f>'Scénario référence'!$B$16*5+'Scénario référence'!$B$17*0+'Scénario référence'!$B$18*5</f>
        <v>5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66">
        <f t="shared" si="1"/>
        <v>183.33333333333334</v>
      </c>
      <c r="I15" s="6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4.0628205133333335</v>
      </c>
      <c r="N15" s="13">
        <f>IF('Données projet'!$A$36&gt;35,N14+M15-V14,IF(A15&lt;'Données projet'!$A$36,$K$205^A15,IF(A15='Données projet'!$A$36,'Données projet'!$B$36,N14+M15-V14)))</f>
        <v>6.8293529232300063</v>
      </c>
      <c r="O15" s="13">
        <f>N15*VLOOKUP('Données projet'!$B$9,Paramètres!$A$1:$I$89,3,0)*VLOOKUP('Données projet'!$B$9,Paramètres!$A$1:$I$89,5,0)</f>
        <v>6.17919852493851</v>
      </c>
      <c r="P15" s="13">
        <f t="shared" si="33"/>
        <v>2.3036670537303023</v>
      </c>
      <c r="Q15" s="20">
        <f t="shared" si="2"/>
        <v>14.774324216181517</v>
      </c>
      <c r="R15" s="59">
        <f t="shared" si="0"/>
        <v>211.8041016689144</v>
      </c>
      <c r="S15" s="59">
        <f ca="1">AVERAGE(OFFSET($R$3,0,0,'Données projet'!$E$9+1,1))-AVERAGE(OFFSET($H$3,0,0,'Données projet'!$E$9+1,1))</f>
        <v>567.42635821507474</v>
      </c>
      <c r="T15" s="59">
        <f t="shared" si="34"/>
        <v>299.04735309930152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1.6</v>
      </c>
      <c r="AI15" s="13">
        <f>IF('Données projet'!$A$62&gt;35,AI14+AH15-AQ14,IF(A15&lt;'Données projet'!$A$62,$AF$205^A15,IF(A15='Données projet'!$A$62,'Données projet'!$B$62,AI14+AH15-AQ14)))</f>
        <v>7.9999999999999947</v>
      </c>
      <c r="AJ15" s="13">
        <f>AI15*VLOOKUP('Données projet'!$B$10,Paramètres!$A$1:$I$89,3,0)*VLOOKUP('Données projet'!$B$10,Paramètres!$A$1:$I$89,5,0)</f>
        <v>6.8639999999999963</v>
      </c>
      <c r="AK15" s="13">
        <f t="shared" si="35"/>
        <v>2.5278525909113112</v>
      </c>
      <c r="AL15" s="20">
        <f t="shared" si="4"/>
        <v>16.357476595837191</v>
      </c>
      <c r="AM15" s="59">
        <f t="shared" si="5"/>
        <v>213.38725404857007</v>
      </c>
      <c r="AN15" s="59">
        <f ca="1">AVERAGE(OFFSET($AM$3,0,0,'Données projet'!$E$10+1,1))-AVERAGE(OFFSET($H$3,0,0,'Données projet'!$E$10+1,1))</f>
        <v>481.23392184981651</v>
      </c>
      <c r="AO15" s="59">
        <f t="shared" si="36"/>
        <v>275.88160405468193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2.6666666666666665</v>
      </c>
      <c r="BD15" s="12">
        <f>IF('Données projet'!$A$88&gt;35,BD14+BC15-BL14,IF(A15&lt;'Données projet'!$A$88,$BA$205^A15,IF(A15='Données projet'!$A$88,'Données projet'!$B$88,BD14+BC15-BL14)))</f>
        <v>19.127049995800721</v>
      </c>
      <c r="BE15" s="13">
        <f>BD15*VLOOKUP('Données projet'!$B$11,Paramètres!$A$1:$I$89,3,0)*VLOOKUP('Données projet'!$B$11,Paramètres!$A$1:$I$89,5,0)</f>
        <v>14.919098996724562</v>
      </c>
      <c r="BF15" s="13">
        <f t="shared" si="37"/>
        <v>5.019622097301081</v>
      </c>
      <c r="BG15" s="20">
        <f t="shared" si="7"/>
        <v>34.726605905427995</v>
      </c>
      <c r="BH15" s="59">
        <f t="shared" si="8"/>
        <v>231.75638335816086</v>
      </c>
      <c r="BI15" s="59">
        <f ca="1">AVERAGE(OFFSET($BH$3,0,0,'Données projet'!$E$11+1,1))-AVERAGE(OFFSET($H$3,0,0,'Données projet'!$E$11+1,1))</f>
        <v>308.85018589589453</v>
      </c>
      <c r="BJ15" s="59">
        <f t="shared" si="38"/>
        <v>302.59481222418219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4.0628205133333335</v>
      </c>
      <c r="BY15" s="12">
        <f>IF('Données projet'!$A$114&gt;35,BY14+BX15-CG14,IF(A15&lt;'Données projet'!$A$114,$BV$205^A15,IF(A15='Données projet'!$A$114,'Données projet'!$B$114,BY14+BX15-CG14)))</f>
        <v>6.8293529232300063</v>
      </c>
      <c r="BZ15" s="13">
        <f>BY15*VLOOKUP('Données projet'!$B$12,Paramètres!$A$1:$I$89,3,0)*VLOOKUP('Données projet'!$B$12,Paramètres!$A$1:$I$89,5,0)</f>
        <v>6.6053501473480623</v>
      </c>
      <c r="CA15" s="13">
        <f t="shared" si="39"/>
        <v>2.4434982534864362</v>
      </c>
      <c r="CB15" s="20">
        <f t="shared" si="10"/>
        <v>15.760077631453415</v>
      </c>
      <c r="CC15" s="59">
        <f t="shared" si="11"/>
        <v>212.78985508418629</v>
      </c>
      <c r="CD15" s="59">
        <f ca="1">AVERAGE(OFFSET($CC$3,0,0,'Données projet'!$E$12+1,1))-AVERAGE(OFFSET($H$3,0,0,'Données projet'!$E$12+1,1))</f>
        <v>600.96600099724276</v>
      </c>
      <c r="CE15" s="59">
        <f t="shared" si="40"/>
        <v>315.40159260706264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4.0628205133333335</v>
      </c>
      <c r="CT15" s="12">
        <f>IF('Données projet'!$A$140&gt;35,CT14+CS15-DB14,IF(A15&lt;'Données projet'!$A$140,$CQ$205^A15,IF(A15='Données projet'!$A$140,'Données projet'!$B$140,CT14+CS15-DB14)))</f>
        <v>6.8293529232300063</v>
      </c>
      <c r="CU15" s="17">
        <f>CT15*VLOOKUP('Données projet'!$B$13,Paramètres!$A$1:$I$89,3,0)*VLOOKUP('Données projet'!$B$13,Paramètres!$A$1:$I$89,5,0)</f>
        <v>6.4988122417456742</v>
      </c>
      <c r="CV15" s="13">
        <f t="shared" si="41"/>
        <v>2.4086415749198946</v>
      </c>
      <c r="CW15" s="20">
        <f t="shared" si="13"/>
        <v>15.513815397359197</v>
      </c>
      <c r="CX15" s="59">
        <f t="shared" si="14"/>
        <v>212.54359285009207</v>
      </c>
      <c r="CY15" s="59">
        <f ca="1">AVERAGE(OFFSET($CX$3,0,0,'Données projet'!$E$13+1,1))-AVERAGE(OFFSET($H$3,0,0,'Données projet'!$E$13+1,1))</f>
        <v>592.58528889137358</v>
      </c>
      <c r="CZ15" s="59">
        <f t="shared" si="42"/>
        <v>311.31528020403709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2">
        <f>'Scénario référence'!$B$16*5+'Scénario référence'!$B$17*0+'Scénario référence'!$B$18*5</f>
        <v>5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66">
        <f t="shared" si="1"/>
        <v>183.33333333333334</v>
      </c>
      <c r="I16" s="6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4.0628205133333335</v>
      </c>
      <c r="N16" s="13">
        <f>IF('Données projet'!$A$36&gt;35,N15+M16-V15,IF(A16&lt;'Données projet'!$A$36,$K$205^A16,IF(A16='Données projet'!$A$36,'Données projet'!$B$36,N15+M16-V15)))</f>
        <v>8.0151413595301424</v>
      </c>
      <c r="O16" s="13">
        <f>N16*VLOOKUP('Données projet'!$B$9,Paramètres!$A$1:$I$89,3,0)*VLOOKUP('Données projet'!$B$9,Paramètres!$A$1:$I$89,5,0)</f>
        <v>7.2520999021028727</v>
      </c>
      <c r="P16" s="13">
        <f t="shared" si="33"/>
        <v>2.6537368750567167</v>
      </c>
      <c r="Q16" s="20">
        <f t="shared" si="2"/>
        <v>17.252665720219614</v>
      </c>
      <c r="R16" s="59">
        <f t="shared" si="0"/>
        <v>216.79366597183844</v>
      </c>
      <c r="S16" s="59">
        <f ca="1">AVERAGE(OFFSET($R$3,0,0,'Données projet'!$E$9+1,1))-AVERAGE(OFFSET($H$3,0,0,'Données projet'!$E$9+1,1))</f>
        <v>567.42635821507474</v>
      </c>
      <c r="T16" s="59">
        <f t="shared" si="34"/>
        <v>299.04735309930152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1.6</v>
      </c>
      <c r="AI16" s="13">
        <f>IF('Données projet'!$A$62&gt;35,AI15+AH16-AQ15,IF(A16&lt;'Données projet'!$A$62,$AF$205^A16,IF(A16='Données projet'!$A$62,'Données projet'!$B$62,AI15+AH16-AQ15)))</f>
        <v>9.5136569200217629</v>
      </c>
      <c r="AJ16" s="13">
        <f>AI16*VLOOKUP('Données projet'!$B$10,Paramètres!$A$1:$I$89,3,0)*VLOOKUP('Données projet'!$B$10,Paramètres!$A$1:$I$89,5,0)</f>
        <v>8.1627176373786732</v>
      </c>
      <c r="AK16" s="13">
        <f t="shared" si="35"/>
        <v>2.946112121509751</v>
      </c>
      <c r="AL16" s="20">
        <f t="shared" si="4"/>
        <v>19.347878496730672</v>
      </c>
      <c r="AM16" s="59">
        <f t="shared" si="5"/>
        <v>218.8888787483495</v>
      </c>
      <c r="AN16" s="59">
        <f ca="1">AVERAGE(OFFSET($AM$3,0,0,'Données projet'!$E$10+1,1))-AVERAGE(OFFSET($H$3,0,0,'Données projet'!$E$10+1,1))</f>
        <v>481.23392184981651</v>
      </c>
      <c r="AO16" s="59">
        <f t="shared" si="36"/>
        <v>275.88160405468193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2.6666666666666665</v>
      </c>
      <c r="BD16" s="12">
        <f>IF('Données projet'!$A$88&gt;35,BD15+BC16-BL15,IF(A16&lt;'Données projet'!$A$88,$BA$205^A16,IF(A16='Données projet'!$A$88,'Données projet'!$B$88,BD15+BC16-BL15)))</f>
        <v>24.459748796430759</v>
      </c>
      <c r="BE16" s="13">
        <f>BD16*VLOOKUP('Données projet'!$B$11,Paramètres!$A$1:$I$89,3,0)*VLOOKUP('Données projet'!$B$11,Paramètres!$A$1:$I$89,5,0)</f>
        <v>19.078604061215994</v>
      </c>
      <c r="BF16" s="13">
        <f t="shared" si="37"/>
        <v>6.2379664748280286</v>
      </c>
      <c r="BG16" s="20">
        <f t="shared" si="7"/>
        <v>44.093027016943331</v>
      </c>
      <c r="BH16" s="59">
        <f t="shared" si="8"/>
        <v>243.63402726856214</v>
      </c>
      <c r="BI16" s="59">
        <f ca="1">AVERAGE(OFFSET($BH$3,0,0,'Données projet'!$E$11+1,1))-AVERAGE(OFFSET($H$3,0,0,'Données projet'!$E$11+1,1))</f>
        <v>308.85018589589453</v>
      </c>
      <c r="BJ16" s="59">
        <f t="shared" si="38"/>
        <v>302.59481222418219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4.0628205133333335</v>
      </c>
      <c r="BY16" s="12">
        <f>IF('Données projet'!$A$114&gt;35,BY15+BX16-CG15,IF(A16&lt;'Données projet'!$A$114,$BV$205^A16,IF(A16='Données projet'!$A$114,'Données projet'!$B$114,BY15+BX16-CG15)))</f>
        <v>8.0151413595301424</v>
      </c>
      <c r="BZ16" s="13">
        <f>BY16*VLOOKUP('Données projet'!$B$12,Paramètres!$A$1:$I$89,3,0)*VLOOKUP('Données projet'!$B$12,Paramètres!$A$1:$I$89,5,0)</f>
        <v>7.7522447229375544</v>
      </c>
      <c r="CA16" s="13">
        <f t="shared" si="39"/>
        <v>2.8148171016786141</v>
      </c>
      <c r="CB16" s="20">
        <f t="shared" si="10"/>
        <v>18.404299344539826</v>
      </c>
      <c r="CC16" s="59">
        <f t="shared" si="11"/>
        <v>217.94529959615863</v>
      </c>
      <c r="CD16" s="59">
        <f ca="1">AVERAGE(OFFSET($CC$3,0,0,'Données projet'!$E$12+1,1))-AVERAGE(OFFSET($H$3,0,0,'Données projet'!$E$12+1,1))</f>
        <v>600.96600099724276</v>
      </c>
      <c r="CE16" s="59">
        <f t="shared" si="40"/>
        <v>315.40159260706264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4.0628205133333335</v>
      </c>
      <c r="CT16" s="12">
        <f>IF('Données projet'!$A$140&gt;35,CT15+CS16-DB15,IF(A16&lt;'Données projet'!$A$140,$CQ$205^A16,IF(A16='Données projet'!$A$140,'Données projet'!$B$140,CT15+CS16-DB15)))</f>
        <v>8.0151413595301424</v>
      </c>
      <c r="CU16" s="17">
        <f>CT16*VLOOKUP('Données projet'!$B$13,Paramètres!$A$1:$I$89,3,0)*VLOOKUP('Données projet'!$B$13,Paramètres!$A$1:$I$89,5,0)</f>
        <v>7.6272085177288833</v>
      </c>
      <c r="CV16" s="13">
        <f t="shared" si="41"/>
        <v>2.7746635330002554</v>
      </c>
      <c r="CW16" s="20">
        <f t="shared" si="13"/>
        <v>18.116593821686582</v>
      </c>
      <c r="CX16" s="59">
        <f t="shared" si="14"/>
        <v>217.6575940733054</v>
      </c>
      <c r="CY16" s="59">
        <f ca="1">AVERAGE(OFFSET($CX$3,0,0,'Données projet'!$E$13+1,1))-AVERAGE(OFFSET($H$3,0,0,'Données projet'!$E$13+1,1))</f>
        <v>592.58528889137358</v>
      </c>
      <c r="CZ16" s="59">
        <f t="shared" si="42"/>
        <v>311.31528020403709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2">
        <f>'Scénario référence'!$B$16*5+'Scénario référence'!$B$17*0+'Scénario référence'!$B$18*5</f>
        <v>5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66">
        <f t="shared" si="1"/>
        <v>183.33333333333334</v>
      </c>
      <c r="I17" s="6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4.0628205133333335</v>
      </c>
      <c r="N17" s="13">
        <f>IF('Données projet'!$A$36&gt;35,N16+M17-V16,IF(A17&lt;'Données projet'!$A$36,$K$205^A17,IF(A17='Données projet'!$A$36,'Données projet'!$B$36,N16+M17-V16)))</f>
        <v>9.4068196116692437</v>
      </c>
      <c r="O17" s="13">
        <f>N17*VLOOKUP('Données projet'!$B$9,Paramètres!$A$1:$I$89,3,0)*VLOOKUP('Données projet'!$B$9,Paramètres!$A$1:$I$89,5,0)</f>
        <v>8.5112903846383308</v>
      </c>
      <c r="P17" s="13">
        <f t="shared" si="33"/>
        <v>3.0570040017858653</v>
      </c>
      <c r="Q17" s="20">
        <f t="shared" si="2"/>
        <v>20.148112723022138</v>
      </c>
      <c r="R17" s="59">
        <f t="shared" si="0"/>
        <v>222.17797449529533</v>
      </c>
      <c r="S17" s="59">
        <f ca="1">AVERAGE(OFFSET($R$3,0,0,'Données projet'!$E$9+1,1))-AVERAGE(OFFSET($H$3,0,0,'Données projet'!$E$9+1,1))</f>
        <v>567.42635821507474</v>
      </c>
      <c r="T17" s="59">
        <f t="shared" si="34"/>
        <v>299.04735309930152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1.6</v>
      </c>
      <c r="AI17" s="13">
        <f>IF('Données projet'!$A$62&gt;35,AI16+AH17-AQ16,IF(A17&lt;'Données projet'!$A$62,$AF$205^A17,IF(A17='Données projet'!$A$62,'Données projet'!$B$62,AI16+AH17-AQ16)))</f>
        <v>11.313708498984752</v>
      </c>
      <c r="AJ17" s="13">
        <f>AI17*VLOOKUP('Données projet'!$B$10,Paramètres!$A$1:$I$89,3,0)*VLOOKUP('Données projet'!$B$10,Paramètres!$A$1:$I$89,5,0)</f>
        <v>9.7071618921289176</v>
      </c>
      <c r="AK17" s="13">
        <f t="shared" si="35"/>
        <v>3.433577046269785</v>
      </c>
      <c r="AL17" s="20">
        <f t="shared" si="4"/>
        <v>22.886786984377736</v>
      </c>
      <c r="AM17" s="59">
        <f t="shared" si="5"/>
        <v>224.91664875665094</v>
      </c>
      <c r="AN17" s="59">
        <f ca="1">AVERAGE(OFFSET($AM$3,0,0,'Données projet'!$E$10+1,1))-AVERAGE(OFFSET($H$3,0,0,'Données projet'!$E$10+1,1))</f>
        <v>481.23392184981651</v>
      </c>
      <c r="AO17" s="59">
        <f t="shared" si="36"/>
        <v>275.88160405468193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2.6666666666666665</v>
      </c>
      <c r="BD17" s="12">
        <f>IF('Données projet'!$A$88&gt;35,BD16+BC17-BL16,IF(A17&lt;'Données projet'!$A$88,$BA$205^A17,IF(A17='Données projet'!$A$88,'Données projet'!$B$88,BD16+BC17-BL16)))</f>
        <v>31.279225563578599</v>
      </c>
      <c r="BE17" s="13">
        <f>BD17*VLOOKUP('Données projet'!$B$11,Paramètres!$A$1:$I$89,3,0)*VLOOKUP('Données projet'!$B$11,Paramètres!$A$1:$I$89,5,0)</f>
        <v>24.397795939591308</v>
      </c>
      <c r="BF17" s="13">
        <f t="shared" si="37"/>
        <v>7.75202295846145</v>
      </c>
      <c r="BG17" s="20">
        <f t="shared" si="7"/>
        <v>55.994267914108548</v>
      </c>
      <c r="BH17" s="59">
        <f t="shared" si="8"/>
        <v>258.02412968638174</v>
      </c>
      <c r="BI17" s="59">
        <f ca="1">AVERAGE(OFFSET($BH$3,0,0,'Données projet'!$E$11+1,1))-AVERAGE(OFFSET($H$3,0,0,'Données projet'!$E$11+1,1))</f>
        <v>308.85018589589453</v>
      </c>
      <c r="BJ17" s="59">
        <f t="shared" si="38"/>
        <v>302.59481222418219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4.0628205133333335</v>
      </c>
      <c r="BY17" s="12">
        <f>IF('Données projet'!$A$114&gt;35,BY16+BX17-CG16,IF(A17&lt;'Données projet'!$A$114,$BV$205^A17,IF(A17='Données projet'!$A$114,'Données projet'!$B$114,BY16+BX17-CG16)))</f>
        <v>9.4068196116692437</v>
      </c>
      <c r="BZ17" s="13">
        <f>BY17*VLOOKUP('Données projet'!$B$12,Paramètres!$A$1:$I$89,3,0)*VLOOKUP('Données projet'!$B$12,Paramètres!$A$1:$I$89,5,0)</f>
        <v>9.0982759284064922</v>
      </c>
      <c r="CA17" s="13">
        <f t="shared" si="39"/>
        <v>3.2425622996036125</v>
      </c>
      <c r="CB17" s="20">
        <f t="shared" si="10"/>
        <v>21.493626580450933</v>
      </c>
      <c r="CC17" s="59">
        <f t="shared" si="11"/>
        <v>223.52348835272412</v>
      </c>
      <c r="CD17" s="59">
        <f ca="1">AVERAGE(OFFSET($CC$3,0,0,'Données projet'!$E$12+1,1))-AVERAGE(OFFSET($H$3,0,0,'Données projet'!$E$12+1,1))</f>
        <v>600.96600099724276</v>
      </c>
      <c r="CE17" s="59">
        <f t="shared" si="40"/>
        <v>315.40159260706264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4.0628205133333335</v>
      </c>
      <c r="CT17" s="12">
        <f>IF('Données projet'!$A$140&gt;35,CT16+CS17-DB16,IF(A17&lt;'Données projet'!$A$140,$CQ$205^A17,IF(A17='Données projet'!$A$140,'Données projet'!$B$140,CT16+CS17-DB16)))</f>
        <v>9.4068196116692437</v>
      </c>
      <c r="CU17" s="17">
        <f>CT17*VLOOKUP('Données projet'!$B$13,Paramètres!$A$1:$I$89,3,0)*VLOOKUP('Données projet'!$B$13,Paramètres!$A$1:$I$89,5,0)</f>
        <v>8.9515295424644528</v>
      </c>
      <c r="CV17" s="13">
        <f t="shared" si="41"/>
        <v>3.1963069148706795</v>
      </c>
      <c r="CW17" s="20">
        <f t="shared" si="13"/>
        <v>21.157481829858686</v>
      </c>
      <c r="CX17" s="59">
        <f t="shared" si="14"/>
        <v>223.18734360213188</v>
      </c>
      <c r="CY17" s="59">
        <f ca="1">AVERAGE(OFFSET($CX$3,0,0,'Données projet'!$E$13+1,1))-AVERAGE(OFFSET($H$3,0,0,'Données projet'!$E$13+1,1))</f>
        <v>592.58528889137358</v>
      </c>
      <c r="CZ17" s="59">
        <f t="shared" si="42"/>
        <v>311.31528020403709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2">
        <f>'Scénario référence'!$B$16*5+'Scénario référence'!$B$17*0+'Scénario référence'!$B$18*5</f>
        <v>5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66">
        <f t="shared" si="1"/>
        <v>183.33333333333334</v>
      </c>
      <c r="I18" s="6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4.0628205133333335</v>
      </c>
      <c r="N18" s="13">
        <f>IF('Données projet'!$A$36&gt;35,N17+M18-V17,IF(A18&lt;'Données projet'!$A$36,$K$205^A18,IF(A18='Données projet'!$A$36,'Données projet'!$B$36,N17+M18-V17)))</f>
        <v>11.04013656618433</v>
      </c>
      <c r="O18" s="13">
        <f>N18*VLOOKUP('Données projet'!$B$9,Paramètres!$A$1:$I$89,3,0)*VLOOKUP('Données projet'!$B$9,Paramètres!$A$1:$I$89,5,0)</f>
        <v>9.9891155650835817</v>
      </c>
      <c r="P18" s="13">
        <f t="shared" si="33"/>
        <v>3.52155240211412</v>
      </c>
      <c r="Q18" s="20">
        <f t="shared" si="2"/>
        <v>23.531080042869331</v>
      </c>
      <c r="R18" s="59">
        <f t="shared" si="0"/>
        <v>228.02782997575036</v>
      </c>
      <c r="S18" s="59">
        <f ca="1">AVERAGE(OFFSET($R$3,0,0,'Données projet'!$E$9+1,1))-AVERAGE(OFFSET($H$3,0,0,'Données projet'!$E$9+1,1))</f>
        <v>567.42635821507474</v>
      </c>
      <c r="T18" s="59">
        <f t="shared" si="34"/>
        <v>299.04735309930152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1.6</v>
      </c>
      <c r="AI18" s="13">
        <f>IF('Données projet'!$A$62&gt;35,AI17+AH18-AQ17,IF(A18&lt;'Données projet'!$A$62,$AF$205^A18,IF(A18='Données projet'!$A$62,'Données projet'!$B$62,AI17+AH18-AQ17)))</f>
        <v>13.454342644059421</v>
      </c>
      <c r="AJ18" s="13">
        <f>AI18*VLOOKUP('Données projet'!$B$10,Paramètres!$A$1:$I$89,3,0)*VLOOKUP('Données projet'!$B$10,Paramètres!$A$1:$I$89,5,0)</f>
        <v>11.543825988602984</v>
      </c>
      <c r="AK18" s="13">
        <f t="shared" si="35"/>
        <v>4.0016981182064377</v>
      </c>
      <c r="AL18" s="20">
        <f t="shared" si="4"/>
        <v>27.075121152693075</v>
      </c>
      <c r="AM18" s="59">
        <f t="shared" si="5"/>
        <v>231.57187108557412</v>
      </c>
      <c r="AN18" s="59">
        <f ca="1">AVERAGE(OFFSET($AM$3,0,0,'Données projet'!$E$10+1,1))-AVERAGE(OFFSET($H$3,0,0,'Données projet'!$E$10+1,1))</f>
        <v>481.23392184981651</v>
      </c>
      <c r="AO18" s="59">
        <f t="shared" si="36"/>
        <v>275.88160405468193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>
        <f>VLOOKUP(A18,'Données projet'!$A$87:$I$107,2,0)</f>
        <v>40</v>
      </c>
      <c r="BB18" s="12">
        <f>VLOOKUP(A18,'Données projet'!$A$87:$I$107,9,0)</f>
        <v>2.6666666666666665</v>
      </c>
      <c r="BC18" s="12">
        <f t="array" ref="BC18">INDEX(BB:BB,MIN(IF(ISNUMBER(BB18:BB214),ROW(BB18:BB214),"")))</f>
        <v>2.6666666666666665</v>
      </c>
      <c r="BD18" s="12">
        <f>IF('Données projet'!$A$88&gt;35,BD17+BC18-BL17,IF(A18&lt;'Données projet'!$A$88,$BA$205^A18,IF(A18='Données projet'!$A$88,'Données projet'!$B$88,BD17+BC18-BL17)))</f>
        <v>40</v>
      </c>
      <c r="BE18" s="13">
        <f>BD18*VLOOKUP('Données projet'!$B$11,Paramètres!$A$1:$I$89,3,0)*VLOOKUP('Données projet'!$B$11,Paramètres!$A$1:$I$89,5,0)</f>
        <v>31.200000000000003</v>
      </c>
      <c r="BF18" s="13">
        <f t="shared" si="37"/>
        <v>9.6335657126419925</v>
      </c>
      <c r="BG18" s="20">
        <f t="shared" si="7"/>
        <v>71.118460282851473</v>
      </c>
      <c r="BH18" s="59">
        <f t="shared" si="8"/>
        <v>275.61521021573253</v>
      </c>
      <c r="BI18" s="59">
        <f ca="1">AVERAGE(OFFSET($BH$3,0,0,'Données projet'!$E$11+1,1))-AVERAGE(OFFSET($H$3,0,0,'Données projet'!$E$11+1,1))</f>
        <v>308.85018589589453</v>
      </c>
      <c r="BJ18" s="59">
        <f t="shared" si="38"/>
        <v>302.59481222418219</v>
      </c>
      <c r="BK18" s="15">
        <f>IF(ISNA(VLOOKUP(A18,'Données projet'!$A$87:$I$107,3,0)),0,VLOOKUP(A18,'Données projet'!$A$87:$I$107,3,0))</f>
        <v>1</v>
      </c>
      <c r="BL18" s="15">
        <f>IF(ISNA(VLOOKUP(A18,'Données projet'!$A$87:$I$107,4,0)),0,VLOOKUP(A18,'Données projet'!$A$87:$I$107,4,0))</f>
        <v>3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4.0628205133333335</v>
      </c>
      <c r="BY18" s="12">
        <f>IF('Données projet'!$A$114&gt;35,BY17+BX18-CG17,IF(A18&lt;'Données projet'!$A$114,$BV$205^A18,IF(A18='Données projet'!$A$114,'Données projet'!$B$114,BY17+BX18-CG17)))</f>
        <v>11.04013656618433</v>
      </c>
      <c r="BZ18" s="13">
        <f>BY18*VLOOKUP('Données projet'!$B$12,Paramètres!$A$1:$I$89,3,0)*VLOOKUP('Données projet'!$B$12,Paramètres!$A$1:$I$89,5,0)</f>
        <v>10.678020086813484</v>
      </c>
      <c r="CA18" s="13">
        <f t="shared" si="39"/>
        <v>3.7353085074481505</v>
      </c>
      <c r="CB18" s="20">
        <f t="shared" si="10"/>
        <v>25.103213968339016</v>
      </c>
      <c r="CC18" s="59">
        <f t="shared" si="11"/>
        <v>229.59996390122006</v>
      </c>
      <c r="CD18" s="59">
        <f ca="1">AVERAGE(OFFSET($CC$3,0,0,'Données projet'!$E$12+1,1))-AVERAGE(OFFSET($H$3,0,0,'Données projet'!$E$12+1,1))</f>
        <v>600.96600099724276</v>
      </c>
      <c r="CE18" s="59">
        <f t="shared" si="40"/>
        <v>315.40159260706264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4.0628205133333335</v>
      </c>
      <c r="CT18" s="12">
        <f>IF('Données projet'!$A$140&gt;35,CT17+CS18-DB17,IF(A18&lt;'Données projet'!$A$140,$CQ$205^A18,IF(A18='Données projet'!$A$140,'Données projet'!$B$140,CT17+CS18-DB17)))</f>
        <v>11.04013656618433</v>
      </c>
      <c r="CU18" s="17">
        <f>CT18*VLOOKUP('Données projet'!$B$13,Paramètres!$A$1:$I$89,3,0)*VLOOKUP('Données projet'!$B$13,Paramètres!$A$1:$I$89,5,0)</f>
        <v>10.505793956381009</v>
      </c>
      <c r="CV18" s="13">
        <f t="shared" si="41"/>
        <v>3.6820240625727703</v>
      </c>
      <c r="CW18" s="20">
        <f t="shared" si="13"/>
        <v>24.710449716344499</v>
      </c>
      <c r="CX18" s="59">
        <f t="shared" si="14"/>
        <v>229.20719964922554</v>
      </c>
      <c r="CY18" s="59">
        <f ca="1">AVERAGE(OFFSET($CX$3,0,0,'Données projet'!$E$13+1,1))-AVERAGE(OFFSET($H$3,0,0,'Données projet'!$E$13+1,1))</f>
        <v>592.58528889137358</v>
      </c>
      <c r="CZ18" s="59">
        <f t="shared" si="42"/>
        <v>311.31528020403709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2">
        <f>'Scénario référence'!$B$16*5+'Scénario référence'!$B$17*0+'Scénario référence'!$B$18*5</f>
        <v>5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66">
        <f t="shared" si="1"/>
        <v>183.33333333333334</v>
      </c>
      <c r="I19" s="6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4.0628205133333335</v>
      </c>
      <c r="N19" s="13">
        <f>IF('Données projet'!$A$36&gt;35,N18+M19-V18,IF(A19&lt;'Données projet'!$A$36,$K$205^A19,IF(A19='Données projet'!$A$36,'Données projet'!$B$36,N18+M19-V18)))</f>
        <v>12.957048230073568</v>
      </c>
      <c r="O19" s="13">
        <f>N19*VLOOKUP('Données projet'!$B$9,Paramètres!$A$1:$I$89,3,0)*VLOOKUP('Données projet'!$B$9,Paramètres!$A$1:$I$89,5,0)</f>
        <v>11.723537238570565</v>
      </c>
      <c r="P19" s="13">
        <f t="shared" si="33"/>
        <v>4.0566945001023926</v>
      </c>
      <c r="Q19" s="20">
        <f t="shared" si="2"/>
        <v>27.483903611522063</v>
      </c>
      <c r="R19" s="59">
        <f t="shared" si="0"/>
        <v>234.42594953363613</v>
      </c>
      <c r="S19" s="59">
        <f ca="1">AVERAGE(OFFSET($R$3,0,0,'Données projet'!$E$9+1,1))-AVERAGE(OFFSET($H$3,0,0,'Données projet'!$E$9+1,1))</f>
        <v>567.42635821507474</v>
      </c>
      <c r="T19" s="59">
        <f t="shared" si="34"/>
        <v>299.04735309930152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1.6</v>
      </c>
      <c r="AI19" s="13">
        <f>IF('Données projet'!$A$62&gt;35,AI18+AH19-AQ18,IF(A19&lt;'Données projet'!$A$62,$AF$205^A19,IF(A19='Données projet'!$A$62,'Données projet'!$B$62,AI18+AH19-AQ18)))</f>
        <v>15.999999999999986</v>
      </c>
      <c r="AJ19" s="13">
        <f>AI19*VLOOKUP('Données projet'!$B$10,Paramètres!$A$1:$I$89,3,0)*VLOOKUP('Données projet'!$B$10,Paramètres!$A$1:$I$89,5,0)</f>
        <v>13.727999999999991</v>
      </c>
      <c r="AK19" s="13">
        <f t="shared" si="35"/>
        <v>4.6638207366437268</v>
      </c>
      <c r="AL19" s="20">
        <f t="shared" si="4"/>
        <v>32.032421116321139</v>
      </c>
      <c r="AM19" s="59">
        <f t="shared" si="5"/>
        <v>238.97446703843519</v>
      </c>
      <c r="AN19" s="59">
        <f ca="1">AVERAGE(OFFSET($AM$3,0,0,'Données projet'!$E$10+1,1))-AVERAGE(OFFSET($H$3,0,0,'Données projet'!$E$10+1,1))</f>
        <v>481.23392184981651</v>
      </c>
      <c r="AO19" s="59">
        <f t="shared" si="36"/>
        <v>275.88160405468193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9.6</v>
      </c>
      <c r="BD19" s="12">
        <f>IF('Données projet'!$A$88&gt;35,BD18+BC19-BL18,IF(A19&lt;'Données projet'!$A$88,$BA$205^A19,IF(A19='Données projet'!$A$88,'Données projet'!$B$88,BD18+BC19-BL18)))</f>
        <v>46.6</v>
      </c>
      <c r="BE19" s="13">
        <f>BD19*VLOOKUP('Données projet'!$B$11,Paramètres!$A$1:$I$89,3,0)*VLOOKUP('Données projet'!$B$11,Paramètres!$A$1:$I$89,5,0)</f>
        <v>36.347999999999999</v>
      </c>
      <c r="BF19" s="13">
        <f t="shared" si="37"/>
        <v>11.025356771848859</v>
      </c>
      <c r="BG19" s="20">
        <f t="shared" si="7"/>
        <v>82.508596377636763</v>
      </c>
      <c r="BH19" s="59">
        <f t="shared" si="8"/>
        <v>289.45064229975083</v>
      </c>
      <c r="BI19" s="59">
        <f ca="1">AVERAGE(OFFSET($BH$3,0,0,'Données projet'!$E$11+1,1))-AVERAGE(OFFSET($H$3,0,0,'Données projet'!$E$11+1,1))</f>
        <v>308.85018589589453</v>
      </c>
      <c r="BJ19" s="59">
        <f t="shared" si="38"/>
        <v>302.59481222418219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4.0628205133333335</v>
      </c>
      <c r="BY19" s="12">
        <f>IF('Données projet'!$A$114&gt;35,BY18+BX19-CG18,IF(A19&lt;'Données projet'!$A$114,$BV$205^A19,IF(A19='Données projet'!$A$114,'Données projet'!$B$114,BY18+BX19-CG18)))</f>
        <v>12.957048230073568</v>
      </c>
      <c r="BZ19" s="13">
        <f>BY19*VLOOKUP('Données projet'!$B$12,Paramètres!$A$1:$I$89,3,0)*VLOOKUP('Données projet'!$B$12,Paramètres!$A$1:$I$89,5,0)</f>
        <v>12.532057048127156</v>
      </c>
      <c r="CA19" s="13">
        <f t="shared" si="39"/>
        <v>4.3029334077930166</v>
      </c>
      <c r="CB19" s="20">
        <f t="shared" si="10"/>
        <v>29.320941710727627</v>
      </c>
      <c r="CC19" s="59">
        <f t="shared" si="11"/>
        <v>236.26298763284169</v>
      </c>
      <c r="CD19" s="59">
        <f ca="1">AVERAGE(OFFSET($CC$3,0,0,'Données projet'!$E$12+1,1))-AVERAGE(OFFSET($H$3,0,0,'Données projet'!$E$12+1,1))</f>
        <v>600.96600099724276</v>
      </c>
      <c r="CE19" s="59">
        <f t="shared" si="40"/>
        <v>315.40159260706264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4.0628205133333335</v>
      </c>
      <c r="CT19" s="12">
        <f>IF('Données projet'!$A$140&gt;35,CT18+CS19-DB18,IF(A19&lt;'Données projet'!$A$140,$CQ$205^A19,IF(A19='Données projet'!$A$140,'Données projet'!$B$140,CT18+CS19-DB18)))</f>
        <v>12.957048230073568</v>
      </c>
      <c r="CU19" s="17">
        <f>CT19*VLOOKUP('Données projet'!$B$13,Paramètres!$A$1:$I$89,3,0)*VLOOKUP('Données projet'!$B$13,Paramètres!$A$1:$I$89,5,0)</f>
        <v>12.329927095738007</v>
      </c>
      <c r="CV19" s="13">
        <f t="shared" si="41"/>
        <v>4.2415517528339128</v>
      </c>
      <c r="CW19" s="20">
        <f t="shared" si="13"/>
        <v>28.861992327929428</v>
      </c>
      <c r="CX19" s="59">
        <f t="shared" si="14"/>
        <v>235.8040382500435</v>
      </c>
      <c r="CY19" s="59">
        <f ca="1">AVERAGE(OFFSET($CX$3,0,0,'Données projet'!$E$13+1,1))-AVERAGE(OFFSET($H$3,0,0,'Données projet'!$E$13+1,1))</f>
        <v>592.58528889137358</v>
      </c>
      <c r="CZ19" s="59">
        <f t="shared" si="42"/>
        <v>311.31528020403709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2">
        <f>'Scénario référence'!$B$16*5+'Scénario référence'!$B$17*0+'Scénario référence'!$B$18*5</f>
        <v>5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66">
        <f t="shared" si="1"/>
        <v>183.33333333333334</v>
      </c>
      <c r="I20" s="6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4.0628205133333335</v>
      </c>
      <c r="N20" s="13">
        <f>IF('Données projet'!$A$36&gt;35,N19+M20-V19,IF(A20&lt;'Données projet'!$A$36,$K$205^A20,IF(A20='Données projet'!$A$36,'Données projet'!$B$36,N19+M20-V19)))</f>
        <v>15.206795480291483</v>
      </c>
      <c r="O20" s="13">
        <f>N20*VLOOKUP('Données projet'!$B$9,Paramètres!$A$1:$I$89,3,0)*VLOOKUP('Données projet'!$B$9,Paramètres!$A$1:$I$89,5,0)</f>
        <v>13.759108550567733</v>
      </c>
      <c r="P20" s="13">
        <f t="shared" si="33"/>
        <v>4.6731578542694354</v>
      </c>
      <c r="Q20" s="20">
        <f t="shared" si="2"/>
        <v>32.10286398842473</v>
      </c>
      <c r="R20" s="59">
        <f t="shared" si="0"/>
        <v>241.46898830429745</v>
      </c>
      <c r="S20" s="59">
        <f ca="1">AVERAGE(OFFSET($R$3,0,0,'Données projet'!$E$9+1,1))-AVERAGE(OFFSET($H$3,0,0,'Données projet'!$E$9+1,1))</f>
        <v>567.42635821507474</v>
      </c>
      <c r="T20" s="59">
        <f t="shared" si="34"/>
        <v>299.04735309930152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1.6</v>
      </c>
      <c r="AI20" s="13">
        <f>IF('Données projet'!$A$62&gt;35,AI19+AH20-AQ19,IF(A20&lt;'Données projet'!$A$62,$AF$205^A20,IF(A20='Données projet'!$A$62,'Données projet'!$B$62,AI19+AH20-AQ19)))</f>
        <v>19.027313840043519</v>
      </c>
      <c r="AJ20" s="13">
        <f>AI20*VLOOKUP('Données projet'!$B$10,Paramètres!$A$1:$I$89,3,0)*VLOOKUP('Données projet'!$B$10,Paramètres!$A$1:$I$89,5,0)</f>
        <v>16.325435274757343</v>
      </c>
      <c r="AK20" s="13">
        <f t="shared" si="35"/>
        <v>5.4354984361731269</v>
      </c>
      <c r="AL20" s="20">
        <f t="shared" si="4"/>
        <v>37.90029287987057</v>
      </c>
      <c r="AM20" s="59">
        <f t="shared" si="5"/>
        <v>247.26641719574329</v>
      </c>
      <c r="AN20" s="59">
        <f ca="1">AVERAGE(OFFSET($AM$3,0,0,'Données projet'!$E$10+1,1))-AVERAGE(OFFSET($H$3,0,0,'Données projet'!$E$10+1,1))</f>
        <v>481.23392184981651</v>
      </c>
      <c r="AO20" s="59">
        <f t="shared" si="36"/>
        <v>275.88160405468193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9.6</v>
      </c>
      <c r="BD20" s="12">
        <f>IF('Données projet'!$A$88&gt;35,BD19+BC20-BL19,IF(A20&lt;'Données projet'!$A$88,$BA$205^A20,IF(A20='Données projet'!$A$88,'Données projet'!$B$88,BD19+BC20-BL19)))</f>
        <v>56.2</v>
      </c>
      <c r="BE20" s="13">
        <f>BD20*VLOOKUP('Données projet'!$B$11,Paramètres!$A$1:$I$89,3,0)*VLOOKUP('Données projet'!$B$11,Paramètres!$A$1:$I$89,5,0)</f>
        <v>43.836000000000006</v>
      </c>
      <c r="BF20" s="13">
        <f t="shared" si="37"/>
        <v>13.009897179721728</v>
      </c>
      <c r="BG20" s="20">
        <f t="shared" si="7"/>
        <v>99.006604254682017</v>
      </c>
      <c r="BH20" s="59">
        <f t="shared" si="8"/>
        <v>308.37272857055473</v>
      </c>
      <c r="BI20" s="59">
        <f ca="1">AVERAGE(OFFSET($BH$3,0,0,'Données projet'!$E$11+1,1))-AVERAGE(OFFSET($H$3,0,0,'Données projet'!$E$11+1,1))</f>
        <v>308.85018589589453</v>
      </c>
      <c r="BJ20" s="59">
        <f t="shared" si="38"/>
        <v>302.59481222418219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4.0628205133333335</v>
      </c>
      <c r="BY20" s="12">
        <f>IF('Données projet'!$A$114&gt;35,BY19+BX20-CG19,IF(A20&lt;'Données projet'!$A$114,$BV$205^A20,IF(A20='Données projet'!$A$114,'Données projet'!$B$114,BY19+BX20-CG19)))</f>
        <v>15.206795480291483</v>
      </c>
      <c r="BZ20" s="13">
        <f>BY20*VLOOKUP('Données projet'!$B$12,Paramètres!$A$1:$I$89,3,0)*VLOOKUP('Données projet'!$B$12,Paramètres!$A$1:$I$89,5,0)</f>
        <v>14.708012588537922</v>
      </c>
      <c r="CA20" s="13">
        <f t="shared" si="39"/>
        <v>4.9568157154843053</v>
      </c>
      <c r="CB20" s="20">
        <f t="shared" si="10"/>
        <v>34.249575962838712</v>
      </c>
      <c r="CC20" s="59">
        <f t="shared" si="11"/>
        <v>243.61570027871144</v>
      </c>
      <c r="CD20" s="59">
        <f ca="1">AVERAGE(OFFSET($CC$3,0,0,'Données projet'!$E$12+1,1))-AVERAGE(OFFSET($H$3,0,0,'Données projet'!$E$12+1,1))</f>
        <v>600.96600099724276</v>
      </c>
      <c r="CE20" s="59">
        <f t="shared" si="40"/>
        <v>315.40159260706264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4.0628205133333335</v>
      </c>
      <c r="CT20" s="12">
        <f>IF('Données projet'!$A$140&gt;35,CT19+CS20-DB19,IF(A20&lt;'Données projet'!$A$140,$CQ$205^A20,IF(A20='Données projet'!$A$140,'Données projet'!$B$140,CT19+CS20-DB19)))</f>
        <v>15.206795480291483</v>
      </c>
      <c r="CU20" s="17">
        <f>CT20*VLOOKUP('Données projet'!$B$13,Paramètres!$A$1:$I$89,3,0)*VLOOKUP('Données projet'!$B$13,Paramètres!$A$1:$I$89,5,0)</f>
        <v>14.470786579045376</v>
      </c>
      <c r="CV20" s="13">
        <f t="shared" si="41"/>
        <v>4.8861063823134332</v>
      </c>
      <c r="CW20" s="20">
        <f t="shared" si="13"/>
        <v>33.713255241033259</v>
      </c>
      <c r="CX20" s="59">
        <f t="shared" si="14"/>
        <v>243.07937955690599</v>
      </c>
      <c r="CY20" s="59">
        <f ca="1">AVERAGE(OFFSET($CX$3,0,0,'Données projet'!$E$13+1,1))-AVERAGE(OFFSET($H$3,0,0,'Données projet'!$E$13+1,1))</f>
        <v>592.58528889137358</v>
      </c>
      <c r="CZ20" s="59">
        <f t="shared" si="42"/>
        <v>311.31528020403709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2">
        <f>'Scénario référence'!$B$16*5+'Scénario référence'!$B$17*0+'Scénario référence'!$B$18*5</f>
        <v>5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66">
        <f t="shared" si="1"/>
        <v>183.33333333333334</v>
      </c>
      <c r="I21" s="6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4.0628205133333335</v>
      </c>
      <c r="N21" s="13">
        <f>IF('Données projet'!$A$36&gt;35,N20+M21-V20,IF(A21&lt;'Données projet'!$A$36,$K$205^A21,IF(A21='Données projet'!$A$36,'Données projet'!$B$36,N20+M21-V20)))</f>
        <v>17.847168944133852</v>
      </c>
      <c r="O21" s="13">
        <f>N21*VLOOKUP('Données projet'!$B$9,Paramètres!$A$1:$I$89,3,0)*VLOOKUP('Données projet'!$B$9,Paramètres!$A$1:$I$89,5,0)</f>
        <v>16.148118460652309</v>
      </c>
      <c r="P21" s="13">
        <f t="shared" si="33"/>
        <v>5.3833002042349793</v>
      </c>
      <c r="Q21" s="20">
        <f t="shared" si="2"/>
        <v>37.500554174678697</v>
      </c>
      <c r="R21" s="59">
        <f t="shared" si="0"/>
        <v>249.26990736668182</v>
      </c>
      <c r="S21" s="59">
        <f ca="1">AVERAGE(OFFSET($R$3,0,0,'Données projet'!$E$9+1,1))-AVERAGE(OFFSET($H$3,0,0,'Données projet'!$E$9+1,1))</f>
        <v>567.42635821507474</v>
      </c>
      <c r="T21" s="59">
        <f t="shared" si="34"/>
        <v>299.04735309930152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1.6</v>
      </c>
      <c r="AI21" s="13">
        <f>IF('Données projet'!$A$62&gt;35,AI20+AH21-AQ20,IF(A21&lt;'Données projet'!$A$62,$AF$205^A21,IF(A21='Données projet'!$A$62,'Données projet'!$B$62,AI20+AH21-AQ20)))</f>
        <v>22.627416997969497</v>
      </c>
      <c r="AJ21" s="13">
        <f>AI21*VLOOKUP('Données projet'!$B$10,Paramètres!$A$1:$I$89,3,0)*VLOOKUP('Données projet'!$B$10,Paramètres!$A$1:$I$89,5,0)</f>
        <v>19.414323784257832</v>
      </c>
      <c r="AK21" s="13">
        <f t="shared" si="35"/>
        <v>6.3348582456241713</v>
      </c>
      <c r="AL21" s="20">
        <f t="shared" si="4"/>
        <v>44.846492035377821</v>
      </c>
      <c r="AM21" s="59">
        <f t="shared" si="5"/>
        <v>256.61584522738093</v>
      </c>
      <c r="AN21" s="59">
        <f ca="1">AVERAGE(OFFSET($AM$3,0,0,'Données projet'!$E$10+1,1))-AVERAGE(OFFSET($H$3,0,0,'Données projet'!$E$10+1,1))</f>
        <v>481.23392184981651</v>
      </c>
      <c r="AO21" s="59">
        <f t="shared" si="36"/>
        <v>275.88160405468193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9.6</v>
      </c>
      <c r="BD21" s="12">
        <f>IF('Données projet'!$A$88&gt;35,BD20+BC21-BL20,IF(A21&lt;'Données projet'!$A$88,$BA$205^A21,IF(A21='Données projet'!$A$88,'Données projet'!$B$88,BD20+BC21-BL20)))</f>
        <v>65.8</v>
      </c>
      <c r="BE21" s="13">
        <f>BD21*VLOOKUP('Données projet'!$B$11,Paramètres!$A$1:$I$89,3,0)*VLOOKUP('Données projet'!$B$11,Paramètres!$A$1:$I$89,5,0)</f>
        <v>51.323999999999998</v>
      </c>
      <c r="BF21" s="13">
        <f t="shared" si="37"/>
        <v>14.95516659950003</v>
      </c>
      <c r="BG21" s="20">
        <f t="shared" si="7"/>
        <v>115.43621516079588</v>
      </c>
      <c r="BH21" s="59">
        <f t="shared" si="8"/>
        <v>327.20556835279899</v>
      </c>
      <c r="BI21" s="59">
        <f ca="1">AVERAGE(OFFSET($BH$3,0,0,'Données projet'!$E$11+1,1))-AVERAGE(OFFSET($H$3,0,0,'Données projet'!$E$11+1,1))</f>
        <v>308.85018589589453</v>
      </c>
      <c r="BJ21" s="59">
        <f t="shared" si="38"/>
        <v>302.59481222418219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4.0628205133333335</v>
      </c>
      <c r="BY21" s="12">
        <f>IF('Données projet'!$A$114&gt;35,BY20+BX21-CG20,IF(A21&lt;'Données projet'!$A$114,$BV$205^A21,IF(A21='Données projet'!$A$114,'Données projet'!$B$114,BY20+BX21-CG20)))</f>
        <v>17.847168944133852</v>
      </c>
      <c r="BZ21" s="13">
        <f>BY21*VLOOKUP('Données projet'!$B$12,Paramètres!$A$1:$I$89,3,0)*VLOOKUP('Données projet'!$B$12,Paramètres!$A$1:$I$89,5,0)</f>
        <v>17.261781802766265</v>
      </c>
      <c r="CA21" s="13">
        <f t="shared" si="39"/>
        <v>5.7100632774780022</v>
      </c>
      <c r="CB21" s="20">
        <f t="shared" si="10"/>
        <v>40.009296848092099</v>
      </c>
      <c r="CC21" s="59">
        <f t="shared" si="11"/>
        <v>251.77865004009521</v>
      </c>
      <c r="CD21" s="59">
        <f ca="1">AVERAGE(OFFSET($CC$3,0,0,'Données projet'!$E$12+1,1))-AVERAGE(OFFSET($H$3,0,0,'Données projet'!$E$12+1,1))</f>
        <v>600.96600099724276</v>
      </c>
      <c r="CE21" s="59">
        <f t="shared" si="40"/>
        <v>315.40159260706264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4.0628205133333335</v>
      </c>
      <c r="CT21" s="12">
        <f>IF('Données projet'!$A$140&gt;35,CT20+CS21-DB20,IF(A21&lt;'Données projet'!$A$140,$CQ$205^A21,IF(A21='Données projet'!$A$140,'Données projet'!$B$140,CT20+CS21-DB20)))</f>
        <v>17.847168944133852</v>
      </c>
      <c r="CU21" s="17">
        <f>CT21*VLOOKUP('Données projet'!$B$13,Paramètres!$A$1:$I$89,3,0)*VLOOKUP('Données projet'!$B$13,Paramètres!$A$1:$I$89,5,0)</f>
        <v>16.983365967237773</v>
      </c>
      <c r="CV21" s="13">
        <f t="shared" si="41"/>
        <v>5.6286088135864594</v>
      </c>
      <c r="CW21" s="20">
        <f t="shared" si="13"/>
        <v>39.382522743268872</v>
      </c>
      <c r="CX21" s="59">
        <f t="shared" si="14"/>
        <v>251.15187593527199</v>
      </c>
      <c r="CY21" s="59">
        <f ca="1">AVERAGE(OFFSET($CX$3,0,0,'Données projet'!$E$13+1,1))-AVERAGE(OFFSET($H$3,0,0,'Données projet'!$E$13+1,1))</f>
        <v>592.58528889137358</v>
      </c>
      <c r="CZ21" s="59">
        <f t="shared" si="42"/>
        <v>311.31528020403709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2">
        <f>'Scénario référence'!$B$16*5+'Scénario référence'!$B$17*0+'Scénario référence'!$B$18*5</f>
        <v>5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66">
        <f t="shared" si="1"/>
        <v>183.33333333333334</v>
      </c>
      <c r="I22" s="6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4.0628205133333335</v>
      </c>
      <c r="N22" s="13">
        <f>IF('Données projet'!$A$36&gt;35,N21+M22-V21,IF(A22&lt;'Données projet'!$A$36,$K$205^A22,IF(A22='Données projet'!$A$36,'Données projet'!$B$36,N21+M22-V21)))</f>
        <v>20.945993502264844</v>
      </c>
      <c r="O22" s="13">
        <f>N22*VLOOKUP('Données projet'!$B$9,Paramètres!$A$1:$I$89,3,0)*VLOOKUP('Données projet'!$B$9,Paramètres!$A$1:$I$89,5,0)</f>
        <v>18.951934920849229</v>
      </c>
      <c r="P22" s="13">
        <f t="shared" si="33"/>
        <v>6.2013571962778977</v>
      </c>
      <c r="Q22" s="20">
        <f t="shared" si="2"/>
        <v>43.808650437329739</v>
      </c>
      <c r="R22" s="59">
        <f t="shared" si="0"/>
        <v>257.96074468035329</v>
      </c>
      <c r="S22" s="59">
        <f ca="1">AVERAGE(OFFSET($R$3,0,0,'Données projet'!$E$9+1,1))-AVERAGE(OFFSET($H$3,0,0,'Données projet'!$E$9+1,1))</f>
        <v>567.42635821507474</v>
      </c>
      <c r="T22" s="59">
        <f t="shared" si="34"/>
        <v>299.04735309930152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1.6</v>
      </c>
      <c r="AI22" s="13">
        <f>IF('Données projet'!$A$62&gt;35,AI21+AH22-AQ21,IF(A22&lt;'Données projet'!$A$62,$AF$205^A22,IF(A22='Données projet'!$A$62,'Données projet'!$B$62,AI21+AH22-AQ21)))</f>
        <v>26.908685288118836</v>
      </c>
      <c r="AJ22" s="13">
        <f>AI22*VLOOKUP('Données projet'!$B$10,Paramètres!$A$1:$I$89,3,0)*VLOOKUP('Données projet'!$B$10,Paramètres!$A$1:$I$89,5,0)</f>
        <v>23.087651977205965</v>
      </c>
      <c r="AK22" s="13">
        <f t="shared" si="35"/>
        <v>7.3830264994807839</v>
      </c>
      <c r="AL22" s="20">
        <f t="shared" si="4"/>
        <v>53.069765013562751</v>
      </c>
      <c r="AM22" s="59">
        <f t="shared" si="5"/>
        <v>267.2218592565863</v>
      </c>
      <c r="AN22" s="59">
        <f ca="1">AVERAGE(OFFSET($AM$3,0,0,'Données projet'!$E$10+1,1))-AVERAGE(OFFSET($H$3,0,0,'Données projet'!$E$10+1,1))</f>
        <v>481.23392184981651</v>
      </c>
      <c r="AO22" s="59">
        <f t="shared" si="36"/>
        <v>275.88160405468193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9.6</v>
      </c>
      <c r="BD22" s="12">
        <f>IF('Données projet'!$A$88&gt;35,BD21+BC22-BL21,IF(A22&lt;'Données projet'!$A$88,$BA$205^A22,IF(A22='Données projet'!$A$88,'Données projet'!$B$88,BD21+BC22-BL21)))</f>
        <v>75.399999999999991</v>
      </c>
      <c r="BE22" s="13">
        <f>BD22*VLOOKUP('Données projet'!$B$11,Paramètres!$A$1:$I$89,3,0)*VLOOKUP('Données projet'!$B$11,Paramètres!$A$1:$I$89,5,0)</f>
        <v>58.811999999999998</v>
      </c>
      <c r="BF22" s="13">
        <f t="shared" si="37"/>
        <v>16.86755663452599</v>
      </c>
      <c r="BG22" s="20">
        <f t="shared" si="7"/>
        <v>131.8085611384661</v>
      </c>
      <c r="BH22" s="59">
        <f t="shared" si="8"/>
        <v>345.96065538148963</v>
      </c>
      <c r="BI22" s="59">
        <f ca="1">AVERAGE(OFFSET($BH$3,0,0,'Données projet'!$E$11+1,1))-AVERAGE(OFFSET($H$3,0,0,'Données projet'!$E$11+1,1))</f>
        <v>308.85018589589453</v>
      </c>
      <c r="BJ22" s="59">
        <f t="shared" si="38"/>
        <v>302.59481222418219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4.0628205133333335</v>
      </c>
      <c r="BY22" s="12">
        <f>IF('Données projet'!$A$114&gt;35,BY21+BX22-CG21,IF(A22&lt;'Données projet'!$A$114,$BV$205^A22,IF(A22='Données projet'!$A$114,'Données projet'!$B$114,BY21+BX22-CG21)))</f>
        <v>20.945993502264844</v>
      </c>
      <c r="BZ22" s="13">
        <f>BY22*VLOOKUP('Données projet'!$B$12,Paramètres!$A$1:$I$89,3,0)*VLOOKUP('Données projet'!$B$12,Paramètres!$A$1:$I$89,5,0)</f>
        <v>20.25896491539056</v>
      </c>
      <c r="CA22" s="13">
        <f t="shared" si="39"/>
        <v>6.5777758351900273</v>
      </c>
      <c r="CB22" s="20">
        <f t="shared" si="10"/>
        <v>46.740656807261189</v>
      </c>
      <c r="CC22" s="59">
        <f t="shared" si="11"/>
        <v>260.89275105028469</v>
      </c>
      <c r="CD22" s="59">
        <f ca="1">AVERAGE(OFFSET($CC$3,0,0,'Données projet'!$E$12+1,1))-AVERAGE(OFFSET($H$3,0,0,'Données projet'!$E$12+1,1))</f>
        <v>600.96600099724276</v>
      </c>
      <c r="CE22" s="59">
        <f t="shared" si="40"/>
        <v>315.40159260706264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4.0628205133333335</v>
      </c>
      <c r="CT22" s="12">
        <f>IF('Données projet'!$A$140&gt;35,CT21+CS22-DB21,IF(A22&lt;'Données projet'!$A$140,$CQ$205^A22,IF(A22='Données projet'!$A$140,'Données projet'!$B$140,CT21+CS22-DB21)))</f>
        <v>20.945993502264844</v>
      </c>
      <c r="CU22" s="17">
        <f>CT22*VLOOKUP('Données projet'!$B$13,Paramètres!$A$1:$I$89,3,0)*VLOOKUP('Données projet'!$B$13,Paramètres!$A$1:$I$89,5,0)</f>
        <v>19.932207416755226</v>
      </c>
      <c r="CV22" s="13">
        <f t="shared" si="41"/>
        <v>6.4839433891701299</v>
      </c>
      <c r="CW22" s="20">
        <f t="shared" si="13"/>
        <v>46.008129320319995</v>
      </c>
      <c r="CX22" s="59">
        <f t="shared" si="14"/>
        <v>260.16022356334349</v>
      </c>
      <c r="CY22" s="59">
        <f ca="1">AVERAGE(OFFSET($CX$3,0,0,'Données projet'!$E$13+1,1))-AVERAGE(OFFSET($H$3,0,0,'Données projet'!$E$13+1,1))</f>
        <v>592.58528889137358</v>
      </c>
      <c r="CZ22" s="59">
        <f t="shared" si="42"/>
        <v>311.31528020403709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2">
        <f>'Scénario référence'!$B$16*5+'Scénario référence'!$B$17*0+'Scénario référence'!$B$18*5</f>
        <v>5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66">
        <f t="shared" si="1"/>
        <v>183.33333333333334</v>
      </c>
      <c r="I23" s="6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4.0628205133333335</v>
      </c>
      <c r="N23" s="13">
        <f>IF('Données projet'!$A$36&gt;35,N22+M23-V22,IF(A23&lt;'Données projet'!$A$36,$K$205^A23,IF(A23='Données projet'!$A$36,'Données projet'!$B$36,N22+M23-V22)))</f>
        <v>24.582870547719438</v>
      </c>
      <c r="O23" s="13">
        <f>N23*VLOOKUP('Données projet'!$B$9,Paramètres!$A$1:$I$89,3,0)*VLOOKUP('Données projet'!$B$9,Paramètres!$A$1:$I$89,5,0)</f>
        <v>22.242581271576544</v>
      </c>
      <c r="P23" s="13">
        <f t="shared" si="33"/>
        <v>7.1437277537623007</v>
      </c>
      <c r="Q23" s="20">
        <f t="shared" si="2"/>
        <v>51.181154885798492</v>
      </c>
      <c r="R23" s="59">
        <f t="shared" si="0"/>
        <v>267.69585777269424</v>
      </c>
      <c r="S23" s="59">
        <f ca="1">AVERAGE(OFFSET($R$3,0,0,'Données projet'!$E$9+1,1))-AVERAGE(OFFSET($H$3,0,0,'Données projet'!$E$9+1,1))</f>
        <v>567.42635821507474</v>
      </c>
      <c r="T23" s="59">
        <f t="shared" si="34"/>
        <v>299.04735309930152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>
        <f>VLOOKUP(A23,'Données projet'!$A$61:$I$81,2,0)</f>
        <v>32</v>
      </c>
      <c r="AG23" s="12">
        <f>VLOOKUP(A23,'Données projet'!$A$61:$I$81,9,0)</f>
        <v>1.6</v>
      </c>
      <c r="AH23" s="12">
        <f t="array" ref="AH23">INDEX(AG:AG,MIN(IF(ISNUMBER(AG23:AG219),ROW(AG23:AG219),"")))</f>
        <v>1.6</v>
      </c>
      <c r="AI23" s="13">
        <f>IF('Données projet'!$A$62&gt;35,AI22+AH23-AQ22,IF(A23&lt;'Données projet'!$A$62,$AF$205^A23,IF(A23='Données projet'!$A$62,'Données projet'!$B$62,AI22+AH23-AQ22)))</f>
        <v>32</v>
      </c>
      <c r="AJ23" s="13">
        <f>AI23*VLOOKUP('Données projet'!$B$10,Paramètres!$A$1:$I$89,3,0)*VLOOKUP('Données projet'!$B$10,Paramètres!$A$1:$I$89,5,0)</f>
        <v>27.456000000000003</v>
      </c>
      <c r="AK23" s="13">
        <f t="shared" si="35"/>
        <v>8.604625104229898</v>
      </c>
      <c r="AL23" s="20">
        <f t="shared" si="4"/>
        <v>62.805588723200408</v>
      </c>
      <c r="AM23" s="59">
        <f t="shared" si="5"/>
        <v>279.32029161009615</v>
      </c>
      <c r="AN23" s="59">
        <f ca="1">AVERAGE(OFFSET($AM$3,0,0,'Données projet'!$E$10+1,1))-AVERAGE(OFFSET($H$3,0,0,'Données projet'!$E$10+1,1))</f>
        <v>481.23392184981651</v>
      </c>
      <c r="AO23" s="59">
        <f t="shared" si="36"/>
        <v>275.88160405468193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>
        <f>VLOOKUP(A23,'Données projet'!$A$87:$I$107,2,0)</f>
        <v>85</v>
      </c>
      <c r="BB23" s="12">
        <f>VLOOKUP(A23,'Données projet'!$A$87:$I$107,9,0)</f>
        <v>9.6</v>
      </c>
      <c r="BC23" s="12">
        <f t="array" ref="BC23">INDEX(BB:BB,MIN(IF(ISNUMBER(BB23:BB219),ROW(BB23:BB219),"")))</f>
        <v>9.6</v>
      </c>
      <c r="BD23" s="12">
        <f>IF('Données projet'!$A$88&gt;35,BD22+BC23-BL22,IF(A23&lt;'Données projet'!$A$88,$BA$205^A23,IF(A23='Données projet'!$A$88,'Données projet'!$B$88,BD22+BC23-BL22)))</f>
        <v>84.999999999999986</v>
      </c>
      <c r="BE23" s="13">
        <f>BD23*VLOOKUP('Données projet'!$B$11,Paramètres!$A$1:$I$89,3,0)*VLOOKUP('Données projet'!$B$11,Paramètres!$A$1:$I$89,5,0)</f>
        <v>66.3</v>
      </c>
      <c r="BF23" s="13">
        <f t="shared" si="37"/>
        <v>18.751733344032118</v>
      </c>
      <c r="BG23" s="20">
        <f t="shared" si="7"/>
        <v>148.13176890752257</v>
      </c>
      <c r="BH23" s="59">
        <f t="shared" si="8"/>
        <v>364.64647179441829</v>
      </c>
      <c r="BI23" s="59">
        <f ca="1">AVERAGE(OFFSET($BH$3,0,0,'Données projet'!$E$11+1,1))-AVERAGE(OFFSET($H$3,0,0,'Données projet'!$E$11+1,1))</f>
        <v>308.85018589589453</v>
      </c>
      <c r="BJ23" s="59">
        <f t="shared" si="38"/>
        <v>302.59481222418219</v>
      </c>
      <c r="BK23" s="15">
        <f>IF(ISNA(VLOOKUP(A23,'Données projet'!$A$87:$I$107,3,0)),0,VLOOKUP(A23,'Données projet'!$A$87:$I$107,3,0))</f>
        <v>2</v>
      </c>
      <c r="BL23" s="15">
        <f>IF(ISNA(VLOOKUP(A23,'Données projet'!$A$87:$I$107,4,0)),0,VLOOKUP(A23,'Données projet'!$A$87:$I$107,4,0))</f>
        <v>25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4.0628205133333335</v>
      </c>
      <c r="BY23" s="12">
        <f>IF('Données projet'!$A$114&gt;35,BY22+BX23-CG22,IF(A23&lt;'Données projet'!$A$114,$BV$205^A23,IF(A23='Données projet'!$A$114,'Données projet'!$B$114,BY22+BX23-CG22)))</f>
        <v>24.582870547719438</v>
      </c>
      <c r="BZ23" s="13">
        <f>BY23*VLOOKUP('Données projet'!$B$12,Paramètres!$A$1:$I$89,3,0)*VLOOKUP('Données projet'!$B$12,Paramètres!$A$1:$I$89,5,0)</f>
        <v>23.77655239375424</v>
      </c>
      <c r="CA23" s="13">
        <f t="shared" si="39"/>
        <v>7.577347716734919</v>
      </c>
      <c r="CB23" s="20">
        <f t="shared" si="10"/>
        <v>54.608042692435284</v>
      </c>
      <c r="CC23" s="59">
        <f t="shared" si="11"/>
        <v>271.12274557933102</v>
      </c>
      <c r="CD23" s="59">
        <f ca="1">AVERAGE(OFFSET($CC$3,0,0,'Données projet'!$E$12+1,1))-AVERAGE(OFFSET($H$3,0,0,'Données projet'!$E$12+1,1))</f>
        <v>600.96600099724276</v>
      </c>
      <c r="CE23" s="59">
        <f t="shared" si="40"/>
        <v>315.40159260706264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4.0628205133333335</v>
      </c>
      <c r="CT23" s="12">
        <f>IF('Données projet'!$A$140&gt;35,CT22+CS23-DB22,IF(A23&lt;'Données projet'!$A$140,$CQ$205^A23,IF(A23='Données projet'!$A$140,'Données projet'!$B$140,CT22+CS23-DB22)))</f>
        <v>24.582870547719438</v>
      </c>
      <c r="CU23" s="17">
        <f>CT23*VLOOKUP('Données projet'!$B$13,Paramètres!$A$1:$I$89,3,0)*VLOOKUP('Données projet'!$B$13,Paramètres!$A$1:$I$89,5,0)</f>
        <v>23.393059613209818</v>
      </c>
      <c r="CV23" s="13">
        <f t="shared" si="41"/>
        <v>7.4692563058356933</v>
      </c>
      <c r="CW23" s="20">
        <f t="shared" si="13"/>
        <v>53.751866892337596</v>
      </c>
      <c r="CX23" s="59">
        <f t="shared" si="14"/>
        <v>270.26656977923329</v>
      </c>
      <c r="CY23" s="59">
        <f ca="1">AVERAGE(OFFSET($CX$3,0,0,'Données projet'!$E$13+1,1))-AVERAGE(OFFSET($H$3,0,0,'Données projet'!$E$13+1,1))</f>
        <v>592.58528889137358</v>
      </c>
      <c r="CZ23" s="59">
        <f t="shared" si="42"/>
        <v>311.31528020403709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0</v>
      </c>
      <c r="DJ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2">
        <f>'Scénario référence'!$B$16*5+'Scénario référence'!$B$17*0+'Scénario référence'!$B$18*5</f>
        <v>5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66">
        <f t="shared" si="1"/>
        <v>183.33333333333334</v>
      </c>
      <c r="I24" s="6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4.0628205133333335</v>
      </c>
      <c r="N24" s="13">
        <f>IF('Données projet'!$A$36&gt;35,N23+M24-V23,IF(A24&lt;'Données projet'!$A$36,$K$205^A24,IF(A24='Données projet'!$A$36,'Données projet'!$B$36,N23+M24-V23)))</f>
        <v>28.851222755348811</v>
      </c>
      <c r="O24" s="13">
        <f>N24*VLOOKUP('Données projet'!$B$9,Paramètres!$A$1:$I$89,3,0)*VLOOKUP('Données projet'!$B$9,Paramètres!$A$1:$I$89,5,0)</f>
        <v>26.104586349039607</v>
      </c>
      <c r="P24" s="13">
        <f t="shared" si="33"/>
        <v>8.2293028130203645</v>
      </c>
      <c r="Q24" s="20">
        <f t="shared" si="2"/>
        <v>59.79819029058779</v>
      </c>
      <c r="R24" s="59">
        <f t="shared" si="0"/>
        <v>278.65571866646218</v>
      </c>
      <c r="S24" s="59">
        <f ca="1">AVERAGE(OFFSET($R$3,0,0,'Données projet'!$E$9+1,1))-AVERAGE(OFFSET($H$3,0,0,'Données projet'!$E$9+1,1))</f>
        <v>567.42635821507474</v>
      </c>
      <c r="T24" s="59">
        <f t="shared" si="34"/>
        <v>299.04735309930152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8.8000000000000007</v>
      </c>
      <c r="AI24" s="13">
        <f>IF('Données projet'!$A$62&gt;35,AI23+AH24-AQ23,IF(A24&lt;'Données projet'!$A$62,$AF$205^A24,IF(A24='Données projet'!$A$62,'Données projet'!$B$62,AI23+AH24-AQ23)))</f>
        <v>40.799999999999997</v>
      </c>
      <c r="AJ24" s="13">
        <f>AI24*VLOOKUP('Données projet'!$B$10,Paramètres!$A$1:$I$89,3,0)*VLOOKUP('Données projet'!$B$10,Paramètres!$A$1:$I$89,5,0)</f>
        <v>35.006400000000006</v>
      </c>
      <c r="AK24" s="13">
        <f t="shared" si="35"/>
        <v>10.664997365847841</v>
      </c>
      <c r="AL24" s="20">
        <f t="shared" si="4"/>
        <v>79.544350412184983</v>
      </c>
      <c r="AM24" s="59">
        <f t="shared" si="5"/>
        <v>298.40187878805938</v>
      </c>
      <c r="AN24" s="59">
        <f ca="1">AVERAGE(OFFSET($AM$3,0,0,'Données projet'!$E$10+1,1))-AVERAGE(OFFSET($H$3,0,0,'Données projet'!$E$10+1,1))</f>
        <v>481.23392184981651</v>
      </c>
      <c r="AO24" s="59">
        <f t="shared" si="36"/>
        <v>275.88160405468193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10.6</v>
      </c>
      <c r="BD24" s="12">
        <f>IF('Données projet'!$A$88&gt;35,BD23+BC24-BL23,IF(A24&lt;'Données projet'!$A$88,$BA$205^A24,IF(A24='Données projet'!$A$88,'Données projet'!$B$88,BD23+BC24-BL23)))</f>
        <v>70.59999999999998</v>
      </c>
      <c r="BE24" s="13">
        <f>BD24*VLOOKUP('Données projet'!$B$11,Paramètres!$A$1:$I$89,3,0)*VLOOKUP('Données projet'!$B$11,Paramètres!$A$1:$I$89,5,0)</f>
        <v>55.067999999999984</v>
      </c>
      <c r="BF24" s="13">
        <f t="shared" si="37"/>
        <v>15.915148294580479</v>
      </c>
      <c r="BG24" s="20">
        <f t="shared" si="7"/>
        <v>123.62898327972762</v>
      </c>
      <c r="BH24" s="59">
        <f t="shared" si="8"/>
        <v>342.48651165560199</v>
      </c>
      <c r="BI24" s="59">
        <f ca="1">AVERAGE(OFFSET($BH$3,0,0,'Données projet'!$E$11+1,1))-AVERAGE(OFFSET($H$3,0,0,'Données projet'!$E$11+1,1))</f>
        <v>308.85018589589453</v>
      </c>
      <c r="BJ24" s="59">
        <f t="shared" si="38"/>
        <v>302.59481222418219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4.0628205133333335</v>
      </c>
      <c r="BY24" s="12">
        <f>IF('Données projet'!$A$114&gt;35,BY23+BX24-CG23,IF(A24&lt;'Données projet'!$A$114,$BV$205^A24,IF(A24='Données projet'!$A$114,'Données projet'!$B$114,BY23+BX24-CG23)))</f>
        <v>28.851222755348811</v>
      </c>
      <c r="BZ24" s="13">
        <f>BY24*VLOOKUP('Données projet'!$B$12,Paramètres!$A$1:$I$89,3,0)*VLOOKUP('Données projet'!$B$12,Paramètres!$A$1:$I$89,5,0)</f>
        <v>27.904902648973369</v>
      </c>
      <c r="CA24" s="13">
        <f t="shared" si="39"/>
        <v>8.7288165268783757</v>
      </c>
      <c r="CB24" s="20">
        <f t="shared" si="10"/>
        <v>63.803727564608444</v>
      </c>
      <c r="CC24" s="59">
        <f t="shared" si="11"/>
        <v>282.66125594048282</v>
      </c>
      <c r="CD24" s="59">
        <f ca="1">AVERAGE(OFFSET($CC$3,0,0,'Données projet'!$E$12+1,1))-AVERAGE(OFFSET($H$3,0,0,'Données projet'!$E$12+1,1))</f>
        <v>600.96600099724276</v>
      </c>
      <c r="CE24" s="59">
        <f t="shared" si="40"/>
        <v>315.40159260706264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4.0628205133333335</v>
      </c>
      <c r="CT24" s="12">
        <f>IF('Données projet'!$A$140&gt;35,CT23+CS24-DB23,IF(A24&lt;'Données projet'!$A$140,$CQ$205^A24,IF(A24='Données projet'!$A$140,'Données projet'!$B$140,CT23+CS24-DB23)))</f>
        <v>28.851222755348811</v>
      </c>
      <c r="CU24" s="17">
        <f>CT24*VLOOKUP('Données projet'!$B$13,Paramètres!$A$1:$I$89,3,0)*VLOOKUP('Données projet'!$B$13,Paramètres!$A$1:$I$89,5,0)</f>
        <v>27.454823573989927</v>
      </c>
      <c r="CV24" s="13">
        <f t="shared" si="41"/>
        <v>8.6042993304737561</v>
      </c>
      <c r="CW24" s="20">
        <f t="shared" si="13"/>
        <v>62.802972391940919</v>
      </c>
      <c r="CX24" s="59">
        <f t="shared" si="14"/>
        <v>281.66050076781528</v>
      </c>
      <c r="CY24" s="59">
        <f ca="1">AVERAGE(OFFSET($CX$3,0,0,'Données projet'!$E$13+1,1))-AVERAGE(OFFSET($H$3,0,0,'Données projet'!$E$13+1,1))</f>
        <v>592.58528889137358</v>
      </c>
      <c r="CZ24" s="59">
        <f t="shared" si="42"/>
        <v>311.31528020403709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0</v>
      </c>
      <c r="DJ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2">
        <f>'Scénario référence'!$B$16*5+'Scénario référence'!$B$17*0+'Scénario référence'!$B$18*5</f>
        <v>5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66">
        <f t="shared" si="1"/>
        <v>183.33333333333334</v>
      </c>
      <c r="I25" s="6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4.0628205133333335</v>
      </c>
      <c r="N25" s="13">
        <f>IF('Données projet'!$A$36&gt;35,N24+M25-V24,IF(A25&lt;'Données projet'!$A$36,$K$205^A25,IF(A25='Données projet'!$A$36,'Données projet'!$B$36,N24+M25-V24)))</f>
        <v>33.860693886946351</v>
      </c>
      <c r="O25" s="13">
        <f>N25*VLOOKUP('Données projet'!$B$9,Paramètres!$A$1:$I$89,3,0)*VLOOKUP('Données projet'!$B$9,Paramètres!$A$1:$I$89,5,0)</f>
        <v>30.637155828909059</v>
      </c>
      <c r="P25" s="13">
        <f t="shared" si="33"/>
        <v>9.4798440145929224</v>
      </c>
      <c r="Q25" s="20">
        <f t="shared" si="2"/>
        <v>69.870441394099274</v>
      </c>
      <c r="R25" s="59">
        <f t="shared" si="0"/>
        <v>291.05135529756768</v>
      </c>
      <c r="S25" s="59">
        <f ca="1">AVERAGE(OFFSET($R$3,0,0,'Données projet'!$E$9+1,1))-AVERAGE(OFFSET($H$3,0,0,'Données projet'!$E$9+1,1))</f>
        <v>567.42635821507474</v>
      </c>
      <c r="T25" s="59">
        <f t="shared" si="34"/>
        <v>299.04735309930152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8.8000000000000007</v>
      </c>
      <c r="AI25" s="13">
        <f>IF('Données projet'!$A$62&gt;35,AI24+AH25-AQ24,IF(A25&lt;'Données projet'!$A$62,$AF$205^A25,IF(A25='Données projet'!$A$62,'Données projet'!$B$62,AI24+AH25-AQ24)))</f>
        <v>49.599999999999994</v>
      </c>
      <c r="AJ25" s="13">
        <f>AI25*VLOOKUP('Données projet'!$B$10,Paramètres!$A$1:$I$89,3,0)*VLOOKUP('Données projet'!$B$10,Paramètres!$A$1:$I$89,5,0)</f>
        <v>42.556799999999996</v>
      </c>
      <c r="AK25" s="13">
        <f t="shared" si="35"/>
        <v>12.673863978067095</v>
      </c>
      <c r="AL25" s="20">
        <f t="shared" si="4"/>
        <v>96.193406428466844</v>
      </c>
      <c r="AM25" s="59">
        <f t="shared" si="5"/>
        <v>317.37432033193522</v>
      </c>
      <c r="AN25" s="59">
        <f ca="1">AVERAGE(OFFSET($AM$3,0,0,'Données projet'!$E$10+1,1))-AVERAGE(OFFSET($H$3,0,0,'Données projet'!$E$10+1,1))</f>
        <v>481.23392184981651</v>
      </c>
      <c r="AO25" s="59">
        <f t="shared" si="36"/>
        <v>275.88160405468193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10.6</v>
      </c>
      <c r="BD25" s="12">
        <f>IF('Données projet'!$A$88&gt;35,BD24+BC25-BL24,IF(A25&lt;'Données projet'!$A$88,$BA$205^A25,IF(A25='Données projet'!$A$88,'Données projet'!$B$88,BD24+BC25-BL24)))</f>
        <v>81.199999999999974</v>
      </c>
      <c r="BE25" s="13">
        <f>BD25*VLOOKUP('Données projet'!$B$11,Paramètres!$A$1:$I$89,3,0)*VLOOKUP('Données projet'!$B$11,Paramètres!$A$1:$I$89,5,0)</f>
        <v>63.335999999999984</v>
      </c>
      <c r="BF25" s="13">
        <f t="shared" si="37"/>
        <v>18.009040022946227</v>
      </c>
      <c r="BG25" s="20">
        <f t="shared" si="7"/>
        <v>141.67594470663133</v>
      </c>
      <c r="BH25" s="59">
        <f t="shared" si="8"/>
        <v>362.85685861009972</v>
      </c>
      <c r="BI25" s="59">
        <f ca="1">AVERAGE(OFFSET($BH$3,0,0,'Données projet'!$E$11+1,1))-AVERAGE(OFFSET($H$3,0,0,'Données projet'!$E$11+1,1))</f>
        <v>308.85018589589453</v>
      </c>
      <c r="BJ25" s="59">
        <f t="shared" si="38"/>
        <v>302.59481222418219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4.0628205133333335</v>
      </c>
      <c r="BY25" s="12">
        <f>IF('Données projet'!$A$114&gt;35,BY24+BX25-CG24,IF(A25&lt;'Données projet'!$A$114,$BV$205^A25,IF(A25='Données projet'!$A$114,'Données projet'!$B$114,BY24+BX25-CG24)))</f>
        <v>33.860693886946351</v>
      </c>
      <c r="BZ25" s="13">
        <f>BY25*VLOOKUP('Données projet'!$B$12,Paramètres!$A$1:$I$89,3,0)*VLOOKUP('Données projet'!$B$12,Paramètres!$A$1:$I$89,5,0)</f>
        <v>32.75006312745451</v>
      </c>
      <c r="CA25" s="13">
        <f t="shared" si="39"/>
        <v>10.055264824607562</v>
      </c>
      <c r="CB25" s="20">
        <f t="shared" si="10"/>
        <v>74.552612849841438</v>
      </c>
      <c r="CC25" s="59">
        <f t="shared" si="11"/>
        <v>295.73352675330983</v>
      </c>
      <c r="CD25" s="59">
        <f ca="1">AVERAGE(OFFSET($CC$3,0,0,'Données projet'!$E$12+1,1))-AVERAGE(OFFSET($H$3,0,0,'Données projet'!$E$12+1,1))</f>
        <v>600.96600099724276</v>
      </c>
      <c r="CE25" s="59">
        <f t="shared" si="40"/>
        <v>315.40159260706264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4.0628205133333335</v>
      </c>
      <c r="CT25" s="12">
        <f>IF('Données projet'!$A$140&gt;35,CT24+CS25-DB24,IF(A25&lt;'Données projet'!$A$140,$CQ$205^A25,IF(A25='Données projet'!$A$140,'Données projet'!$B$140,CT24+CS25-DB24)))</f>
        <v>33.860693886946351</v>
      </c>
      <c r="CU25" s="17">
        <f>CT25*VLOOKUP('Données projet'!$B$13,Paramètres!$A$1:$I$89,3,0)*VLOOKUP('Données projet'!$B$13,Paramètres!$A$1:$I$89,5,0)</f>
        <v>32.221836302818147</v>
      </c>
      <c r="CV25" s="13">
        <f t="shared" si="41"/>
        <v>9.9118257477051337</v>
      </c>
      <c r="CW25" s="20">
        <f t="shared" si="13"/>
        <v>73.382794737994715</v>
      </c>
      <c r="CX25" s="59">
        <f t="shared" si="14"/>
        <v>294.56370864146311</v>
      </c>
      <c r="CY25" s="59">
        <f ca="1">AVERAGE(OFFSET($CX$3,0,0,'Données projet'!$E$13+1,1))-AVERAGE(OFFSET($H$3,0,0,'Données projet'!$E$13+1,1))</f>
        <v>592.58528889137358</v>
      </c>
      <c r="CZ25" s="59">
        <f t="shared" si="42"/>
        <v>311.31528020403709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</v>
      </c>
      <c r="DH25" s="21">
        <f>EXP(-LN(2)/2)*DH24+(1-EXP(-LN(2)/2))/(LN(2)/2)*DB25*DE25*VLOOKUP('Données projet'!$B$13,Paramètres!$A$1:$I$89,3,0)*0.475*44/12</f>
        <v>0</v>
      </c>
      <c r="DI25" s="22">
        <f t="shared" si="15"/>
        <v>0</v>
      </c>
      <c r="DJ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2">
        <f>'Scénario référence'!$B$16*5+'Scénario référence'!$B$17*0+'Scénario référence'!$B$18*5</f>
        <v>5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66">
        <f t="shared" si="1"/>
        <v>183.33333333333334</v>
      </c>
      <c r="I26" s="6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4.0628205133333335</v>
      </c>
      <c r="N26" s="13">
        <f>IF('Données projet'!$A$36&gt;35,N25+M26-V25,IF(A26&lt;'Données projet'!$A$36,$K$205^A26,IF(A26='Données projet'!$A$36,'Données projet'!$B$36,N25+M26-V25)))</f>
        <v>39.739965277309587</v>
      </c>
      <c r="O26" s="13">
        <f>N26*VLOOKUP('Données projet'!$B$9,Paramètres!$A$1:$I$89,3,0)*VLOOKUP('Données projet'!$B$9,Paramètres!$A$1:$I$89,5,0)</f>
        <v>35.956720582909711</v>
      </c>
      <c r="P26" s="13">
        <f t="shared" si="33"/>
        <v>10.920419941143177</v>
      </c>
      <c r="Q26" s="20">
        <f t="shared" si="2"/>
        <v>81.644353079392104</v>
      </c>
      <c r="R26" s="59">
        <f t="shared" si="0"/>
        <v>305.12954978893862</v>
      </c>
      <c r="S26" s="59">
        <f ca="1">AVERAGE(OFFSET($R$3,0,0,'Données projet'!$E$9+1,1))-AVERAGE(OFFSET($H$3,0,0,'Données projet'!$E$9+1,1))</f>
        <v>567.42635821507474</v>
      </c>
      <c r="T26" s="59">
        <f t="shared" si="34"/>
        <v>299.04735309930152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8.8000000000000007</v>
      </c>
      <c r="AI26" s="13">
        <f>IF('Données projet'!$A$62&gt;35,AI25+AH26-AQ25,IF(A26&lt;'Données projet'!$A$62,$AF$205^A26,IF(A26='Données projet'!$A$62,'Données projet'!$B$62,AI25+AH26-AQ25)))</f>
        <v>58.399999999999991</v>
      </c>
      <c r="AJ26" s="13">
        <f>AI26*VLOOKUP('Données projet'!$B$10,Paramètres!$A$1:$I$89,3,0)*VLOOKUP('Données projet'!$B$10,Paramètres!$A$1:$I$89,5,0)</f>
        <v>50.107199999999999</v>
      </c>
      <c r="AK26" s="13">
        <f t="shared" si="35"/>
        <v>14.641441079141797</v>
      </c>
      <c r="AL26" s="20">
        <f t="shared" si="4"/>
        <v>112.77054987950528</v>
      </c>
      <c r="AM26" s="59">
        <f t="shared" si="5"/>
        <v>336.2557465890518</v>
      </c>
      <c r="AN26" s="59">
        <f ca="1">AVERAGE(OFFSET($AM$3,0,0,'Données projet'!$E$10+1,1))-AVERAGE(OFFSET($H$3,0,0,'Données projet'!$E$10+1,1))</f>
        <v>481.23392184981651</v>
      </c>
      <c r="AO26" s="59">
        <f t="shared" si="36"/>
        <v>275.88160405468193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10.6</v>
      </c>
      <c r="BD26" s="12">
        <f>IF('Données projet'!$A$88&gt;35,BD25+BC26-BL25,IF(A26&lt;'Données projet'!$A$88,$BA$205^A26,IF(A26='Données projet'!$A$88,'Données projet'!$B$88,BD25+BC26-BL25)))</f>
        <v>91.799999999999969</v>
      </c>
      <c r="BE26" s="13">
        <f>BD26*VLOOKUP('Données projet'!$B$11,Paramètres!$A$1:$I$89,3,0)*VLOOKUP('Données projet'!$B$11,Paramètres!$A$1:$I$89,5,0)</f>
        <v>71.603999999999985</v>
      </c>
      <c r="BF26" s="13">
        <f t="shared" si="37"/>
        <v>20.071260561992585</v>
      </c>
      <c r="BG26" s="20">
        <f t="shared" si="7"/>
        <v>159.66774547880371</v>
      </c>
      <c r="BH26" s="59">
        <f t="shared" si="8"/>
        <v>383.15294218835021</v>
      </c>
      <c r="BI26" s="59">
        <f ca="1">AVERAGE(OFFSET($BH$3,0,0,'Données projet'!$E$11+1,1))-AVERAGE(OFFSET($H$3,0,0,'Données projet'!$E$11+1,1))</f>
        <v>308.85018589589453</v>
      </c>
      <c r="BJ26" s="59">
        <f t="shared" si="38"/>
        <v>302.59481222418219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4.0628205133333335</v>
      </c>
      <c r="BY26" s="12">
        <f>IF('Données projet'!$A$114&gt;35,BY25+BX26-CG25,IF(A26&lt;'Données projet'!$A$114,$BV$205^A26,IF(A26='Données projet'!$A$114,'Données projet'!$B$114,BY25+BX26-CG25)))</f>
        <v>39.739965277309587</v>
      </c>
      <c r="BZ26" s="13">
        <f>BY26*VLOOKUP('Données projet'!$B$12,Paramètres!$A$1:$I$89,3,0)*VLOOKUP('Données projet'!$B$12,Paramètres!$A$1:$I$89,5,0)</f>
        <v>38.436494416213833</v>
      </c>
      <c r="CA26" s="13">
        <f t="shared" si="39"/>
        <v>11.583282840422903</v>
      </c>
      <c r="CB26" s="20">
        <f t="shared" si="10"/>
        <v>87.11777872197564</v>
      </c>
      <c r="CC26" s="59">
        <f t="shared" si="11"/>
        <v>310.60297543152217</v>
      </c>
      <c r="CD26" s="59">
        <f ca="1">AVERAGE(OFFSET($CC$3,0,0,'Données projet'!$E$12+1,1))-AVERAGE(OFFSET($H$3,0,0,'Données projet'!$E$12+1,1))</f>
        <v>600.96600099724276</v>
      </c>
      <c r="CE26" s="59">
        <f t="shared" si="40"/>
        <v>315.40159260706264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4.0628205133333335</v>
      </c>
      <c r="CT26" s="12">
        <f>IF('Données projet'!$A$140&gt;35,CT25+CS26-DB25,IF(A26&lt;'Données projet'!$A$140,$CQ$205^A26,IF(A26='Données projet'!$A$140,'Données projet'!$B$140,CT25+CS26-DB25)))</f>
        <v>39.739965277309587</v>
      </c>
      <c r="CU26" s="17">
        <f>CT26*VLOOKUP('Données projet'!$B$13,Paramètres!$A$1:$I$89,3,0)*VLOOKUP('Données projet'!$B$13,Paramètres!$A$1:$I$89,5,0)</f>
        <v>37.816550957887799</v>
      </c>
      <c r="CV26" s="13">
        <f t="shared" si="41"/>
        <v>11.418046476477128</v>
      </c>
      <c r="CW26" s="20">
        <f t="shared" si="13"/>
        <v>85.750257198185579</v>
      </c>
      <c r="CX26" s="59">
        <f t="shared" si="14"/>
        <v>309.23545390773211</v>
      </c>
      <c r="CY26" s="59">
        <f ca="1">AVERAGE(OFFSET($CX$3,0,0,'Données projet'!$E$13+1,1))-AVERAGE(OFFSET($H$3,0,0,'Données projet'!$E$13+1,1))</f>
        <v>592.58528889137358</v>
      </c>
      <c r="CZ26" s="59">
        <f t="shared" si="42"/>
        <v>311.31528020403709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</v>
      </c>
      <c r="DH26" s="21">
        <f>EXP(-LN(2)/2)*DH25+(1-EXP(-LN(2)/2))/(LN(2)/2)*DB26*DE26*VLOOKUP('Données projet'!$B$13,Paramètres!$A$1:$I$89,3,0)*0.475*44/12</f>
        <v>0</v>
      </c>
      <c r="DI26" s="22">
        <f t="shared" si="15"/>
        <v>0</v>
      </c>
      <c r="DJ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2">
        <f>'Scénario référence'!$B$16*5+'Scénario référence'!$B$17*0+'Scénario référence'!$B$18*5</f>
        <v>5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66">
        <f t="shared" si="1"/>
        <v>183.33333333333334</v>
      </c>
      <c r="I27" s="6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4.0628205133333335</v>
      </c>
      <c r="N27" s="13">
        <f>IF('Données projet'!$A$36&gt;35,N26+M27-V26,IF(A27&lt;'Données projet'!$A$36,$K$205^A27,IF(A27='Données projet'!$A$36,'Données projet'!$B$36,N26+M27-V26)))</f>
        <v>46.64006135003023</v>
      </c>
      <c r="O27" s="13">
        <f>N27*VLOOKUP('Données projet'!$B$9,Paramètres!$A$1:$I$89,3,0)*VLOOKUP('Données projet'!$B$9,Paramètres!$A$1:$I$89,5,0)</f>
        <v>42.199927509507354</v>
      </c>
      <c r="P27" s="13">
        <f t="shared" si="33"/>
        <v>12.579908646950299</v>
      </c>
      <c r="Q27" s="20">
        <f t="shared" si="2"/>
        <v>95.408214639163745</v>
      </c>
      <c r="R27" s="59">
        <f t="shared" si="0"/>
        <v>321.17892282278353</v>
      </c>
      <c r="S27" s="59">
        <f ca="1">AVERAGE(OFFSET($R$3,0,0,'Données projet'!$E$9+1,1))-AVERAGE(OFFSET($H$3,0,0,'Données projet'!$E$9+1,1))</f>
        <v>567.42635821507474</v>
      </c>
      <c r="T27" s="59">
        <f t="shared" si="34"/>
        <v>299.04735309930152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8.8000000000000007</v>
      </c>
      <c r="AI27" s="13">
        <f>IF('Données projet'!$A$62&gt;35,AI26+AH27-AQ26,IF(A27&lt;'Données projet'!$A$62,$AF$205^A27,IF(A27='Données projet'!$A$62,'Données projet'!$B$62,AI26+AH27-AQ26)))</f>
        <v>67.199999999999989</v>
      </c>
      <c r="AJ27" s="13">
        <f>AI27*VLOOKUP('Données projet'!$B$10,Paramètres!$A$1:$I$89,3,0)*VLOOKUP('Données projet'!$B$10,Paramètres!$A$1:$I$89,5,0)</f>
        <v>57.657599999999995</v>
      </c>
      <c r="AK27" s="13">
        <f t="shared" si="35"/>
        <v>16.574671209026025</v>
      </c>
      <c r="AL27" s="20">
        <f t="shared" si="4"/>
        <v>129.28787235572034</v>
      </c>
      <c r="AM27" s="59">
        <f t="shared" si="5"/>
        <v>355.05858053934014</v>
      </c>
      <c r="AN27" s="59">
        <f ca="1">AVERAGE(OFFSET($AM$3,0,0,'Données projet'!$E$10+1,1))-AVERAGE(OFFSET($H$3,0,0,'Données projet'!$E$10+1,1))</f>
        <v>481.23392184981651</v>
      </c>
      <c r="AO27" s="59">
        <f t="shared" si="36"/>
        <v>275.88160405468193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10.6</v>
      </c>
      <c r="BD27" s="12">
        <f>IF('Données projet'!$A$88&gt;35,BD26+BC27-BL26,IF(A27&lt;'Données projet'!$A$88,$BA$205^A27,IF(A27='Données projet'!$A$88,'Données projet'!$B$88,BD26+BC27-BL26)))</f>
        <v>102.39999999999996</v>
      </c>
      <c r="BE27" s="13">
        <f>BD27*VLOOKUP('Données projet'!$B$11,Paramètres!$A$1:$I$89,3,0)*VLOOKUP('Données projet'!$B$11,Paramètres!$A$1:$I$89,5,0)</f>
        <v>79.871999999999971</v>
      </c>
      <c r="BF27" s="13">
        <f t="shared" si="37"/>
        <v>22.105884547145401</v>
      </c>
      <c r="BG27" s="20">
        <f t="shared" si="7"/>
        <v>177.61148225294485</v>
      </c>
      <c r="BH27" s="59">
        <f t="shared" si="8"/>
        <v>403.38219043656466</v>
      </c>
      <c r="BI27" s="59">
        <f ca="1">AVERAGE(OFFSET($BH$3,0,0,'Données projet'!$E$11+1,1))-AVERAGE(OFFSET($H$3,0,0,'Données projet'!$E$11+1,1))</f>
        <v>308.85018589589453</v>
      </c>
      <c r="BJ27" s="59">
        <f t="shared" si="38"/>
        <v>302.59481222418219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4.0628205133333335</v>
      </c>
      <c r="BY27" s="12">
        <f>IF('Données projet'!$A$114&gt;35,BY26+BX27-CG26,IF(A27&lt;'Données projet'!$A$114,$BV$205^A27,IF(A27='Données projet'!$A$114,'Données projet'!$B$114,BY26+BX27-CG26)))</f>
        <v>46.64006135003023</v>
      </c>
      <c r="BZ27" s="13">
        <f>BY27*VLOOKUP('Données projet'!$B$12,Paramètres!$A$1:$I$89,3,0)*VLOOKUP('Données projet'!$B$12,Paramètres!$A$1:$I$89,5,0)</f>
        <v>45.110267337749242</v>
      </c>
      <c r="CA27" s="13">
        <f t="shared" si="39"/>
        <v>13.343501509068625</v>
      </c>
      <c r="CB27" s="20">
        <f t="shared" si="10"/>
        <v>101.80698074154111</v>
      </c>
      <c r="CC27" s="59">
        <f t="shared" si="11"/>
        <v>327.57768892516094</v>
      </c>
      <c r="CD27" s="59">
        <f ca="1">AVERAGE(OFFSET($CC$3,0,0,'Données projet'!$E$12+1,1))-AVERAGE(OFFSET($H$3,0,0,'Données projet'!$E$12+1,1))</f>
        <v>600.96600099724276</v>
      </c>
      <c r="CE27" s="59">
        <f t="shared" si="40"/>
        <v>315.40159260706264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4.0628205133333335</v>
      </c>
      <c r="CT27" s="12">
        <f>IF('Données projet'!$A$140&gt;35,CT26+CS27-DB26,IF(A27&lt;'Données projet'!$A$140,$CQ$205^A27,IF(A27='Données projet'!$A$140,'Données projet'!$B$140,CT26+CS27-DB26)))</f>
        <v>46.64006135003023</v>
      </c>
      <c r="CU27" s="17">
        <f>CT27*VLOOKUP('Données projet'!$B$13,Paramètres!$A$1:$I$89,3,0)*VLOOKUP('Données projet'!$B$13,Paramètres!$A$1:$I$89,5,0)</f>
        <v>44.38268238068877</v>
      </c>
      <c r="CV27" s="13">
        <f t="shared" si="41"/>
        <v>13.153155499043805</v>
      </c>
      <c r="CW27" s="20">
        <f t="shared" si="13"/>
        <v>100.20825097386756</v>
      </c>
      <c r="CX27" s="59">
        <f t="shared" si="14"/>
        <v>325.97895915748734</v>
      </c>
      <c r="CY27" s="59">
        <f ca="1">AVERAGE(OFFSET($CX$3,0,0,'Données projet'!$E$13+1,1))-AVERAGE(OFFSET($H$3,0,0,'Données projet'!$E$13+1,1))</f>
        <v>592.58528889137358</v>
      </c>
      <c r="CZ27" s="59">
        <f t="shared" si="42"/>
        <v>311.31528020403709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0</v>
      </c>
      <c r="DH27" s="21">
        <f>EXP(-LN(2)/2)*DH26+(1-EXP(-LN(2)/2))/(LN(2)/2)*DB27*DE27*VLOOKUP('Données projet'!$B$13,Paramètres!$A$1:$I$89,3,0)*0.475*44/12</f>
        <v>0</v>
      </c>
      <c r="DI27" s="22">
        <f t="shared" si="15"/>
        <v>0</v>
      </c>
      <c r="DJ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2">
        <f>'Scénario référence'!$B$16*5+'Scénario référence'!$B$17*0+'Scénario référence'!$B$18*5</f>
        <v>5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66">
        <f t="shared" si="1"/>
        <v>183.33333333333334</v>
      </c>
      <c r="I28" s="6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4.0628205133333335</v>
      </c>
      <c r="N28" s="13">
        <f>IF('Données projet'!$A$36&gt;35,N27+M28-V27,IF(A28&lt;'Données projet'!$A$36,$K$205^A28,IF(A28='Données projet'!$A$36,'Données projet'!$B$36,N27+M28-V27)))</f>
        <v>54.738229073808903</v>
      </c>
      <c r="O28" s="13">
        <f>N28*VLOOKUP('Données projet'!$B$9,Paramètres!$A$1:$I$89,3,0)*VLOOKUP('Données projet'!$B$9,Paramètres!$A$1:$I$89,5,0)</f>
        <v>49.527149665982293</v>
      </c>
      <c r="P28" s="13">
        <f t="shared" si="33"/>
        <v>14.491576552783048</v>
      </c>
      <c r="Q28" s="20">
        <f t="shared" si="2"/>
        <v>111.49928149768296</v>
      </c>
      <c r="R28" s="59">
        <f t="shared" si="0"/>
        <v>339.53705546401505</v>
      </c>
      <c r="S28" s="59">
        <f ca="1">AVERAGE(OFFSET($R$3,0,0,'Données projet'!$E$9+1,1))-AVERAGE(OFFSET($H$3,0,0,'Données projet'!$E$9+1,1))</f>
        <v>567.42635821507474</v>
      </c>
      <c r="T28" s="59">
        <f t="shared" si="34"/>
        <v>299.04735309930152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>
        <f>VLOOKUP(A28,'Données projet'!$A$61:$I$81,2,0)</f>
        <v>76</v>
      </c>
      <c r="AG28" s="12">
        <f>VLOOKUP(A28,'Données projet'!$A$61:$I$81,9,0)</f>
        <v>8.8000000000000007</v>
      </c>
      <c r="AH28" s="12">
        <f t="array" ref="AH28">INDEX(AG:AG,MIN(IF(ISNUMBER(AG28:AG224),ROW(AG28:AG224),"")))</f>
        <v>8.8000000000000007</v>
      </c>
      <c r="AI28" s="13">
        <f>IF('Données projet'!$A$62&gt;35,AI27+AH28-AQ27,IF(A28&lt;'Données projet'!$A$62,$AF$205^A28,IF(A28='Données projet'!$A$62,'Données projet'!$B$62,AI27+AH28-AQ27)))</f>
        <v>75.999999999999986</v>
      </c>
      <c r="AJ28" s="13">
        <f>AI28*VLOOKUP('Données projet'!$B$10,Paramètres!$A$1:$I$89,3,0)*VLOOKUP('Données projet'!$B$10,Paramètres!$A$1:$I$89,5,0)</f>
        <v>65.207999999999998</v>
      </c>
      <c r="AK28" s="13">
        <f t="shared" si="35"/>
        <v>18.478568429485204</v>
      </c>
      <c r="AL28" s="20">
        <f t="shared" si="4"/>
        <v>145.75410668135339</v>
      </c>
      <c r="AM28" s="59">
        <f t="shared" si="5"/>
        <v>373.7918806476855</v>
      </c>
      <c r="AN28" s="59">
        <f ca="1">AVERAGE(OFFSET($AM$3,0,0,'Données projet'!$E$10+1,1))-AVERAGE(OFFSET($H$3,0,0,'Données projet'!$E$10+1,1))</f>
        <v>481.23392184981651</v>
      </c>
      <c r="AO28" s="59">
        <f t="shared" si="36"/>
        <v>275.88160405468193</v>
      </c>
      <c r="AP28" s="15">
        <f>IF(ISNA(VLOOKUP(A28,'Données projet'!$A$61:$I$81,3,0)),0,VLOOKUP(A28,'Données projet'!$A$61:$I$81,3,0))</f>
        <v>1</v>
      </c>
      <c r="AQ28" s="15">
        <f>IF(ISNA(VLOOKUP(A28,'Données projet'!$A$61:$I$81,4,0)),0,VLOOKUP(A28,'Données projet'!$A$61:$I$81,4,0))</f>
        <v>7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>
        <f>VLOOKUP(A28,'Données projet'!$A$87:$I$107,2,0)</f>
        <v>113</v>
      </c>
      <c r="BB28" s="12">
        <f>VLOOKUP(A28,'Données projet'!$A$87:$I$107,9,0)</f>
        <v>10.6</v>
      </c>
      <c r="BC28" s="12">
        <f t="array" ref="BC28">INDEX(BB:BB,MIN(IF(ISNUMBER(BB28:BB224),ROW(BB28:BB224),"")))</f>
        <v>10.6</v>
      </c>
      <c r="BD28" s="12">
        <f>IF('Données projet'!$A$88&gt;35,BD27+BC28-BL27,IF(A28&lt;'Données projet'!$A$88,$BA$205^A28,IF(A28='Données projet'!$A$88,'Données projet'!$B$88,BD27+BC28-BL27)))</f>
        <v>112.99999999999996</v>
      </c>
      <c r="BE28" s="13">
        <f>BD28*VLOOKUP('Données projet'!$B$11,Paramètres!$A$1:$I$89,3,0)*VLOOKUP('Données projet'!$B$11,Paramètres!$A$1:$I$89,5,0)</f>
        <v>88.139999999999972</v>
      </c>
      <c r="BF28" s="13">
        <f t="shared" si="37"/>
        <v>24.116094026318823</v>
      </c>
      <c r="BG28" s="20">
        <f t="shared" si="7"/>
        <v>195.51269709583855</v>
      </c>
      <c r="BH28" s="59">
        <f t="shared" si="8"/>
        <v>423.55047106217069</v>
      </c>
      <c r="BI28" s="59">
        <f ca="1">AVERAGE(OFFSET($BH$3,0,0,'Données projet'!$E$11+1,1))-AVERAGE(OFFSET($H$3,0,0,'Données projet'!$E$11+1,1))</f>
        <v>308.85018589589453</v>
      </c>
      <c r="BJ28" s="59">
        <f t="shared" si="38"/>
        <v>302.59481222418219</v>
      </c>
      <c r="BK28" s="15">
        <f>IF(ISNA(VLOOKUP(A28,'Données projet'!$A$87:$I$107,3,0)),0,VLOOKUP(A28,'Données projet'!$A$87:$I$107,3,0))</f>
        <v>3</v>
      </c>
      <c r="BL28" s="15">
        <f>IF(ISNA(VLOOKUP(A28,'Données projet'!$A$87:$I$107,4,0)),0,VLOOKUP(A28,'Données projet'!$A$87:$I$107,4,0))</f>
        <v>27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4.0628205133333335</v>
      </c>
      <c r="BY28" s="12">
        <f>IF('Données projet'!$A$114&gt;35,BY27+BX28-CG27,IF(A28&lt;'Données projet'!$A$114,$BV$205^A28,IF(A28='Données projet'!$A$114,'Données projet'!$B$114,BY27+BX28-CG27)))</f>
        <v>54.738229073808903</v>
      </c>
      <c r="BZ28" s="13">
        <f>BY28*VLOOKUP('Données projet'!$B$12,Paramètres!$A$1:$I$89,3,0)*VLOOKUP('Données projet'!$B$12,Paramètres!$A$1:$I$89,5,0)</f>
        <v>52.942815160187969</v>
      </c>
      <c r="CA28" s="13">
        <f t="shared" si="39"/>
        <v>15.371206502975815</v>
      </c>
      <c r="CB28" s="20">
        <f t="shared" si="10"/>
        <v>118.98025439667691</v>
      </c>
      <c r="CC28" s="59">
        <f t="shared" si="11"/>
        <v>347.01802836300902</v>
      </c>
      <c r="CD28" s="59">
        <f ca="1">AVERAGE(OFFSET($CC$3,0,0,'Données projet'!$E$12+1,1))-AVERAGE(OFFSET($H$3,0,0,'Données projet'!$E$12+1,1))</f>
        <v>600.96600099724276</v>
      </c>
      <c r="CE28" s="59">
        <f t="shared" si="40"/>
        <v>315.40159260706264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4.0628205133333335</v>
      </c>
      <c r="CT28" s="12">
        <f>IF('Données projet'!$A$140&gt;35,CT27+CS28-DB27,IF(A28&lt;'Données projet'!$A$140,$CQ$205^A28,IF(A28='Données projet'!$A$140,'Données projet'!$B$140,CT27+CS28-DB27)))</f>
        <v>54.738229073808903</v>
      </c>
      <c r="CU28" s="17">
        <f>CT28*VLOOKUP('Données projet'!$B$13,Paramètres!$A$1:$I$89,3,0)*VLOOKUP('Données projet'!$B$13,Paramètres!$A$1:$I$89,5,0)</f>
        <v>52.088898786636555</v>
      </c>
      <c r="CV28" s="13">
        <f t="shared" si="41"/>
        <v>15.151935135177752</v>
      </c>
      <c r="CW28" s="20">
        <f t="shared" si="13"/>
        <v>117.11111908049322</v>
      </c>
      <c r="CX28" s="59">
        <f t="shared" si="14"/>
        <v>345.14889304682532</v>
      </c>
      <c r="CY28" s="59">
        <f ca="1">AVERAGE(OFFSET($CX$3,0,0,'Données projet'!$E$13+1,1))-AVERAGE(OFFSET($H$3,0,0,'Données projet'!$E$13+1,1))</f>
        <v>592.58528889137358</v>
      </c>
      <c r="CZ28" s="59">
        <f t="shared" si="42"/>
        <v>311.31528020403709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0</v>
      </c>
      <c r="DH28" s="21">
        <f>EXP(-LN(2)/2)*DH27+(1-EXP(-LN(2)/2))/(LN(2)/2)*DB28*DE28*VLOOKUP('Données projet'!$B$13,Paramètres!$A$1:$I$89,3,0)*0.475*44/12</f>
        <v>0</v>
      </c>
      <c r="DI28" s="22">
        <f t="shared" si="15"/>
        <v>0</v>
      </c>
      <c r="DJ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2">
        <f>'Scénario référence'!$B$16*5+'Scénario référence'!$B$17*0+'Scénario référence'!$B$18*5</f>
        <v>5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66">
        <f t="shared" si="1"/>
        <v>183.33333333333334</v>
      </c>
      <c r="I29" s="6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4.0628205133333335</v>
      </c>
      <c r="N29" s="13">
        <f>IF('Données projet'!$A$36&gt;35,N28+M29-V28,IF(A29&lt;'Données projet'!$A$36,$K$205^A29,IF(A29='Données projet'!$A$36,'Données projet'!$B$36,N28+M29-V28)))</f>
        <v>64.242491013250699</v>
      </c>
      <c r="O29" s="13">
        <f>N29*VLOOKUP('Données projet'!$B$9,Paramètres!$A$1:$I$89,3,0)*VLOOKUP('Données projet'!$B$9,Paramètres!$A$1:$I$89,5,0)</f>
        <v>58.126605868789227</v>
      </c>
      <c r="P29" s="13">
        <f t="shared" si="33"/>
        <v>16.693745310788277</v>
      </c>
      <c r="Q29" s="20">
        <f t="shared" si="2"/>
        <v>130.31211163776413</v>
      </c>
      <c r="R29" s="59">
        <f t="shared" si="0"/>
        <v>360.59882568695434</v>
      </c>
      <c r="S29" s="59">
        <f ca="1">AVERAGE(OFFSET($R$3,0,0,'Données projet'!$E$9+1,1))-AVERAGE(OFFSET($H$3,0,0,'Données projet'!$E$9+1,1))</f>
        <v>567.42635821507474</v>
      </c>
      <c r="T29" s="59">
        <f t="shared" si="34"/>
        <v>299.04735309930152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9.4</v>
      </c>
      <c r="AI29" s="13">
        <f>IF('Données projet'!$A$62&gt;35,AI28+AH29-AQ28,IF(A29&lt;'Données projet'!$A$62,$AF$205^A29,IF(A29='Données projet'!$A$62,'Données projet'!$B$62,AI28+AH29-AQ28)))</f>
        <v>78.399999999999991</v>
      </c>
      <c r="AJ29" s="13">
        <f>AI29*VLOOKUP('Données projet'!$B$10,Paramètres!$A$1:$I$89,3,0)*VLOOKUP('Données projet'!$B$10,Paramètres!$A$1:$I$89,5,0)</f>
        <v>67.267200000000003</v>
      </c>
      <c r="AK29" s="13">
        <f t="shared" si="35"/>
        <v>18.993242158132926</v>
      </c>
      <c r="AL29" s="20">
        <f t="shared" si="4"/>
        <v>150.23693675874819</v>
      </c>
      <c r="AM29" s="59">
        <f t="shared" si="5"/>
        <v>380.52365080793834</v>
      </c>
      <c r="AN29" s="59">
        <f ca="1">AVERAGE(OFFSET($AM$3,0,0,'Données projet'!$E$10+1,1))-AVERAGE(OFFSET($H$3,0,0,'Données projet'!$E$10+1,1))</f>
        <v>481.23392184981651</v>
      </c>
      <c r="AO29" s="59">
        <f t="shared" si="36"/>
        <v>275.88160405468193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11.5</v>
      </c>
      <c r="BD29" s="12">
        <f>IF('Données projet'!$A$88&gt;35,BD28+BC29-BL28,IF(A29&lt;'Données projet'!$A$88,$BA$205^A29,IF(A29='Données projet'!$A$88,'Données projet'!$B$88,BD28+BC29-BL28)))</f>
        <v>97.499999999999957</v>
      </c>
      <c r="BE29" s="13">
        <f>BD29*VLOOKUP('Données projet'!$B$11,Paramètres!$A$1:$I$89,3,0)*VLOOKUP('Données projet'!$B$11,Paramètres!$A$1:$I$89,5,0)</f>
        <v>76.049999999999969</v>
      </c>
      <c r="BF29" s="13">
        <f t="shared" si="37"/>
        <v>21.168560890749262</v>
      </c>
      <c r="BG29" s="20">
        <f t="shared" si="7"/>
        <v>169.32232688472158</v>
      </c>
      <c r="BH29" s="59">
        <f t="shared" si="8"/>
        <v>399.60904093391173</v>
      </c>
      <c r="BI29" s="59">
        <f ca="1">AVERAGE(OFFSET($BH$3,0,0,'Données projet'!$E$11+1,1))-AVERAGE(OFFSET($H$3,0,0,'Données projet'!$E$11+1,1))</f>
        <v>308.85018589589453</v>
      </c>
      <c r="BJ29" s="59">
        <f t="shared" si="38"/>
        <v>302.59481222418219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4.0628205133333335</v>
      </c>
      <c r="BY29" s="12">
        <f>IF('Données projet'!$A$114&gt;35,BY28+BX29-CG28,IF(A29&lt;'Données projet'!$A$114,$BV$205^A29,IF(A29='Données projet'!$A$114,'Données projet'!$B$114,BY28+BX29-CG28)))</f>
        <v>64.242491013250699</v>
      </c>
      <c r="BZ29" s="13">
        <f>BY29*VLOOKUP('Données projet'!$B$12,Paramètres!$A$1:$I$89,3,0)*VLOOKUP('Données projet'!$B$12,Paramètres!$A$1:$I$89,5,0)</f>
        <v>62.135337308016076</v>
      </c>
      <c r="CA29" s="13">
        <f t="shared" si="39"/>
        <v>17.707045575447157</v>
      </c>
      <c r="CB29" s="20">
        <f t="shared" si="10"/>
        <v>139.05881685536514</v>
      </c>
      <c r="CC29" s="59">
        <f t="shared" si="11"/>
        <v>369.34553090455529</v>
      </c>
      <c r="CD29" s="59">
        <f ca="1">AVERAGE(OFFSET($CC$3,0,0,'Données projet'!$E$12+1,1))-AVERAGE(OFFSET($H$3,0,0,'Données projet'!$E$12+1,1))</f>
        <v>600.96600099724276</v>
      </c>
      <c r="CE29" s="59">
        <f t="shared" si="40"/>
        <v>315.40159260706264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4.0628205133333335</v>
      </c>
      <c r="CT29" s="12">
        <f>IF('Données projet'!$A$140&gt;35,CT28+CS29-DB28,IF(A29&lt;'Données projet'!$A$140,$CQ$205^A29,IF(A29='Données projet'!$A$140,'Données projet'!$B$140,CT28+CS29-DB28)))</f>
        <v>64.242491013250699</v>
      </c>
      <c r="CU29" s="17">
        <f>CT29*VLOOKUP('Données projet'!$B$13,Paramètres!$A$1:$I$89,3,0)*VLOOKUP('Données projet'!$B$13,Paramètres!$A$1:$I$89,5,0)</f>
        <v>61.133154448209368</v>
      </c>
      <c r="CV29" s="13">
        <f t="shared" si="41"/>
        <v>17.454453295053341</v>
      </c>
      <c r="CW29" s="20">
        <f t="shared" si="13"/>
        <v>136.87341681951588</v>
      </c>
      <c r="CX29" s="59">
        <f t="shared" si="14"/>
        <v>367.16013086870606</v>
      </c>
      <c r="CY29" s="59">
        <f ca="1">AVERAGE(OFFSET($CX$3,0,0,'Données projet'!$E$13+1,1))-AVERAGE(OFFSET($H$3,0,0,'Données projet'!$E$13+1,1))</f>
        <v>592.58528889137358</v>
      </c>
      <c r="CZ29" s="59">
        <f t="shared" si="42"/>
        <v>311.31528020403709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0</v>
      </c>
      <c r="DH29" s="21">
        <f>EXP(-LN(2)/2)*DH28+(1-EXP(-LN(2)/2))/(LN(2)/2)*DB29*DE29*VLOOKUP('Données projet'!$B$13,Paramètres!$A$1:$I$89,3,0)*0.475*44/12</f>
        <v>0</v>
      </c>
      <c r="DI29" s="22">
        <f t="shared" si="15"/>
        <v>0</v>
      </c>
      <c r="DJ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2">
        <f>'Scénario référence'!$B$16*5+'Scénario référence'!$B$17*0+'Scénario référence'!$B$18*5</f>
        <v>5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66">
        <f t="shared" si="1"/>
        <v>183.33333333333334</v>
      </c>
      <c r="I30" s="6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4.0628205133333335</v>
      </c>
      <c r="N30" s="13">
        <f>IF('Données projet'!$A$36&gt;35,N29+M30-V29,IF(A30&lt;'Données projet'!$A$36,$K$205^A30,IF(A30='Données projet'!$A$36,'Données projet'!$B$36,N29+M30-V29)))</f>
        <v>75.396988931129442</v>
      </c>
      <c r="O30" s="13">
        <f>N30*VLOOKUP('Données projet'!$B$9,Paramètres!$A$1:$I$89,3,0)*VLOOKUP('Données projet'!$B$9,Paramètres!$A$1:$I$89,5,0)</f>
        <v>68.21919558488591</v>
      </c>
      <c r="P30" s="13">
        <f t="shared" si="33"/>
        <v>19.230560007492496</v>
      </c>
      <c r="Q30" s="20">
        <f t="shared" si="2"/>
        <v>152.30832432339238</v>
      </c>
      <c r="R30" s="59">
        <f t="shared" si="0"/>
        <v>384.82616719595592</v>
      </c>
      <c r="S30" s="59">
        <f ca="1">AVERAGE(OFFSET($R$3,0,0,'Données projet'!$E$9+1,1))-AVERAGE(OFFSET($H$3,0,0,'Données projet'!$E$9+1,1))</f>
        <v>567.42635821507474</v>
      </c>
      <c r="T30" s="59">
        <f t="shared" si="34"/>
        <v>299.04735309930152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9.4</v>
      </c>
      <c r="AI30" s="13">
        <f>IF('Données projet'!$A$62&gt;35,AI29+AH30-AQ29,IF(A30&lt;'Données projet'!$A$62,$AF$205^A30,IF(A30='Données projet'!$A$62,'Données projet'!$B$62,AI29+AH30-AQ29)))</f>
        <v>87.8</v>
      </c>
      <c r="AJ30" s="13">
        <f>AI30*VLOOKUP('Données projet'!$B$10,Paramètres!$A$1:$I$89,3,0)*VLOOKUP('Données projet'!$B$10,Paramètres!$A$1:$I$89,5,0)</f>
        <v>75.332400000000007</v>
      </c>
      <c r="AK30" s="13">
        <f t="shared" si="35"/>
        <v>20.991969498724234</v>
      </c>
      <c r="AL30" s="20">
        <f t="shared" si="4"/>
        <v>167.76494354361137</v>
      </c>
      <c r="AM30" s="59">
        <f t="shared" si="5"/>
        <v>400.28278641617487</v>
      </c>
      <c r="AN30" s="59">
        <f ca="1">AVERAGE(OFFSET($AM$3,0,0,'Données projet'!$E$10+1,1))-AVERAGE(OFFSET($H$3,0,0,'Données projet'!$E$10+1,1))</f>
        <v>481.23392184981651</v>
      </c>
      <c r="AO30" s="59">
        <f t="shared" si="36"/>
        <v>275.88160405468193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11.5</v>
      </c>
      <c r="BD30" s="12">
        <f>IF('Données projet'!$A$88&gt;35,BD29+BC30-BL29,IF(A30&lt;'Données projet'!$A$88,$BA$205^A30,IF(A30='Données projet'!$A$88,'Données projet'!$B$88,BD29+BC30-BL29)))</f>
        <v>108.99999999999996</v>
      </c>
      <c r="BE30" s="13">
        <f>BD30*VLOOKUP('Données projet'!$B$11,Paramètres!$A$1:$I$89,3,0)*VLOOKUP('Données projet'!$B$11,Paramètres!$A$1:$I$89,5,0)</f>
        <v>85.019999999999968</v>
      </c>
      <c r="BF30" s="13">
        <f t="shared" si="37"/>
        <v>23.360218970693097</v>
      </c>
      <c r="BG30" s="20">
        <f t="shared" si="7"/>
        <v>188.76221470729038</v>
      </c>
      <c r="BH30" s="59">
        <f t="shared" si="8"/>
        <v>421.28005757985386</v>
      </c>
      <c r="BI30" s="59">
        <f ca="1">AVERAGE(OFFSET($BH$3,0,0,'Données projet'!$E$11+1,1))-AVERAGE(OFFSET($H$3,0,0,'Données projet'!$E$11+1,1))</f>
        <v>308.85018589589453</v>
      </c>
      <c r="BJ30" s="59">
        <f t="shared" si="38"/>
        <v>302.59481222418219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4.0628205133333335</v>
      </c>
      <c r="BY30" s="12">
        <f>IF('Données projet'!$A$114&gt;35,BY29+BX30-CG29,IF(A30&lt;'Données projet'!$A$114,$BV$205^A30,IF(A30='Données projet'!$A$114,'Données projet'!$B$114,BY29+BX30-CG29)))</f>
        <v>75.396988931129442</v>
      </c>
      <c r="BZ30" s="13">
        <f>BY30*VLOOKUP('Données projet'!$B$12,Paramètres!$A$1:$I$89,3,0)*VLOOKUP('Données projet'!$B$12,Paramètres!$A$1:$I$89,5,0)</f>
        <v>72.923967694188406</v>
      </c>
      <c r="CA30" s="13">
        <f t="shared" si="39"/>
        <v>20.397843393117032</v>
      </c>
      <c r="CB30" s="20">
        <f t="shared" si="10"/>
        <v>162.53548764372363</v>
      </c>
      <c r="CC30" s="59">
        <f t="shared" si="11"/>
        <v>395.05333051628713</v>
      </c>
      <c r="CD30" s="59">
        <f ca="1">AVERAGE(OFFSET($CC$3,0,0,'Données projet'!$E$12+1,1))-AVERAGE(OFFSET($H$3,0,0,'Données projet'!$E$12+1,1))</f>
        <v>600.96600099724276</v>
      </c>
      <c r="CE30" s="59">
        <f t="shared" si="40"/>
        <v>315.40159260706264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4.0628205133333335</v>
      </c>
      <c r="CT30" s="12">
        <f>IF('Données projet'!$A$140&gt;35,CT29+CS30-DB29,IF(A30&lt;'Données projet'!$A$140,$CQ$205^A30,IF(A30='Données projet'!$A$140,'Données projet'!$B$140,CT29+CS30-DB29)))</f>
        <v>75.396988931129442</v>
      </c>
      <c r="CU30" s="17">
        <f>CT30*VLOOKUP('Données projet'!$B$13,Paramètres!$A$1:$I$89,3,0)*VLOOKUP('Données projet'!$B$13,Paramètres!$A$1:$I$89,5,0)</f>
        <v>71.747774666862767</v>
      </c>
      <c r="CV30" s="13">
        <f t="shared" si="41"/>
        <v>20.106866688063089</v>
      </c>
      <c r="CW30" s="20">
        <f t="shared" si="13"/>
        <v>159.98016702649588</v>
      </c>
      <c r="CX30" s="59">
        <f t="shared" si="14"/>
        <v>392.49800989905941</v>
      </c>
      <c r="CY30" s="59">
        <f ca="1">AVERAGE(OFFSET($CX$3,0,0,'Données projet'!$E$13+1,1))-AVERAGE(OFFSET($H$3,0,0,'Données projet'!$E$13+1,1))</f>
        <v>592.58528889137358</v>
      </c>
      <c r="CZ30" s="59">
        <f t="shared" si="42"/>
        <v>311.31528020403709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0</v>
      </c>
      <c r="DH30" s="21">
        <f>EXP(-LN(2)/2)*DH29+(1-EXP(-LN(2)/2))/(LN(2)/2)*DB30*DE30*VLOOKUP('Données projet'!$B$13,Paramètres!$A$1:$I$89,3,0)*0.475*44/12</f>
        <v>0</v>
      </c>
      <c r="DI30" s="22">
        <f t="shared" si="15"/>
        <v>0</v>
      </c>
      <c r="DJ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2">
        <f>'Scénario référence'!$B$16*5+'Scénario référence'!$B$17*0+'Scénario référence'!$B$18*5</f>
        <v>5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66">
        <f t="shared" si="1"/>
        <v>183.33333333333334</v>
      </c>
      <c r="I31" s="6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4.0628205133333335</v>
      </c>
      <c r="N31" s="13">
        <f>IF('Données projet'!$A$36&gt;35,N30+M31-V30,IF(A31&lt;'Données projet'!$A$36,$K$205^A31,IF(A31='Données projet'!$A$36,'Données projet'!$B$36,N30+M31-V30)))</f>
        <v>88.488255206485093</v>
      </c>
      <c r="O31" s="13">
        <f>N31*VLOOKUP('Données projet'!$B$9,Paramètres!$A$1:$I$89,3,0)*VLOOKUP('Données projet'!$B$9,Paramètres!$A$1:$I$89,5,0)</f>
        <v>80.064173310827712</v>
      </c>
      <c r="P31" s="13">
        <f t="shared" si="33"/>
        <v>22.15287410445745</v>
      </c>
      <c r="Q31" s="20">
        <f t="shared" si="2"/>
        <v>178.02802424828835</v>
      </c>
      <c r="R31" s="59">
        <f t="shared" si="0"/>
        <v>412.75949367027243</v>
      </c>
      <c r="S31" s="59">
        <f ca="1">AVERAGE(OFFSET($R$3,0,0,'Données projet'!$E$9+1,1))-AVERAGE(OFFSET($H$3,0,0,'Données projet'!$E$9+1,1))</f>
        <v>567.42635821507474</v>
      </c>
      <c r="T31" s="59">
        <f t="shared" si="34"/>
        <v>299.04735309930152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9.4</v>
      </c>
      <c r="AI31" s="13">
        <f>IF('Données projet'!$A$62&gt;35,AI30+AH31-AQ30,IF(A31&lt;'Données projet'!$A$62,$AF$205^A31,IF(A31='Données projet'!$A$62,'Données projet'!$B$62,AI30+AH31-AQ30)))</f>
        <v>97.2</v>
      </c>
      <c r="AJ31" s="13">
        <f>AI31*VLOOKUP('Données projet'!$B$10,Paramètres!$A$1:$I$89,3,0)*VLOOKUP('Données projet'!$B$10,Paramètres!$A$1:$I$89,5,0)</f>
        <v>83.397600000000011</v>
      </c>
      <c r="AK31" s="13">
        <f t="shared" si="35"/>
        <v>22.965893371329315</v>
      </c>
      <c r="AL31" s="20">
        <f t="shared" si="4"/>
        <v>185.24975095506522</v>
      </c>
      <c r="AM31" s="59">
        <f t="shared" si="5"/>
        <v>419.98122037704934</v>
      </c>
      <c r="AN31" s="59">
        <f ca="1">AVERAGE(OFFSET($AM$3,0,0,'Données projet'!$E$10+1,1))-AVERAGE(OFFSET($H$3,0,0,'Données projet'!$E$10+1,1))</f>
        <v>481.23392184981651</v>
      </c>
      <c r="AO31" s="59">
        <f t="shared" si="36"/>
        <v>275.88160405468193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11.5</v>
      </c>
      <c r="BD31" s="12">
        <f>IF('Données projet'!$A$88&gt;35,BD30+BC31-BL30,IF(A31&lt;'Données projet'!$A$88,$BA$205^A31,IF(A31='Données projet'!$A$88,'Données projet'!$B$88,BD30+BC31-BL30)))</f>
        <v>120.49999999999996</v>
      </c>
      <c r="BE31" s="13">
        <f>BD31*VLOOKUP('Données projet'!$B$11,Paramètres!$A$1:$I$89,3,0)*VLOOKUP('Données projet'!$B$11,Paramètres!$A$1:$I$89,5,0)</f>
        <v>93.989999999999966</v>
      </c>
      <c r="BF31" s="13">
        <f t="shared" si="37"/>
        <v>25.525074036970054</v>
      </c>
      <c r="BG31" s="20">
        <f t="shared" si="7"/>
        <v>208.15542061438944</v>
      </c>
      <c r="BH31" s="59">
        <f t="shared" si="8"/>
        <v>442.88689003637353</v>
      </c>
      <c r="BI31" s="59">
        <f ca="1">AVERAGE(OFFSET($BH$3,0,0,'Données projet'!$E$11+1,1))-AVERAGE(OFFSET($H$3,0,0,'Données projet'!$E$11+1,1))</f>
        <v>308.85018589589453</v>
      </c>
      <c r="BJ31" s="59">
        <f t="shared" si="38"/>
        <v>302.59481222418219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4.0628205133333335</v>
      </c>
      <c r="BY31" s="12">
        <f>IF('Données projet'!$A$114&gt;35,BY30+BX31-CG30,IF(A31&lt;'Données projet'!$A$114,$BV$205^A31,IF(A31='Données projet'!$A$114,'Données projet'!$B$114,BY30+BX31-CG30)))</f>
        <v>88.488255206485093</v>
      </c>
      <c r="BZ31" s="13">
        <f>BY31*VLOOKUP('Données projet'!$B$12,Paramètres!$A$1:$I$89,3,0)*VLOOKUP('Données projet'!$B$12,Paramètres!$A$1:$I$89,5,0)</f>
        <v>85.585840435712385</v>
      </c>
      <c r="CA31" s="13">
        <f t="shared" si="39"/>
        <v>23.497540191970781</v>
      </c>
      <c r="CB31" s="20">
        <f t="shared" si="10"/>
        <v>189.98688792654818</v>
      </c>
      <c r="CC31" s="59">
        <f t="shared" si="11"/>
        <v>424.71835734853227</v>
      </c>
      <c r="CD31" s="59">
        <f ca="1">AVERAGE(OFFSET($CC$3,0,0,'Données projet'!$E$12+1,1))-AVERAGE(OFFSET($H$3,0,0,'Données projet'!$E$12+1,1))</f>
        <v>600.96600099724276</v>
      </c>
      <c r="CE31" s="59">
        <f t="shared" si="40"/>
        <v>315.40159260706264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4.0628205133333335</v>
      </c>
      <c r="CT31" s="12">
        <f>IF('Données projet'!$A$140&gt;35,CT30+CS31-DB30,IF(A31&lt;'Données projet'!$A$140,$CQ$205^A31,IF(A31='Données projet'!$A$140,'Données projet'!$B$140,CT30+CS31-DB30)))</f>
        <v>88.488255206485093</v>
      </c>
      <c r="CU31" s="17">
        <f>CT31*VLOOKUP('Données projet'!$B$13,Paramètres!$A$1:$I$89,3,0)*VLOOKUP('Données projet'!$B$13,Paramètres!$A$1:$I$89,5,0)</f>
        <v>84.205423654491227</v>
      </c>
      <c r="CV31" s="13">
        <f t="shared" si="41"/>
        <v>23.162346088841272</v>
      </c>
      <c r="CW31" s="20">
        <f t="shared" si="13"/>
        <v>186.99886563630412</v>
      </c>
      <c r="CX31" s="59">
        <f t="shared" si="14"/>
        <v>421.73033505828823</v>
      </c>
      <c r="CY31" s="59">
        <f ca="1">AVERAGE(OFFSET($CX$3,0,0,'Données projet'!$E$13+1,1))-AVERAGE(OFFSET($H$3,0,0,'Données projet'!$E$13+1,1))</f>
        <v>592.58528889137358</v>
      </c>
      <c r="CZ31" s="59">
        <f t="shared" si="42"/>
        <v>311.31528020403709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0</v>
      </c>
      <c r="DH31" s="21">
        <f>EXP(-LN(2)/2)*DH30+(1-EXP(-LN(2)/2))/(LN(2)/2)*DB31*DE31*VLOOKUP('Données projet'!$B$13,Paramètres!$A$1:$I$89,3,0)*0.475*44/12</f>
        <v>0</v>
      </c>
      <c r="DI31" s="22">
        <f t="shared" si="15"/>
        <v>0</v>
      </c>
      <c r="DJ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2">
        <f>'Scénario référence'!$B$16*5+'Scénario référence'!$B$17*0+'Scénario référence'!$B$18*5</f>
        <v>5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66">
        <f t="shared" si="1"/>
        <v>183.33333333333334</v>
      </c>
      <c r="I32" s="6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4.0628205133333335</v>
      </c>
      <c r="N32" s="13">
        <f>IF('Données projet'!$A$36&gt;35,N31+M32-V31,IF(A32&lt;'Données projet'!$A$36,$K$205^A32,IF(A32='Données projet'!$A$36,'Données projet'!$B$36,N31+M32-V31)))</f>
        <v>103.85257316628947</v>
      </c>
      <c r="O32" s="13">
        <f>N32*VLOOKUP('Données projet'!$B$9,Paramètres!$A$1:$I$89,3,0)*VLOOKUP('Données projet'!$B$9,Paramètres!$A$1:$I$89,5,0)</f>
        <v>93.965808200858717</v>
      </c>
      <c r="P32" s="13">
        <f t="shared" si="33"/>
        <v>25.519268856275549</v>
      </c>
      <c r="Q32" s="20">
        <f t="shared" si="2"/>
        <v>208.10317587450882</v>
      </c>
      <c r="R32" s="59">
        <f t="shared" si="0"/>
        <v>445.03107319728463</v>
      </c>
      <c r="S32" s="59">
        <f ca="1">AVERAGE(OFFSET($R$3,0,0,'Données projet'!$E$9+1,1))-AVERAGE(OFFSET($H$3,0,0,'Données projet'!$E$9+1,1))</f>
        <v>567.42635821507474</v>
      </c>
      <c r="T32" s="59">
        <f t="shared" si="34"/>
        <v>299.04735309930152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9.4</v>
      </c>
      <c r="AI32" s="13">
        <f>IF('Données projet'!$A$62&gt;35,AI31+AH32-AQ31,IF(A32&lt;'Données projet'!$A$62,$AF$205^A32,IF(A32='Données projet'!$A$62,'Données projet'!$B$62,AI31+AH32-AQ31)))</f>
        <v>106.60000000000001</v>
      </c>
      <c r="AJ32" s="13">
        <f>AI32*VLOOKUP('Données projet'!$B$10,Paramètres!$A$1:$I$89,3,0)*VLOOKUP('Données projet'!$B$10,Paramètres!$A$1:$I$89,5,0)</f>
        <v>91.462800000000016</v>
      </c>
      <c r="AK32" s="13">
        <f t="shared" si="35"/>
        <v>24.917685409456144</v>
      </c>
      <c r="AL32" s="20">
        <f t="shared" si="4"/>
        <v>202.69601208813614</v>
      </c>
      <c r="AM32" s="59">
        <f t="shared" si="5"/>
        <v>439.62390941091201</v>
      </c>
      <c r="AN32" s="59">
        <f ca="1">AVERAGE(OFFSET($AM$3,0,0,'Données projet'!$E$10+1,1))-AVERAGE(OFFSET($H$3,0,0,'Données projet'!$E$10+1,1))</f>
        <v>481.23392184981651</v>
      </c>
      <c r="AO32" s="59">
        <f t="shared" si="36"/>
        <v>275.88160405468193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11.5</v>
      </c>
      <c r="BD32" s="12">
        <f>IF('Données projet'!$A$88&gt;35,BD31+BC32-BL31,IF(A32&lt;'Données projet'!$A$88,$BA$205^A32,IF(A32='Données projet'!$A$88,'Données projet'!$B$88,BD31+BC32-BL31)))</f>
        <v>131.99999999999994</v>
      </c>
      <c r="BE32" s="13">
        <f>BD32*VLOOKUP('Données projet'!$B$11,Paramètres!$A$1:$I$89,3,0)*VLOOKUP('Données projet'!$B$11,Paramètres!$A$1:$I$89,5,0)</f>
        <v>102.95999999999997</v>
      </c>
      <c r="BF32" s="13">
        <f t="shared" si="37"/>
        <v>27.665975080374633</v>
      </c>
      <c r="BG32" s="20">
        <f t="shared" si="7"/>
        <v>227.50690659831903</v>
      </c>
      <c r="BH32" s="59">
        <f t="shared" si="8"/>
        <v>464.43480392109484</v>
      </c>
      <c r="BI32" s="59">
        <f ca="1">AVERAGE(OFFSET($BH$3,0,0,'Données projet'!$E$11+1,1))-AVERAGE(OFFSET($H$3,0,0,'Données projet'!$E$11+1,1))</f>
        <v>308.85018589589453</v>
      </c>
      <c r="BJ32" s="59">
        <f t="shared" si="38"/>
        <v>302.59481222418219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4.0628205133333335</v>
      </c>
      <c r="BY32" s="12">
        <f>IF('Données projet'!$A$114&gt;35,BY31+BX32-CG31,IF(A32&lt;'Données projet'!$A$114,$BV$205^A32,IF(A32='Données projet'!$A$114,'Données projet'!$B$114,BY31+BX32-CG31)))</f>
        <v>103.85257316628947</v>
      </c>
      <c r="BZ32" s="13">
        <f>BY32*VLOOKUP('Données projet'!$B$12,Paramètres!$A$1:$I$89,3,0)*VLOOKUP('Données projet'!$B$12,Paramètres!$A$1:$I$89,5,0)</f>
        <v>100.44620876643518</v>
      </c>
      <c r="CA32" s="13">
        <f t="shared" si="39"/>
        <v>27.068273073397172</v>
      </c>
      <c r="CB32" s="20">
        <f t="shared" si="10"/>
        <v>222.08772253770795</v>
      </c>
      <c r="CC32" s="59">
        <f t="shared" si="11"/>
        <v>459.01561986048375</v>
      </c>
      <c r="CD32" s="59">
        <f ca="1">AVERAGE(OFFSET($CC$3,0,0,'Données projet'!$E$12+1,1))-AVERAGE(OFFSET($H$3,0,0,'Données projet'!$E$12+1,1))</f>
        <v>600.96600099724276</v>
      </c>
      <c r="CE32" s="59">
        <f t="shared" si="40"/>
        <v>315.40159260706264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4.0628205133333335</v>
      </c>
      <c r="CT32" s="12">
        <f>IF('Données projet'!$A$140&gt;35,CT31+CS32-DB31,IF(A32&lt;'Données projet'!$A$140,$CQ$205^A32,IF(A32='Données projet'!$A$140,'Données projet'!$B$140,CT31+CS32-DB31)))</f>
        <v>103.85257316628947</v>
      </c>
      <c r="CU32" s="17">
        <f>CT32*VLOOKUP('Données projet'!$B$13,Paramètres!$A$1:$I$89,3,0)*VLOOKUP('Données projet'!$B$13,Paramètres!$A$1:$I$89,5,0)</f>
        <v>98.826108625041059</v>
      </c>
      <c r="CV32" s="13">
        <f t="shared" si="41"/>
        <v>26.682142208550211</v>
      </c>
      <c r="CW32" s="20">
        <f t="shared" si="13"/>
        <v>218.59353686850477</v>
      </c>
      <c r="CX32" s="59">
        <f t="shared" si="14"/>
        <v>455.5214341912806</v>
      </c>
      <c r="CY32" s="59">
        <f ca="1">AVERAGE(OFFSET($CX$3,0,0,'Données projet'!$E$13+1,1))-AVERAGE(OFFSET($H$3,0,0,'Données projet'!$E$13+1,1))</f>
        <v>592.58528889137358</v>
      </c>
      <c r="CZ32" s="59">
        <f t="shared" si="42"/>
        <v>311.31528020403709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0</v>
      </c>
      <c r="DH32" s="21">
        <f>EXP(-LN(2)/2)*DH31+(1-EXP(-LN(2)/2))/(LN(2)/2)*DB32*DE32*VLOOKUP('Données projet'!$B$13,Paramètres!$A$1:$I$89,3,0)*0.475*44/12</f>
        <v>0</v>
      </c>
      <c r="DI32" s="22">
        <f t="shared" si="15"/>
        <v>0</v>
      </c>
      <c r="DJ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2">
        <f>'Scénario référence'!$B$16*5+'Scénario référence'!$B$17*0+'Scénario référence'!$B$18*5</f>
        <v>5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66">
        <f t="shared" si="1"/>
        <v>183.33333333333334</v>
      </c>
      <c r="I33" s="6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121.8846154</v>
      </c>
      <c r="L33" s="12">
        <f>VLOOKUP(A33,'Données projet'!$A$35:$I$55,9,0)</f>
        <v>4.0628205133333335</v>
      </c>
      <c r="M33" s="12">
        <f t="array" ref="M33">INDEX(L:L,MIN(IF(ISNUMBER(L33:L229),ROW(L33:L229),"")))</f>
        <v>4.0628205133333335</v>
      </c>
      <c r="N33" s="13">
        <f>IF('Données projet'!$A$36&gt;35,N32+M33-V32,IF(A33&lt;'Données projet'!$A$36,$K$205^A33,IF(A33='Données projet'!$A$36,'Données projet'!$B$36,N32+M33-V32)))</f>
        <v>121.8846154</v>
      </c>
      <c r="O33" s="13">
        <f>N33*VLOOKUP('Données projet'!$B$9,Paramètres!$A$1:$I$89,3,0)*VLOOKUP('Données projet'!$B$9,Paramètres!$A$1:$I$89,5,0)</f>
        <v>110.28120001392</v>
      </c>
      <c r="P33" s="13">
        <f t="shared" si="33"/>
        <v>29.397227641348678</v>
      </c>
      <c r="Q33" s="20">
        <f t="shared" si="2"/>
        <v>243.27326149959291</v>
      </c>
      <c r="R33" s="59">
        <f t="shared" si="0"/>
        <v>482.38068643263489</v>
      </c>
      <c r="S33" s="59">
        <f ca="1">AVERAGE(OFFSET($R$3,0,0,'Données projet'!$E$9+1,1))-AVERAGE(OFFSET($H$3,0,0,'Données projet'!$E$9+1,1))</f>
        <v>567.42635821507474</v>
      </c>
      <c r="T33" s="59">
        <f t="shared" si="34"/>
        <v>299.04735309930152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116</v>
      </c>
      <c r="AG33" s="12">
        <f>VLOOKUP(A33,'Données projet'!$A$61:$I$81,9,0)</f>
        <v>9.4</v>
      </c>
      <c r="AH33" s="12">
        <f t="array" ref="AH33">INDEX(AG:AG,MIN(IF(ISNUMBER(AG33:AG229),ROW(AG33:AG229),"")))</f>
        <v>9.4</v>
      </c>
      <c r="AI33" s="13">
        <f>IF('Données projet'!$A$62&gt;35,AI32+AH33-AQ32,IF(A33&lt;'Données projet'!$A$62,$AF$205^A33,IF(A33='Données projet'!$A$62,'Données projet'!$B$62,AI32+AH33-AQ32)))</f>
        <v>116.00000000000001</v>
      </c>
      <c r="AJ33" s="13">
        <f>AI33*VLOOKUP('Données projet'!$B$10,Paramètres!$A$1:$I$89,3,0)*VLOOKUP('Données projet'!$B$10,Paramètres!$A$1:$I$89,5,0)</f>
        <v>99.52800000000002</v>
      </c>
      <c r="AK33" s="13">
        <f t="shared" si="35"/>
        <v>26.849519112903323</v>
      </c>
      <c r="AL33" s="20">
        <f t="shared" si="4"/>
        <v>220.10751245497332</v>
      </c>
      <c r="AM33" s="59">
        <f t="shared" si="5"/>
        <v>459.2149373880153</v>
      </c>
      <c r="AN33" s="59">
        <f ca="1">AVERAGE(OFFSET($AM$3,0,0,'Données projet'!$E$10+1,1))-AVERAGE(OFFSET($H$3,0,0,'Données projet'!$E$10+1,1))</f>
        <v>481.23392184981651</v>
      </c>
      <c r="AO33" s="59">
        <f t="shared" si="36"/>
        <v>275.88160405468193</v>
      </c>
      <c r="AP33" s="15">
        <f>IF(ISNA(VLOOKUP(A33,'Données projet'!$A$61:$I$81,3,0)),0,VLOOKUP(A33,'Données projet'!$A$61:$I$81,3,0))</f>
        <v>2</v>
      </c>
      <c r="AQ33" s="15">
        <f>IF(ISNA(VLOOKUP(A33,'Données projet'!$A$61:$I$81,4,0)),0,VLOOKUP(A33,'Données projet'!$A$61:$I$81,4,0))</f>
        <v>28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11.5</v>
      </c>
      <c r="BD33" s="12">
        <f>IF('Données projet'!$A$88&gt;35,BD32+BC33-BL32,IF(A33&lt;'Données projet'!$A$88,$BA$205^A33,IF(A33='Données projet'!$A$88,'Données projet'!$B$88,BD32+BC33-BL32)))</f>
        <v>143.49999999999994</v>
      </c>
      <c r="BE33" s="13">
        <f>BD33*VLOOKUP('Données projet'!$B$11,Paramètres!$A$1:$I$89,3,0)*VLOOKUP('Données projet'!$B$11,Paramètres!$A$1:$I$89,5,0)</f>
        <v>111.92999999999996</v>
      </c>
      <c r="BF33" s="13">
        <f t="shared" si="37"/>
        <v>29.785246291563833</v>
      </c>
      <c r="BG33" s="20">
        <f t="shared" si="7"/>
        <v>246.82072062447358</v>
      </c>
      <c r="BH33" s="59">
        <f t="shared" si="8"/>
        <v>485.92814555751556</v>
      </c>
      <c r="BI33" s="59">
        <f ca="1">AVERAGE(OFFSET($BH$3,0,0,'Données projet'!$E$11+1,1))-AVERAGE(OFFSET($H$3,0,0,'Données projet'!$E$11+1,1))</f>
        <v>308.85018589589453</v>
      </c>
      <c r="BJ33" s="59">
        <f t="shared" si="38"/>
        <v>302.59481222418219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121.8846154</v>
      </c>
      <c r="BW33" s="12">
        <f>VLOOKUP(A33,'Données projet'!$A$113:$I$133,9,0)</f>
        <v>4.0628205133333335</v>
      </c>
      <c r="BX33" s="12">
        <f t="array" ref="BX33">INDEX(BW:BW,MIN(IF(ISNUMBER(BW33:BW229),ROW(BW33:BW229),"")))</f>
        <v>4.0628205133333335</v>
      </c>
      <c r="BY33" s="12">
        <f>IF('Données projet'!$A$114&gt;35,BY32+BX33-CG32,IF(A33&lt;'Données projet'!$A$114,$BV$205^A33,IF(A33='Données projet'!$A$114,'Données projet'!$B$114,BY32+BX33-CG32)))</f>
        <v>121.8846154</v>
      </c>
      <c r="BZ33" s="13">
        <f>BY33*VLOOKUP('Données projet'!$B$12,Paramètres!$A$1:$I$89,3,0)*VLOOKUP('Données projet'!$B$12,Paramètres!$A$1:$I$89,5,0)</f>
        <v>117.88680001488001</v>
      </c>
      <c r="CA33" s="13">
        <f t="shared" si="39"/>
        <v>31.181621616136695</v>
      </c>
      <c r="CB33" s="20">
        <f t="shared" si="10"/>
        <v>259.62750100735406</v>
      </c>
      <c r="CC33" s="59">
        <f t="shared" si="11"/>
        <v>498.73492594039601</v>
      </c>
      <c r="CD33" s="59">
        <f ca="1">AVERAGE(OFFSET($CC$3,0,0,'Données projet'!$E$12+1,1))-AVERAGE(OFFSET($H$3,0,0,'Données projet'!$E$12+1,1))</f>
        <v>600.96600099724276</v>
      </c>
      <c r="CE33" s="59">
        <f t="shared" si="40"/>
        <v>315.40159260706264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121.8846154</v>
      </c>
      <c r="CR33" s="12">
        <f>VLOOKUP(A33,'Données projet'!$A$139:$I$159,9,0)</f>
        <v>4.0628205133333335</v>
      </c>
      <c r="CS33" s="12">
        <f t="array" ref="CS33">INDEX(CR:CR,MIN(IF(ISNUMBER(CR33:CR229),ROW(CR33:CR229),"")))</f>
        <v>4.0628205133333335</v>
      </c>
      <c r="CT33" s="12">
        <f>IF('Données projet'!$A$140&gt;35,CT32+CS33-DB32,IF(A33&lt;'Données projet'!$A$140,$CQ$205^A33,IF(A33='Données projet'!$A$140,'Données projet'!$B$140,CT32+CS33-DB32)))</f>
        <v>121.8846154</v>
      </c>
      <c r="CU33" s="17">
        <f>CT33*VLOOKUP('Données projet'!$B$13,Paramètres!$A$1:$I$89,3,0)*VLOOKUP('Données projet'!$B$13,Paramètres!$A$1:$I$89,5,0)</f>
        <v>115.98540001463999</v>
      </c>
      <c r="CV33" s="13">
        <f t="shared" si="41"/>
        <v>30.736813538084505</v>
      </c>
      <c r="CW33" s="20">
        <f t="shared" si="13"/>
        <v>255.54118860432845</v>
      </c>
      <c r="CX33" s="59">
        <f t="shared" si="14"/>
        <v>494.64861353737047</v>
      </c>
      <c r="CY33" s="59">
        <f ca="1">AVERAGE(OFFSET($CX$3,0,0,'Données projet'!$E$13+1,1))-AVERAGE(OFFSET($H$3,0,0,'Données projet'!$E$13+1,1))</f>
        <v>592.58528889137358</v>
      </c>
      <c r="CZ33" s="59">
        <f t="shared" si="42"/>
        <v>311.31528020403709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0</v>
      </c>
      <c r="DH33" s="21">
        <f>EXP(-LN(2)/2)*DH32+(1-EXP(-LN(2)/2))/(LN(2)/2)*DB33*DE33*VLOOKUP('Données projet'!$B$13,Paramètres!$A$1:$I$89,3,0)*0.475*44/12</f>
        <v>0</v>
      </c>
      <c r="DI33" s="22">
        <f t="shared" si="15"/>
        <v>0</v>
      </c>
      <c r="DJ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2">
        <f>'Scénario référence'!$B$16*5+'Scénario référence'!$B$17*0+'Scénario référence'!$B$18*5</f>
        <v>5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66">
        <f t="shared" si="1"/>
        <v>183.33333333333334</v>
      </c>
      <c r="I34" s="6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15.881076919999998</v>
      </c>
      <c r="N34" s="13">
        <f>IF('Données projet'!$A$36&gt;35,N33+M34-V33,IF(A34&lt;'Données projet'!$A$36,$K$205^A34,IF(A34='Données projet'!$A$36,'Données projet'!$B$36,N33+M34-V33)))</f>
        <v>137.76569232</v>
      </c>
      <c r="O34" s="13">
        <f>N34*VLOOKUP('Données projet'!$B$9,Paramètres!$A$1:$I$89,3,0)*VLOOKUP('Données projet'!$B$9,Paramètres!$A$1:$I$89,5,0)</f>
        <v>124.65039841113601</v>
      </c>
      <c r="P34" s="13">
        <f t="shared" si="33"/>
        <v>32.757216609030209</v>
      </c>
      <c r="Q34" s="20">
        <f t="shared" si="2"/>
        <v>274.15159616012278</v>
      </c>
      <c r="R34" s="59">
        <f t="shared" si="0"/>
        <v>514.19971937294031</v>
      </c>
      <c r="S34" s="59">
        <f ca="1">AVERAGE(OFFSET($R$3,0,0,'Données projet'!$E$9+1,1))-AVERAGE(OFFSET($H$3,0,0,'Données projet'!$E$9+1,1))</f>
        <v>567.42635821507474</v>
      </c>
      <c r="T34" s="59">
        <f t="shared" si="34"/>
        <v>299.04735309930152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10.199999999999999</v>
      </c>
      <c r="AI34" s="13">
        <f>IF('Données projet'!$A$62&gt;35,AI33+AH34-AQ33,IF(A34&lt;'Données projet'!$A$62,$AF$205^A34,IF(A34='Données projet'!$A$62,'Données projet'!$B$62,AI33+AH34-AQ33)))</f>
        <v>98.200000000000017</v>
      </c>
      <c r="AJ34" s="13">
        <f>AI34*VLOOKUP('Données projet'!$B$10,Paramètres!$A$1:$I$89,3,0)*VLOOKUP('Données projet'!$B$10,Paramètres!$A$1:$I$89,5,0)</f>
        <v>84.255600000000015</v>
      </c>
      <c r="AK34" s="13">
        <f t="shared" si="35"/>
        <v>23.174541098743855</v>
      </c>
      <c r="AL34" s="20">
        <f t="shared" si="4"/>
        <v>187.10749574697891</v>
      </c>
      <c r="AM34" s="59">
        <f t="shared" si="5"/>
        <v>427.15561895979647</v>
      </c>
      <c r="AN34" s="59">
        <f ca="1">AVERAGE(OFFSET($AM$3,0,0,'Données projet'!$E$10+1,1))-AVERAGE(OFFSET($H$3,0,0,'Données projet'!$E$10+1,1))</f>
        <v>481.23392184981651</v>
      </c>
      <c r="AO34" s="59">
        <f t="shared" si="36"/>
        <v>275.88160405468193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>
        <f>VLOOKUP(A34,'Données projet'!$A$87:$I$107,2,0)</f>
        <v>155</v>
      </c>
      <c r="BB34" s="12">
        <f>VLOOKUP(A34,'Données projet'!$A$87:$I$107,9,0)</f>
        <v>11.5</v>
      </c>
      <c r="BC34" s="12">
        <f t="array" ref="BC34">INDEX(BB:BB,MIN(IF(ISNUMBER(BB34:BB230),ROW(BB34:BB230),"")))</f>
        <v>11.5</v>
      </c>
      <c r="BD34" s="12">
        <f>IF('Données projet'!$A$88&gt;35,BD33+BC34-BL33,IF(A34&lt;'Données projet'!$A$88,$BA$205^A34,IF(A34='Données projet'!$A$88,'Données projet'!$B$88,BD33+BC34-BL33)))</f>
        <v>154.99999999999994</v>
      </c>
      <c r="BE34" s="13">
        <f>BD34*VLOOKUP('Données projet'!$B$11,Paramètres!$A$1:$I$89,3,0)*VLOOKUP('Données projet'!$B$11,Paramètres!$A$1:$I$89,5,0)</f>
        <v>120.89999999999996</v>
      </c>
      <c r="BF34" s="13">
        <f t="shared" si="37"/>
        <v>31.884818143351602</v>
      </c>
      <c r="BG34" s="20">
        <f t="shared" si="7"/>
        <v>266.10022493300397</v>
      </c>
      <c r="BH34" s="59">
        <f t="shared" si="8"/>
        <v>506.1483481458215</v>
      </c>
      <c r="BI34" s="59">
        <f ca="1">AVERAGE(OFFSET($BH$3,0,0,'Données projet'!$E$11+1,1))-AVERAGE(OFFSET($H$3,0,0,'Données projet'!$E$11+1,1))</f>
        <v>308.85018589589453</v>
      </c>
      <c r="BJ34" s="59">
        <f t="shared" si="38"/>
        <v>302.59481222418219</v>
      </c>
      <c r="BK34" s="15">
        <f>IF(ISNA(VLOOKUP(A34,'Données projet'!$A$87:$I$107,3,0)),0,VLOOKUP(A34,'Données projet'!$A$87:$I$107,3,0))</f>
        <v>4</v>
      </c>
      <c r="BL34" s="15">
        <f>IF(ISNA(VLOOKUP(A34,'Données projet'!$A$87:$I$107,4,0)),0,VLOOKUP(A34,'Données projet'!$A$87:$I$107,4,0))</f>
        <v>36</v>
      </c>
      <c r="BM34" s="16">
        <f>IF(ISNA(VLOOKUP(A34,'Données projet'!$A$87:$I$107,5,0)),0%,VLOOKUP(A34,'Données projet'!$A$87:$I$107,5,0)*VLOOKUP('Données projet'!$B$11,Paramètres!$A$1:$I$89,7,0))</f>
        <v>0.43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13.347891550632653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13.347891550632653</v>
      </c>
      <c r="BT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15.881076919999998</v>
      </c>
      <c r="BY34" s="12">
        <f>IF('Données projet'!$A$114&gt;35,BY33+BX34-CG33,IF(A34&lt;'Données projet'!$A$114,$BV$205^A34,IF(A34='Données projet'!$A$114,'Données projet'!$B$114,BY33+BX34-CG33)))</f>
        <v>137.76569232</v>
      </c>
      <c r="BZ34" s="13">
        <f>BY34*VLOOKUP('Données projet'!$B$12,Paramètres!$A$1:$I$89,3,0)*VLOOKUP('Données projet'!$B$12,Paramètres!$A$1:$I$89,5,0)</f>
        <v>133.24697761190401</v>
      </c>
      <c r="CA34" s="13">
        <f t="shared" si="39"/>
        <v>34.745559886195672</v>
      </c>
      <c r="CB34" s="20">
        <f t="shared" si="10"/>
        <v>292.58700280919032</v>
      </c>
      <c r="CC34" s="59">
        <f t="shared" si="11"/>
        <v>532.63512602200785</v>
      </c>
      <c r="CD34" s="59">
        <f ca="1">AVERAGE(OFFSET($CC$3,0,0,'Données projet'!$E$12+1,1))-AVERAGE(OFFSET($H$3,0,0,'Données projet'!$E$12+1,1))</f>
        <v>600.96600099724276</v>
      </c>
      <c r="CE34" s="59">
        <f t="shared" si="40"/>
        <v>315.40159260706264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15.881076919999998</v>
      </c>
      <c r="CT34" s="12">
        <f>IF('Données projet'!$A$140&gt;35,CT33+CS34-DB33,IF(A34&lt;'Données projet'!$A$140,$CQ$205^A34,IF(A34='Données projet'!$A$140,'Données projet'!$B$140,CT33+CS34-DB33)))</f>
        <v>137.76569232</v>
      </c>
      <c r="CU34" s="17">
        <f>CT34*VLOOKUP('Données projet'!$B$13,Paramètres!$A$1:$I$89,3,0)*VLOOKUP('Données projet'!$B$13,Paramètres!$A$1:$I$89,5,0)</f>
        <v>131.09783281171198</v>
      </c>
      <c r="CV34" s="13">
        <f t="shared" si="41"/>
        <v>34.249911972046505</v>
      </c>
      <c r="CW34" s="20">
        <f t="shared" si="13"/>
        <v>287.98065549837935</v>
      </c>
      <c r="CX34" s="59">
        <f t="shared" si="14"/>
        <v>528.02877871119688</v>
      </c>
      <c r="CY34" s="59">
        <f ca="1">AVERAGE(OFFSET($CX$3,0,0,'Données projet'!$E$13+1,1))-AVERAGE(OFFSET($H$3,0,0,'Données projet'!$E$13+1,1))</f>
        <v>592.58528889137358</v>
      </c>
      <c r="CZ34" s="59">
        <f t="shared" si="42"/>
        <v>311.31528020403709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0</v>
      </c>
      <c r="DH34" s="21">
        <f>EXP(-LN(2)/2)*DH33+(1-EXP(-LN(2)/2))/(LN(2)/2)*DB34*DE34*VLOOKUP('Données projet'!$B$13,Paramètres!$A$1:$I$89,3,0)*0.475*44/12</f>
        <v>0</v>
      </c>
      <c r="DI34" s="22">
        <f t="shared" si="15"/>
        <v>0</v>
      </c>
      <c r="DJ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2">
        <f>'Scénario référence'!$B$16*5+'Scénario référence'!$B$17*0+'Scénario référence'!$B$18*5</f>
        <v>5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66">
        <f t="shared" si="1"/>
        <v>183.33333333333334</v>
      </c>
      <c r="I35" s="6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15.881076919999998</v>
      </c>
      <c r="N35" s="13">
        <f>IF('Données projet'!$A$36&gt;35,N34+M35-V34,IF(A35&lt;'Données projet'!$A$36,$K$205^A35,IF(A35='Données projet'!$A$36,'Données projet'!$B$36,N34+M35-V34)))</f>
        <v>153.64676924</v>
      </c>
      <c r="O35" s="13">
        <f>N35*VLOOKUP('Données projet'!$B$9,Paramètres!$A$1:$I$89,3,0)*VLOOKUP('Données projet'!$B$9,Paramètres!$A$1:$I$89,5,0)</f>
        <v>139.01959680835199</v>
      </c>
      <c r="P35" s="13">
        <f t="shared" si="33"/>
        <v>36.072317113336823</v>
      </c>
      <c r="Q35" s="20">
        <f t="shared" ref="Q35:Q66" si="53">(O35+P35)*0.475*44/12</f>
        <v>304.95175008027468</v>
      </c>
      <c r="R35" s="59">
        <f t="shared" si="0"/>
        <v>545.92425256080003</v>
      </c>
      <c r="S35" s="59">
        <f ca="1">AVERAGE(OFFSET($R$3,0,0,'Données projet'!$E$9+1,1))-AVERAGE(OFFSET($H$3,0,0,'Données projet'!$E$9+1,1))</f>
        <v>567.42635821507474</v>
      </c>
      <c r="T35" s="59">
        <f t="shared" si="34"/>
        <v>299.04735309930152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10.199999999999999</v>
      </c>
      <c r="AI35" s="13">
        <f>IF('Données projet'!$A$62&gt;35,AI34+AH35-AQ34,IF(A35&lt;'Données projet'!$A$62,$AF$205^A35,IF(A35='Données projet'!$A$62,'Données projet'!$B$62,AI34+AH35-AQ34)))</f>
        <v>108.40000000000002</v>
      </c>
      <c r="AJ35" s="13">
        <f>AI35*VLOOKUP('Données projet'!$B$10,Paramètres!$A$1:$I$89,3,0)*VLOOKUP('Données projet'!$B$10,Paramètres!$A$1:$I$89,5,0)</f>
        <v>93.007200000000026</v>
      </c>
      <c r="AK35" s="13">
        <f t="shared" si="35"/>
        <v>25.289096064617418</v>
      </c>
      <c r="AL35" s="20">
        <f t="shared" si="4"/>
        <v>206.03271564587536</v>
      </c>
      <c r="AM35" s="59">
        <f t="shared" si="5"/>
        <v>447.00521812640068</v>
      </c>
      <c r="AN35" s="59">
        <f ca="1">AVERAGE(OFFSET($AM$3,0,0,'Données projet'!$E$10+1,1))-AVERAGE(OFFSET($H$3,0,0,'Données projet'!$E$10+1,1))</f>
        <v>481.23392184981651</v>
      </c>
      <c r="AO35" s="59">
        <f t="shared" si="36"/>
        <v>275.88160405468193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11.5</v>
      </c>
      <c r="BD35" s="12">
        <f>IF('Données projet'!$A$88&gt;35,BD34+BC35-BL34,IF(A35&lt;'Données projet'!$A$88,$BA$205^A35,IF(A35='Données projet'!$A$88,'Données projet'!$B$88,BD34+BC35-BL34)))</f>
        <v>130.49999999999994</v>
      </c>
      <c r="BE35" s="13">
        <f>BD35*VLOOKUP('Données projet'!$B$11,Paramètres!$A$1:$I$89,3,0)*VLOOKUP('Données projet'!$B$11,Paramètres!$A$1:$I$89,5,0)</f>
        <v>101.78999999999996</v>
      </c>
      <c r="BF35" s="13">
        <f t="shared" si="37"/>
        <v>27.38799903683508</v>
      </c>
      <c r="BG35" s="20">
        <f t="shared" si="7"/>
        <v>224.98501498915437</v>
      </c>
      <c r="BH35" s="59">
        <f t="shared" si="8"/>
        <v>465.95751746967971</v>
      </c>
      <c r="BI35" s="59">
        <f ca="1">AVERAGE(OFFSET($BH$3,0,0,'Données projet'!$E$11+1,1))-AVERAGE(OFFSET($H$3,0,0,'Données projet'!$E$11+1,1))</f>
        <v>308.85018589589453</v>
      </c>
      <c r="BJ35" s="59">
        <f t="shared" si="38"/>
        <v>302.59481222418219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13.086147538734695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13.086147538734695</v>
      </c>
      <c r="BT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15.881076919999998</v>
      </c>
      <c r="BY35" s="12">
        <f>IF('Données projet'!$A$114&gt;35,BY34+BX35-CG34,IF(A35&lt;'Données projet'!$A$114,$BV$205^A35,IF(A35='Données projet'!$A$114,'Données projet'!$B$114,BY34+BX35-CG34)))</f>
        <v>153.64676924</v>
      </c>
      <c r="BZ35" s="13">
        <f>BY35*VLOOKUP('Données projet'!$B$12,Paramètres!$A$1:$I$89,3,0)*VLOOKUP('Données projet'!$B$12,Paramètres!$A$1:$I$89,5,0)</f>
        <v>148.60715520892799</v>
      </c>
      <c r="CA35" s="13">
        <f t="shared" si="39"/>
        <v>38.261884990245903</v>
      </c>
      <c r="CB35" s="20">
        <f t="shared" si="10"/>
        <v>325.46357834689451</v>
      </c>
      <c r="CC35" s="59">
        <f t="shared" si="11"/>
        <v>566.4360808274198</v>
      </c>
      <c r="CD35" s="59">
        <f ca="1">AVERAGE(OFFSET($CC$3,0,0,'Données projet'!$E$12+1,1))-AVERAGE(OFFSET($H$3,0,0,'Données projet'!$E$12+1,1))</f>
        <v>600.96600099724276</v>
      </c>
      <c r="CE35" s="59">
        <f t="shared" si="40"/>
        <v>315.40159260706264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15.881076919999998</v>
      </c>
      <c r="CT35" s="12">
        <f>IF('Données projet'!$A$140&gt;35,CT34+CS35-DB34,IF(A35&lt;'Données projet'!$A$140,$CQ$205^A35,IF(A35='Données projet'!$A$140,'Données projet'!$B$140,CT34+CS35-DB34)))</f>
        <v>153.64676924</v>
      </c>
      <c r="CU35" s="17">
        <f>CT35*VLOOKUP('Données projet'!$B$13,Paramètres!$A$1:$I$89,3,0)*VLOOKUP('Données projet'!$B$13,Paramètres!$A$1:$I$89,5,0)</f>
        <v>146.210265608784</v>
      </c>
      <c r="CV35" s="13">
        <f t="shared" si="41"/>
        <v>37.716076445242024</v>
      </c>
      <c r="CW35" s="20">
        <f t="shared" si="13"/>
        <v>320.33837907742867</v>
      </c>
      <c r="CX35" s="59">
        <f t="shared" si="14"/>
        <v>561.31088155795396</v>
      </c>
      <c r="CY35" s="59">
        <f ca="1">AVERAGE(OFFSET($CX$3,0,0,'Données projet'!$E$13+1,1))-AVERAGE(OFFSET($H$3,0,0,'Données projet'!$E$13+1,1))</f>
        <v>592.58528889137358</v>
      </c>
      <c r="CZ35" s="59">
        <f t="shared" si="42"/>
        <v>311.31528020403709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0</v>
      </c>
      <c r="DH35" s="21">
        <f>EXP(-LN(2)/2)*DH34+(1-EXP(-LN(2)/2))/(LN(2)/2)*DB35*DE35*VLOOKUP('Données projet'!$B$13,Paramètres!$A$1:$I$89,3,0)*0.475*44/12</f>
        <v>0</v>
      </c>
      <c r="DI35" s="22">
        <f t="shared" si="15"/>
        <v>0</v>
      </c>
      <c r="DJ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2">
        <f>'Scénario référence'!$B$16*5+'Scénario référence'!$B$17*0+'Scénario référence'!$B$18*5</f>
        <v>5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66">
        <f t="shared" si="1"/>
        <v>183.33333333333334</v>
      </c>
      <c r="I36" s="6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15.881076919999998</v>
      </c>
      <c r="N36" s="13">
        <f>IF('Données projet'!$A$36&gt;35,N35+M36-V35,IF(A36&lt;'Données projet'!$A$36,$K$205^A36,IF(A36='Données projet'!$A$36,'Données projet'!$B$36,N35+M36-V35)))</f>
        <v>169.52784616</v>
      </c>
      <c r="O36" s="13">
        <f>N36*VLOOKUP('Données projet'!$B$9,Paramètres!$A$1:$I$89,3,0)*VLOOKUP('Données projet'!$B$9,Paramètres!$A$1:$I$89,5,0)</f>
        <v>153.38879520556799</v>
      </c>
      <c r="P36" s="13">
        <f t="shared" si="33"/>
        <v>39.347697315453154</v>
      </c>
      <c r="Q36" s="20">
        <f t="shared" si="53"/>
        <v>335.68272447411181</v>
      </c>
      <c r="R36" s="59">
        <f t="shared" si="0"/>
        <v>577.56357030865252</v>
      </c>
      <c r="S36" s="59">
        <f ca="1">AVERAGE(OFFSET($R$3,0,0,'Données projet'!$E$9+1,1))-AVERAGE(OFFSET($H$3,0,0,'Données projet'!$E$9+1,1))</f>
        <v>567.42635821507474</v>
      </c>
      <c r="T36" s="59">
        <f t="shared" si="34"/>
        <v>299.04735309930152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10.199999999999999</v>
      </c>
      <c r="AI36" s="13">
        <f>IF('Données projet'!$A$62&gt;35,AI35+AH36-AQ35,IF(A36&lt;'Données projet'!$A$62,$AF$205^A36,IF(A36='Données projet'!$A$62,'Données projet'!$B$62,AI35+AH36-AQ35)))</f>
        <v>118.60000000000002</v>
      </c>
      <c r="AJ36" s="13">
        <f>AI36*VLOOKUP('Données projet'!$B$10,Paramètres!$A$1:$I$89,3,0)*VLOOKUP('Données projet'!$B$10,Paramètres!$A$1:$I$89,5,0)</f>
        <v>101.75880000000004</v>
      </c>
      <c r="AK36" s="13">
        <f t="shared" si="35"/>
        <v>27.380581268956313</v>
      </c>
      <c r="AL36" s="20">
        <f t="shared" si="4"/>
        <v>224.91775571009896</v>
      </c>
      <c r="AM36" s="59">
        <f t="shared" si="5"/>
        <v>466.79860154463972</v>
      </c>
      <c r="AN36" s="59">
        <f ca="1">AVERAGE(OFFSET($AM$3,0,0,'Données projet'!$E$10+1,1))-AVERAGE(OFFSET($H$3,0,0,'Données projet'!$E$10+1,1))</f>
        <v>481.23392184981651</v>
      </c>
      <c r="AO36" s="59">
        <f t="shared" si="36"/>
        <v>275.88160405468193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11.5</v>
      </c>
      <c r="BD36" s="12">
        <f>IF('Données projet'!$A$88&gt;35,BD35+BC36-BL35,IF(A36&lt;'Données projet'!$A$88,$BA$205^A36,IF(A36='Données projet'!$A$88,'Données projet'!$B$88,BD35+BC36-BL35)))</f>
        <v>141.99999999999994</v>
      </c>
      <c r="BE36" s="13">
        <f>BD36*VLOOKUP('Données projet'!$B$11,Paramètres!$A$1:$I$89,3,0)*VLOOKUP('Données projet'!$B$11,Paramètres!$A$1:$I$89,5,0)</f>
        <v>110.75999999999996</v>
      </c>
      <c r="BF36" s="13">
        <f t="shared" si="37"/>
        <v>29.509974682362923</v>
      </c>
      <c r="BG36" s="20">
        <f t="shared" si="7"/>
        <v>244.30353923844871</v>
      </c>
      <c r="BH36" s="59">
        <f t="shared" si="8"/>
        <v>486.18438507298947</v>
      </c>
      <c r="BI36" s="59">
        <f ca="1">AVERAGE(OFFSET($BH$3,0,0,'Données projet'!$E$11+1,1))-AVERAGE(OFFSET($H$3,0,0,'Données projet'!$E$11+1,1))</f>
        <v>308.85018589589453</v>
      </c>
      <c r="BJ36" s="59">
        <f t="shared" si="38"/>
        <v>302.59481222418219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12.829536167261972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12.829536167261972</v>
      </c>
      <c r="BT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15.881076919999998</v>
      </c>
      <c r="BY36" s="12">
        <f>IF('Données projet'!$A$114&gt;35,BY35+BX36-CG35,IF(A36&lt;'Données projet'!$A$114,$BV$205^A36,IF(A36='Données projet'!$A$114,'Données projet'!$B$114,BY35+BX36-CG35)))</f>
        <v>169.52784616</v>
      </c>
      <c r="BZ36" s="13">
        <f>BY36*VLOOKUP('Données projet'!$B$12,Paramètres!$A$1:$I$89,3,0)*VLOOKUP('Données projet'!$B$12,Paramètres!$A$1:$I$89,5,0)</f>
        <v>163.967332805952</v>
      </c>
      <c r="CA36" s="13">
        <f t="shared" si="39"/>
        <v>41.736078793736525</v>
      </c>
      <c r="CB36" s="20">
        <f t="shared" si="10"/>
        <v>358.26677520279083</v>
      </c>
      <c r="CC36" s="59">
        <f t="shared" si="11"/>
        <v>600.14762103733153</v>
      </c>
      <c r="CD36" s="59">
        <f ca="1">AVERAGE(OFFSET($CC$3,0,0,'Données projet'!$E$12+1,1))-AVERAGE(OFFSET($H$3,0,0,'Données projet'!$E$12+1,1))</f>
        <v>600.96600099724276</v>
      </c>
      <c r="CE36" s="59">
        <f t="shared" si="40"/>
        <v>315.40159260706264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15.881076919999998</v>
      </c>
      <c r="CT36" s="12">
        <f>IF('Données projet'!$A$140&gt;35,CT35+CS36-DB35,IF(A36&lt;'Données projet'!$A$140,$CQ$205^A36,IF(A36='Données projet'!$A$140,'Données projet'!$B$140,CT35+CS36-DB35)))</f>
        <v>169.52784616</v>
      </c>
      <c r="CU36" s="17">
        <f>CT36*VLOOKUP('Données projet'!$B$13,Paramètres!$A$1:$I$89,3,0)*VLOOKUP('Données projet'!$B$13,Paramètres!$A$1:$I$89,5,0)</f>
        <v>161.32269840585599</v>
      </c>
      <c r="CV36" s="13">
        <f t="shared" si="41"/>
        <v>41.140710623914643</v>
      </c>
      <c r="CW36" s="20">
        <f t="shared" si="13"/>
        <v>352.62377072685052</v>
      </c>
      <c r="CX36" s="59">
        <f t="shared" si="14"/>
        <v>594.50461656139123</v>
      </c>
      <c r="CY36" s="59">
        <f ca="1">AVERAGE(OFFSET($CX$3,0,0,'Données projet'!$E$13+1,1))-AVERAGE(OFFSET($H$3,0,0,'Données projet'!$E$13+1,1))</f>
        <v>592.58528889137358</v>
      </c>
      <c r="CZ36" s="59">
        <f t="shared" si="42"/>
        <v>311.31528020403709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0</v>
      </c>
      <c r="DH36" s="21">
        <f>EXP(-LN(2)/2)*DH35+(1-EXP(-LN(2)/2))/(LN(2)/2)*DB36*DE36*VLOOKUP('Données projet'!$B$13,Paramètres!$A$1:$I$89,3,0)*0.475*44/12</f>
        <v>0</v>
      </c>
      <c r="DI36" s="22">
        <f t="shared" si="15"/>
        <v>0</v>
      </c>
      <c r="DJ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2">
        <f>'Scénario référence'!$B$16*5+'Scénario référence'!$B$17*0+'Scénario référence'!$B$18*5</f>
        <v>5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66">
        <f t="shared" si="1"/>
        <v>183.33333333333334</v>
      </c>
      <c r="I37" s="6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15.881076919999998</v>
      </c>
      <c r="N37" s="13">
        <f>IF('Données projet'!$A$36&gt;35,N36+M37-V36,IF(A37&lt;'Données projet'!$A$36,$K$205^A37,IF(A37='Données projet'!$A$36,'Données projet'!$B$36,N36+M37-V36)))</f>
        <v>185.40892307999999</v>
      </c>
      <c r="O37" s="13">
        <f>N37*VLOOKUP('Données projet'!$B$9,Paramètres!$A$1:$I$89,3,0)*VLOOKUP('Données projet'!$B$9,Paramètres!$A$1:$I$89,5,0)</f>
        <v>167.75799360278398</v>
      </c>
      <c r="P37" s="13">
        <f t="shared" si="33"/>
        <v>42.587501411908057</v>
      </c>
      <c r="Q37" s="20">
        <f t="shared" si="53"/>
        <v>366.35173715058863</v>
      </c>
      <c r="R37" s="59">
        <f t="shared" si="0"/>
        <v>609.12516861270421</v>
      </c>
      <c r="S37" s="59">
        <f ca="1">AVERAGE(OFFSET($R$3,0,0,'Données projet'!$E$9+1,1))-AVERAGE(OFFSET($H$3,0,0,'Données projet'!$E$9+1,1))</f>
        <v>567.42635821507474</v>
      </c>
      <c r="T37" s="59">
        <f t="shared" si="34"/>
        <v>299.04735309930152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10.199999999999999</v>
      </c>
      <c r="AI37" s="13">
        <f>IF('Données projet'!$A$62&gt;35,AI36+AH37-AQ36,IF(A37&lt;'Données projet'!$A$62,$AF$205^A37,IF(A37='Données projet'!$A$62,'Données projet'!$B$62,AI36+AH37-AQ36)))</f>
        <v>128.80000000000001</v>
      </c>
      <c r="AJ37" s="13">
        <f>AI37*VLOOKUP('Données projet'!$B$10,Paramètres!$A$1:$I$89,3,0)*VLOOKUP('Données projet'!$B$10,Paramètres!$A$1:$I$89,5,0)</f>
        <v>110.51040000000003</v>
      </c>
      <c r="AK37" s="13">
        <f t="shared" si="35"/>
        <v>29.451206375056412</v>
      </c>
      <c r="AL37" s="20">
        <f t="shared" si="4"/>
        <v>243.76646443655662</v>
      </c>
      <c r="AM37" s="59">
        <f t="shared" si="5"/>
        <v>486.53989589867217</v>
      </c>
      <c r="AN37" s="59">
        <f ca="1">AVERAGE(OFFSET($AM$3,0,0,'Données projet'!$E$10+1,1))-AVERAGE(OFFSET($H$3,0,0,'Données projet'!$E$10+1,1))</f>
        <v>481.23392184981651</v>
      </c>
      <c r="AO37" s="59">
        <f t="shared" si="36"/>
        <v>275.88160405468193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11.5</v>
      </c>
      <c r="BD37" s="12">
        <f>IF('Données projet'!$A$88&gt;35,BD36+BC37-BL36,IF(A37&lt;'Données projet'!$A$88,$BA$205^A37,IF(A37='Données projet'!$A$88,'Données projet'!$B$88,BD36+BC37-BL36)))</f>
        <v>153.49999999999994</v>
      </c>
      <c r="BE37" s="13">
        <f>BD37*VLOOKUP('Données projet'!$B$11,Paramètres!$A$1:$I$89,3,0)*VLOOKUP('Données projet'!$B$11,Paramètres!$A$1:$I$89,5,0)</f>
        <v>119.72999999999996</v>
      </c>
      <c r="BF37" s="13">
        <f t="shared" si="37"/>
        <v>31.612017974790529</v>
      </c>
      <c r="BG37" s="20">
        <f t="shared" si="7"/>
        <v>263.58734797276003</v>
      </c>
      <c r="BH37" s="59">
        <f t="shared" si="8"/>
        <v>506.36077943487561</v>
      </c>
      <c r="BI37" s="59">
        <f ca="1">AVERAGE(OFFSET($BH$3,0,0,'Données projet'!$E$11+1,1))-AVERAGE(OFFSET($H$3,0,0,'Données projet'!$E$11+1,1))</f>
        <v>308.85018589589453</v>
      </c>
      <c r="BJ37" s="59">
        <f t="shared" si="38"/>
        <v>302.59481222418219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12.577956788266349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12.577956788266349</v>
      </c>
      <c r="BT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15.881076919999998</v>
      </c>
      <c r="BY37" s="12">
        <f>IF('Données projet'!$A$114&gt;35,BY36+BX37-CG36,IF(A37&lt;'Données projet'!$A$114,$BV$205^A37,IF(A37='Données projet'!$A$114,'Données projet'!$B$114,BY36+BX37-CG36)))</f>
        <v>185.40892307999999</v>
      </c>
      <c r="BZ37" s="13">
        <f>BY37*VLOOKUP('Données projet'!$B$12,Paramètres!$A$1:$I$89,3,0)*VLOOKUP('Données projet'!$B$12,Paramètres!$A$1:$I$89,5,0)</f>
        <v>179.327510402976</v>
      </c>
      <c r="CA37" s="13">
        <f t="shared" si="39"/>
        <v>45.17253704342437</v>
      </c>
      <c r="CB37" s="20">
        <f t="shared" si="10"/>
        <v>391.00424930248067</v>
      </c>
      <c r="CC37" s="59">
        <f t="shared" si="11"/>
        <v>633.7776807645962</v>
      </c>
      <c r="CD37" s="59">
        <f ca="1">AVERAGE(OFFSET($CC$3,0,0,'Données projet'!$E$12+1,1))-AVERAGE(OFFSET($H$3,0,0,'Données projet'!$E$12+1,1))</f>
        <v>600.96600099724276</v>
      </c>
      <c r="CE37" s="59">
        <f t="shared" si="40"/>
        <v>315.40159260706264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15.881076919999998</v>
      </c>
      <c r="CT37" s="12">
        <f>IF('Données projet'!$A$140&gt;35,CT36+CS37-DB36,IF(A37&lt;'Données projet'!$A$140,$CQ$205^A37,IF(A37='Données projet'!$A$140,'Données projet'!$B$140,CT36+CS37-DB36)))</f>
        <v>185.40892307999999</v>
      </c>
      <c r="CU37" s="17">
        <f>CT37*VLOOKUP('Données projet'!$B$13,Paramètres!$A$1:$I$89,3,0)*VLOOKUP('Données projet'!$B$13,Paramètres!$A$1:$I$89,5,0)</f>
        <v>176.43513120292801</v>
      </c>
      <c r="CV37" s="13">
        <f t="shared" si="41"/>
        <v>44.528147549177262</v>
      </c>
      <c r="CW37" s="20">
        <f t="shared" si="13"/>
        <v>384.84437715991675</v>
      </c>
      <c r="CX37" s="59">
        <f t="shared" si="14"/>
        <v>627.61780862203227</v>
      </c>
      <c r="CY37" s="59">
        <f ca="1">AVERAGE(OFFSET($CX$3,0,0,'Données projet'!$E$13+1,1))-AVERAGE(OFFSET($H$3,0,0,'Données projet'!$E$13+1,1))</f>
        <v>592.58528889137358</v>
      </c>
      <c r="CZ37" s="59">
        <f t="shared" si="42"/>
        <v>311.31528020403709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0</v>
      </c>
      <c r="DH37" s="21">
        <f>EXP(-LN(2)/2)*DH36+(1-EXP(-LN(2)/2))/(LN(2)/2)*DB37*DE37*VLOOKUP('Données projet'!$B$13,Paramètres!$A$1:$I$89,3,0)*0.475*44/12</f>
        <v>0</v>
      </c>
      <c r="DI37" s="22">
        <f t="shared" si="15"/>
        <v>0</v>
      </c>
      <c r="DJ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2">
        <f>'Scénario référence'!$B$16*5+'Scénario référence'!$B$17*0+'Scénario référence'!$B$18*5</f>
        <v>5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66">
        <f t="shared" si="1"/>
        <v>183.33333333333334</v>
      </c>
      <c r="I38" s="6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201.29</v>
      </c>
      <c r="L38" s="12">
        <f>VLOOKUP(A38,'Données projet'!$A$35:$I$55,9,0)</f>
        <v>15.881076919999998</v>
      </c>
      <c r="M38" s="12">
        <f t="array" ref="M38">INDEX(L:L,MIN(IF(ISNUMBER(L38:L234),ROW(L38:L234),"")))</f>
        <v>15.881076919999998</v>
      </c>
      <c r="N38" s="13">
        <f>IF('Données projet'!$A$36&gt;35,N37+M38-V37,IF(A38&lt;'Données projet'!$A$36,$K$205^A38,IF(A38='Données projet'!$A$36,'Données projet'!$B$36,N37+M38-V37)))</f>
        <v>201.29</v>
      </c>
      <c r="O38" s="13">
        <f>N38*VLOOKUP('Données projet'!$B$9,Paramètres!$A$1:$I$89,3,0)*VLOOKUP('Données projet'!$B$9,Paramètres!$A$1:$I$89,5,0)</f>
        <v>182.12719199999998</v>
      </c>
      <c r="P38" s="13">
        <f t="shared" si="33"/>
        <v>45.795123112801811</v>
      </c>
      <c r="Q38" s="20">
        <f t="shared" si="53"/>
        <v>396.96469882146312</v>
      </c>
      <c r="R38" s="59">
        <f t="shared" si="0"/>
        <v>640.61523154603765</v>
      </c>
      <c r="S38" s="59">
        <f ca="1">AVERAGE(OFFSET($R$3,0,0,'Données projet'!$E$9+1,1))-AVERAGE(OFFSET($H$3,0,0,'Données projet'!$E$9+1,1))</f>
        <v>567.42635821507474</v>
      </c>
      <c r="T38" s="59">
        <f t="shared" si="34"/>
        <v>299.04735309930152</v>
      </c>
      <c r="U38" s="15">
        <f>IF(ISNA(VLOOKUP(A38,'Données projet'!$A$35:$I$55,3,0)),0,VLOOKUP(A38,'Données projet'!$A$35:$I$55,3,0))</f>
        <v>1</v>
      </c>
      <c r="V38" s="15">
        <f>IF(ISNA(VLOOKUP(A38,'Données projet'!$A$35:$I$55,4,0)),0,VLOOKUP(A38,'Données projet'!$A$35:$I$55,4,0))</f>
        <v>69.58</v>
      </c>
      <c r="W38" s="16">
        <f>IF(ISNA(VLOOKUP(A38,'Données projet'!$A$35:$I$55,5,0)),0%,VLOOKUP(A38,'Données projet'!$A$35:$I$55,5,0)*VLOOKUP('Données projet'!$B$9,Paramètres!$A$1:$I$89,7,0))</f>
        <v>0.43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29.926269476330646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29.926269476330646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139</v>
      </c>
      <c r="AG38" s="12">
        <f>VLOOKUP(A38,'Données projet'!$A$61:$I$81,9,0)</f>
        <v>10.199999999999999</v>
      </c>
      <c r="AH38" s="12">
        <f t="array" ref="AH38">INDEX(AG:AG,MIN(IF(ISNUMBER(AG38:AG234),ROW(AG38:AG234),"")))</f>
        <v>10.199999999999999</v>
      </c>
      <c r="AI38" s="13">
        <f>IF('Données projet'!$A$62&gt;35,AI37+AH38-AQ37,IF(A38&lt;'Données projet'!$A$62,$AF$205^A38,IF(A38='Données projet'!$A$62,'Données projet'!$B$62,AI37+AH38-AQ37)))</f>
        <v>139</v>
      </c>
      <c r="AJ38" s="13">
        <f>AI38*VLOOKUP('Données projet'!$B$10,Paramètres!$A$1:$I$89,3,0)*VLOOKUP('Données projet'!$B$10,Paramètres!$A$1:$I$89,5,0)</f>
        <v>119.26200000000001</v>
      </c>
      <c r="AK38" s="13">
        <f t="shared" si="35"/>
        <v>31.502811162802828</v>
      </c>
      <c r="AL38" s="20">
        <f t="shared" si="4"/>
        <v>262.58204610854824</v>
      </c>
      <c r="AM38" s="59">
        <f t="shared" si="5"/>
        <v>506.23257883312272</v>
      </c>
      <c r="AN38" s="59">
        <f ca="1">AVERAGE(OFFSET($AM$3,0,0,'Données projet'!$E$10+1,1))-AVERAGE(OFFSET($H$3,0,0,'Données projet'!$E$10+1,1))</f>
        <v>481.23392184981651</v>
      </c>
      <c r="AO38" s="59">
        <f t="shared" si="36"/>
        <v>275.88160405468193</v>
      </c>
      <c r="AP38" s="15">
        <f>IF(ISNA(VLOOKUP(A38,'Données projet'!$A$61:$I$81,3,0)),0,VLOOKUP(A38,'Données projet'!$A$61:$I$81,3,0))</f>
        <v>3</v>
      </c>
      <c r="AQ38" s="15">
        <f>IF(ISNA(VLOOKUP(A38,'Données projet'!$A$61:$I$81,4,0)),0,VLOOKUP(A38,'Données projet'!$A$61:$I$81,4,0))</f>
        <v>28</v>
      </c>
      <c r="AR38" s="16">
        <f>IF(ISNA(VLOOKUP(A38,'Données projet'!$A$61:$I$81,5,0)),0%,VLOOKUP(A38,'Données projet'!$A$61:$I$81,5,0)*VLOOKUP('Données projet'!$B$10,Paramètres!$A$1:$I$89,7,0))</f>
        <v>0.53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14.075644810886788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14.075644810886788</v>
      </c>
      <c r="AY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11.5</v>
      </c>
      <c r="BD38" s="12">
        <f>IF('Données projet'!$A$88&gt;35,BD37+BC38-BL37,IF(A38&lt;'Données projet'!$A$88,$BA$205^A38,IF(A38='Données projet'!$A$88,'Données projet'!$B$88,BD37+BC38-BL37)))</f>
        <v>164.99999999999994</v>
      </c>
      <c r="BE38" s="13">
        <f>BD38*VLOOKUP('Données projet'!$B$11,Paramètres!$A$1:$I$89,3,0)*VLOOKUP('Données projet'!$B$11,Paramètres!$A$1:$I$89,5,0)</f>
        <v>128.69999999999996</v>
      </c>
      <c r="BF38" s="13">
        <f t="shared" si="37"/>
        <v>33.695792019186115</v>
      </c>
      <c r="BG38" s="20">
        <f t="shared" si="7"/>
        <v>282.83933776674911</v>
      </c>
      <c r="BH38" s="59">
        <f t="shared" si="8"/>
        <v>526.48987049132359</v>
      </c>
      <c r="BI38" s="59">
        <f ca="1">AVERAGE(OFFSET($BH$3,0,0,'Données projet'!$E$11+1,1))-AVERAGE(OFFSET($H$3,0,0,'Données projet'!$E$11+1,1))</f>
        <v>308.85018589589453</v>
      </c>
      <c r="BJ38" s="59">
        <f t="shared" si="38"/>
        <v>302.59481222418219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12.33131072744456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12.33131072744456</v>
      </c>
      <c r="BT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>
        <f>VLOOKUP(A38,'Données projet'!$A$113:$I$133,2,0)</f>
        <v>201.29</v>
      </c>
      <c r="BW38" s="12">
        <f>VLOOKUP(A38,'Données projet'!$A$113:$I$133,9,0)</f>
        <v>15.881076919999998</v>
      </c>
      <c r="BX38" s="12">
        <f t="array" ref="BX38">INDEX(BW:BW,MIN(IF(ISNUMBER(BW38:BW234),ROW(BW38:BW234),"")))</f>
        <v>15.881076919999998</v>
      </c>
      <c r="BY38" s="12">
        <f>IF('Données projet'!$A$114&gt;35,BY37+BX38-CG37,IF(A38&lt;'Données projet'!$A$114,$BV$205^A38,IF(A38='Données projet'!$A$114,'Données projet'!$B$114,BY37+BX38-CG37)))</f>
        <v>201.29</v>
      </c>
      <c r="BZ38" s="13">
        <f>BY38*VLOOKUP('Données projet'!$B$12,Paramètres!$A$1:$I$89,3,0)*VLOOKUP('Données projet'!$B$12,Paramètres!$A$1:$I$89,5,0)</f>
        <v>194.68768799999998</v>
      </c>
      <c r="CA38" s="13">
        <f t="shared" si="39"/>
        <v>48.574859445564719</v>
      </c>
      <c r="CB38" s="20">
        <f t="shared" si="10"/>
        <v>423.68227013435853</v>
      </c>
      <c r="CC38" s="59">
        <f t="shared" si="11"/>
        <v>667.33280285893306</v>
      </c>
      <c r="CD38" s="59">
        <f ca="1">AVERAGE(OFFSET($CC$3,0,0,'Données projet'!$E$12+1,1))-AVERAGE(OFFSET($H$3,0,0,'Données projet'!$E$12+1,1))</f>
        <v>600.96600099724276</v>
      </c>
      <c r="CE38" s="59">
        <f t="shared" si="40"/>
        <v>315.40159260706264</v>
      </c>
      <c r="CF38" s="15">
        <f>IF(ISNA(VLOOKUP(A38,'Données projet'!$A$113:$I$133,3,0)),0,VLOOKUP(A38,'Données projet'!$A$113:$I$133,3,0))</f>
        <v>1</v>
      </c>
      <c r="CG38" s="15">
        <f>IF(ISNA(VLOOKUP(A38,'Données projet'!$A$113:$I$133,4,0)),0,VLOOKUP(A38,'Données projet'!$A$113:$I$133,4,0))</f>
        <v>69.58</v>
      </c>
      <c r="CH38" s="16">
        <f>IF(ISNA(VLOOKUP(A38,'Données projet'!$A$113:$I$133,5,0)),0%,VLOOKUP(A38,'Données projet'!$A$113:$I$133,5,0)*VLOOKUP('Données projet'!$B$12,Paramètres!$A$1:$I$89,7,0))</f>
        <v>0.43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31.990150129870688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31.990150129870688</v>
      </c>
      <c r="CO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>
        <f>VLOOKUP(A38,'Données projet'!$A$139:$I$159,2,0)</f>
        <v>201.29</v>
      </c>
      <c r="CR38" s="12">
        <f>VLOOKUP(A38,'Données projet'!$A$139:$I$159,9,0)</f>
        <v>15.881076919999998</v>
      </c>
      <c r="CS38" s="12">
        <f t="array" ref="CS38">INDEX(CR:CR,MIN(IF(ISNUMBER(CR38:CR234),ROW(CR38:CR234),"")))</f>
        <v>15.881076919999998</v>
      </c>
      <c r="CT38" s="12">
        <f>IF('Données projet'!$A$140&gt;35,CT37+CS38-DB37,IF(A38&lt;'Données projet'!$A$140,$CQ$205^A38,IF(A38='Données projet'!$A$140,'Données projet'!$B$140,CT37+CS38-DB37)))</f>
        <v>201.29</v>
      </c>
      <c r="CU38" s="17">
        <f>CT38*VLOOKUP('Données projet'!$B$13,Paramètres!$A$1:$I$89,3,0)*VLOOKUP('Données projet'!$B$13,Paramètres!$A$1:$I$89,5,0)</f>
        <v>191.54756399999999</v>
      </c>
      <c r="CV38" s="13">
        <f t="shared" si="41"/>
        <v>47.881935577216041</v>
      </c>
      <c r="CW38" s="20">
        <f t="shared" si="13"/>
        <v>417.00637843031791</v>
      </c>
      <c r="CX38" s="59">
        <f t="shared" si="14"/>
        <v>660.65691115489244</v>
      </c>
      <c r="CY38" s="59">
        <f ca="1">AVERAGE(OFFSET($CX$3,0,0,'Données projet'!$E$13+1,1))-AVERAGE(OFFSET($H$3,0,0,'Données projet'!$E$13+1,1))</f>
        <v>592.58528889137358</v>
      </c>
      <c r="CZ38" s="59">
        <f t="shared" si="42"/>
        <v>311.31528020403709</v>
      </c>
      <c r="DA38" s="15">
        <f>IF(ISNA(VLOOKUP(A38,'Données projet'!$A$139:$I$159,3,0)),0,VLOOKUP(A38,'Données projet'!$A$139:$I$159,3,0))</f>
        <v>1</v>
      </c>
      <c r="DB38" s="15">
        <f>IF(ISNA(VLOOKUP(A38,'Données projet'!$A$139:$I$159,4,0)),0,VLOOKUP(A38,'Données projet'!$A$139:$I$159,4,0))</f>
        <v>69.58</v>
      </c>
      <c r="DC38" s="16">
        <f>IF(ISNA(VLOOKUP(A38,'Données projet'!$A$139:$I$159,5,0)),0%,VLOOKUP(A38,'Données projet'!$A$139:$I$159,5,0)*VLOOKUP('Données projet'!$B$13,Paramètres!$A$1:$I$89,7,0))</f>
        <v>0.43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31.474179966485682</v>
      </c>
      <c r="DG38" s="21">
        <f>EXP(-LN(2)/25)*DG37+(1-EXP(-LN(2)/25))/(LN(2)/25)*Calculateur!DB38*Calculateur!DD38*VLOOKUP('Données projet'!$B$13,Paramètres!$A$1:$I$89,3,0)*0.475*44/12</f>
        <v>0</v>
      </c>
      <c r="DH38" s="21">
        <f>EXP(-LN(2)/2)*DH37+(1-EXP(-LN(2)/2))/(LN(2)/2)*DB38*DE38*VLOOKUP('Données projet'!$B$13,Paramètres!$A$1:$I$89,3,0)*0.475*44/12</f>
        <v>0</v>
      </c>
      <c r="DI38" s="22">
        <f t="shared" si="15"/>
        <v>31.474179966485682</v>
      </c>
      <c r="DJ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2">
        <f>'Scénario référence'!$B$16*5+'Scénario référence'!$B$17*0+'Scénario référence'!$B$18*5</f>
        <v>5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66">
        <f t="shared" si="1"/>
        <v>183.33333333333334</v>
      </c>
      <c r="I39" s="6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12.86166666666667</v>
      </c>
      <c r="N39" s="13">
        <f>IF('Données projet'!$A$36&gt;35,N38+M39-V38,IF(A39&lt;'Données projet'!$A$36,$K$205^A39,IF(A39='Données projet'!$A$36,'Données projet'!$B$36,N38+M39-V38)))</f>
        <v>144.57166666666666</v>
      </c>
      <c r="O39" s="13">
        <f>N39*VLOOKUP('Données projet'!$B$9,Paramètres!$A$1:$I$89,3,0)*VLOOKUP('Données projet'!$B$9,Paramètres!$A$1:$I$89,5,0)</f>
        <v>130.80844399999998</v>
      </c>
      <c r="P39" s="13">
        <f t="shared" si="33"/>
        <v>34.183099548128496</v>
      </c>
      <c r="Q39" s="20">
        <f t="shared" si="53"/>
        <v>287.3602716796571</v>
      </c>
      <c r="R39" s="59">
        <f t="shared" si="0"/>
        <v>531.87268992069153</v>
      </c>
      <c r="S39" s="59">
        <f ca="1">AVERAGE(OFFSET($R$3,0,0,'Données projet'!$E$9+1,1))-AVERAGE(OFFSET($H$3,0,0,'Données projet'!$E$9+1,1))</f>
        <v>567.42635821507474</v>
      </c>
      <c r="T39" s="59">
        <f t="shared" si="34"/>
        <v>299.04735309930152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29.339433585121828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29.339433585121828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10.4</v>
      </c>
      <c r="AI39" s="13">
        <f>IF('Données projet'!$A$62&gt;35,AI38+AH39-AQ38,IF(A39&lt;'Données projet'!$A$62,$AF$205^A39,IF(A39='Données projet'!$A$62,'Données projet'!$B$62,AI38+AH39-AQ38)))</f>
        <v>121.4</v>
      </c>
      <c r="AJ39" s="13">
        <f>AI39*VLOOKUP('Données projet'!$B$10,Paramètres!$A$1:$I$89,3,0)*VLOOKUP('Données projet'!$B$10,Paramètres!$A$1:$I$89,5,0)</f>
        <v>104.16120000000002</v>
      </c>
      <c r="AK39" s="13">
        <f t="shared" si="35"/>
        <v>27.95098158074293</v>
      </c>
      <c r="AL39" s="20">
        <f t="shared" si="4"/>
        <v>230.09538291979393</v>
      </c>
      <c r="AM39" s="59">
        <f t="shared" si="5"/>
        <v>474.60780116082833</v>
      </c>
      <c r="AN39" s="59">
        <f ca="1">AVERAGE(OFFSET($AM$3,0,0,'Données projet'!$E$10+1,1))-AVERAGE(OFFSET($H$3,0,0,'Données projet'!$E$10+1,1))</f>
        <v>481.23392184981651</v>
      </c>
      <c r="AO39" s="59">
        <f t="shared" si="36"/>
        <v>275.88160405468193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13.799630001440905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13.799630001440905</v>
      </c>
      <c r="AY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11.5</v>
      </c>
      <c r="BD39" s="12">
        <f>IF('Données projet'!$A$88&gt;35,BD38+BC39-BL38,IF(A39&lt;'Données projet'!$A$88,$BA$205^A39,IF(A39='Données projet'!$A$88,'Données projet'!$B$88,BD38+BC39-BL38)))</f>
        <v>176.49999999999994</v>
      </c>
      <c r="BE39" s="13">
        <f>BD39*VLOOKUP('Données projet'!$B$11,Paramètres!$A$1:$I$89,3,0)*VLOOKUP('Données projet'!$B$11,Paramètres!$A$1:$I$89,5,0)</f>
        <v>137.66999999999996</v>
      </c>
      <c r="BF39" s="13">
        <f t="shared" si="37"/>
        <v>35.762714965854656</v>
      </c>
      <c r="BG39" s="20">
        <f t="shared" si="7"/>
        <v>302.06197856553007</v>
      </c>
      <c r="BH39" s="59">
        <f t="shared" si="8"/>
        <v>546.57439680656444</v>
      </c>
      <c r="BI39" s="59">
        <f ca="1">AVERAGE(OFFSET($BH$3,0,0,'Données projet'!$E$11+1,1))-AVERAGE(OFFSET($H$3,0,0,'Données projet'!$E$11+1,1))</f>
        <v>308.85018589589453</v>
      </c>
      <c r="BJ39" s="59">
        <f t="shared" si="38"/>
        <v>302.59481222418219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12.089501245436244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12.089501245436244</v>
      </c>
      <c r="BT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12.86166666666667</v>
      </c>
      <c r="BY39" s="12">
        <f>IF('Données projet'!$A$114&gt;35,BY38+BX39-CG38,IF(A39&lt;'Données projet'!$A$114,$BV$205^A39,IF(A39='Données projet'!$A$114,'Données projet'!$B$114,BY38+BX39-CG38)))</f>
        <v>144.57166666666666</v>
      </c>
      <c r="BZ39" s="13">
        <f>BY39*VLOOKUP('Données projet'!$B$12,Paramètres!$A$1:$I$89,3,0)*VLOOKUP('Données projet'!$B$12,Paramètres!$A$1:$I$89,5,0)</f>
        <v>139.82971600000002</v>
      </c>
      <c r="CA39" s="13">
        <f t="shared" si="39"/>
        <v>36.257993059088847</v>
      </c>
      <c r="CB39" s="20">
        <f t="shared" si="10"/>
        <v>306.68609327791313</v>
      </c>
      <c r="CC39" s="59">
        <f t="shared" si="11"/>
        <v>551.1985115189475</v>
      </c>
      <c r="CD39" s="59">
        <f ca="1">AVERAGE(OFFSET($CC$3,0,0,'Données projet'!$E$12+1,1))-AVERAGE(OFFSET($H$3,0,0,'Données projet'!$E$12+1,1))</f>
        <v>600.96600099724276</v>
      </c>
      <c r="CE39" s="59">
        <f t="shared" si="40"/>
        <v>315.40159260706264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31.362842797888845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31.362842797888845</v>
      </c>
      <c r="CO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12.86166666666667</v>
      </c>
      <c r="CT39" s="12">
        <f>IF('Données projet'!$A$140&gt;35,CT38+CS39-DB38,IF(A39&lt;'Données projet'!$A$140,$CQ$205^A39,IF(A39='Données projet'!$A$140,'Données projet'!$B$140,CT38+CS39-DB38)))</f>
        <v>144.57166666666666</v>
      </c>
      <c r="CU39" s="17">
        <f>CT39*VLOOKUP('Données projet'!$B$13,Paramètres!$A$1:$I$89,3,0)*VLOOKUP('Données projet'!$B$13,Paramètres!$A$1:$I$89,5,0)</f>
        <v>137.574398</v>
      </c>
      <c r="CV39" s="13">
        <f t="shared" si="41"/>
        <v>35.740770176803061</v>
      </c>
      <c r="CW39" s="20">
        <f t="shared" si="13"/>
        <v>301.85725124126532</v>
      </c>
      <c r="CX39" s="59">
        <f t="shared" si="14"/>
        <v>546.36966948229974</v>
      </c>
      <c r="CY39" s="59">
        <f ca="1">AVERAGE(OFFSET($CX$3,0,0,'Données projet'!$E$13+1,1))-AVERAGE(OFFSET($H$3,0,0,'Données projet'!$E$13+1,1))</f>
        <v>592.58528889137358</v>
      </c>
      <c r="CZ39" s="59">
        <f t="shared" si="42"/>
        <v>311.31528020403709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30.856990494697097</v>
      </c>
      <c r="DG39" s="21">
        <f>EXP(-LN(2)/25)*DG38+(1-EXP(-LN(2)/25))/(LN(2)/25)*Calculateur!DB39*Calculateur!DD39*VLOOKUP('Données projet'!$B$13,Paramètres!$A$1:$I$89,3,0)*0.475*44/12</f>
        <v>0</v>
      </c>
      <c r="DH39" s="21">
        <f>EXP(-LN(2)/2)*DH38+(1-EXP(-LN(2)/2))/(LN(2)/2)*DB39*DE39*VLOOKUP('Données projet'!$B$13,Paramètres!$A$1:$I$89,3,0)*0.475*44/12</f>
        <v>0</v>
      </c>
      <c r="DI39" s="22">
        <f t="shared" si="15"/>
        <v>30.856990494697097</v>
      </c>
      <c r="DJ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2">
        <f>'Scénario référence'!$B$16*5+'Scénario référence'!$B$17*0+'Scénario référence'!$B$18*5</f>
        <v>5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66">
        <f t="shared" si="1"/>
        <v>183.33333333333334</v>
      </c>
      <c r="I40" s="6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12.86166666666667</v>
      </c>
      <c r="N40" s="13">
        <f>IF('Données projet'!$A$36&gt;35,N39+M40-V39,IF(A40&lt;'Données projet'!$A$36,$K$205^A40,IF(A40='Données projet'!$A$36,'Données projet'!$B$36,N39+M40-V39)))</f>
        <v>157.43333333333334</v>
      </c>
      <c r="O40" s="13">
        <f>N40*VLOOKUP('Données projet'!$B$9,Paramètres!$A$1:$I$89,3,0)*VLOOKUP('Données projet'!$B$9,Paramètres!$A$1:$I$89,5,0)</f>
        <v>142.44567999999998</v>
      </c>
      <c r="P40" s="13">
        <f t="shared" si="33"/>
        <v>36.856710479085137</v>
      </c>
      <c r="Q40" s="20">
        <f t="shared" si="53"/>
        <v>312.28499675107327</v>
      </c>
      <c r="R40" s="59">
        <f t="shared" si="0"/>
        <v>557.64434872174434</v>
      </c>
      <c r="S40" s="59">
        <f ca="1">AVERAGE(OFFSET($R$3,0,0,'Données projet'!$E$9+1,1))-AVERAGE(OFFSET($H$3,0,0,'Données projet'!$E$9+1,1))</f>
        <v>567.42635821507474</v>
      </c>
      <c r="T40" s="59">
        <f t="shared" si="34"/>
        <v>299.04735309930152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28.764105187805065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28.764105187805065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10.4</v>
      </c>
      <c r="AI40" s="13">
        <f>IF('Données projet'!$A$62&gt;35,AI39+AH40-AQ39,IF(A40&lt;'Données projet'!$A$62,$AF$205^A40,IF(A40='Données projet'!$A$62,'Données projet'!$B$62,AI39+AH40-AQ39)))</f>
        <v>131.80000000000001</v>
      </c>
      <c r="AJ40" s="13">
        <f>AI40*VLOOKUP('Données projet'!$B$10,Paramètres!$A$1:$I$89,3,0)*VLOOKUP('Données projet'!$B$10,Paramètres!$A$1:$I$89,5,0)</f>
        <v>113.08440000000002</v>
      </c>
      <c r="AK40" s="13">
        <f t="shared" si="35"/>
        <v>30.05651952806824</v>
      </c>
      <c r="AL40" s="20">
        <f t="shared" si="4"/>
        <v>249.3037681780522</v>
      </c>
      <c r="AM40" s="59">
        <f t="shared" si="5"/>
        <v>494.66312014872329</v>
      </c>
      <c r="AN40" s="59">
        <f ca="1">AVERAGE(OFFSET($AM$3,0,0,'Données projet'!$E$10+1,1))-AVERAGE(OFFSET($H$3,0,0,'Données projet'!$E$10+1,1))</f>
        <v>481.23392184981651</v>
      </c>
      <c r="AO40" s="59">
        <f t="shared" si="36"/>
        <v>275.88160405468193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13.529027674055845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13.529027674055845</v>
      </c>
      <c r="AY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>
        <f>VLOOKUP(A40,'Données projet'!$A$87:$I$107,2,0)</f>
        <v>188</v>
      </c>
      <c r="BB40" s="12">
        <f>VLOOKUP(A40,'Données projet'!$A$87:$I$107,9,0)</f>
        <v>11.5</v>
      </c>
      <c r="BC40" s="12">
        <f t="array" ref="BC40">INDEX(BB:BB,MIN(IF(ISNUMBER(BB40:BB236),ROW(BB40:BB236),"")))</f>
        <v>11.5</v>
      </c>
      <c r="BD40" s="12">
        <f>IF('Données projet'!$A$88&gt;35,BD39+BC40-BL39,IF(A40&lt;'Données projet'!$A$88,$BA$205^A40,IF(A40='Données projet'!$A$88,'Données projet'!$B$88,BD39+BC40-BL39)))</f>
        <v>187.99999999999994</v>
      </c>
      <c r="BE40" s="13">
        <f>BD40*VLOOKUP('Données projet'!$B$11,Paramètres!$A$1:$I$89,3,0)*VLOOKUP('Données projet'!$B$11,Paramètres!$A$1:$I$89,5,0)</f>
        <v>146.63999999999996</v>
      </c>
      <c r="BF40" s="13">
        <f t="shared" si="37"/>
        <v>37.814009712703026</v>
      </c>
      <c r="BG40" s="20">
        <f t="shared" si="7"/>
        <v>321.25740024962437</v>
      </c>
      <c r="BH40" s="59">
        <f t="shared" si="8"/>
        <v>566.61675222029544</v>
      </c>
      <c r="BI40" s="59">
        <f ca="1">AVERAGE(OFFSET($BH$3,0,0,'Données projet'!$E$11+1,1))-AVERAGE(OFFSET($H$3,0,0,'Données projet'!$E$11+1,1))</f>
        <v>308.85018589589453</v>
      </c>
      <c r="BJ40" s="59">
        <f t="shared" si="38"/>
        <v>302.59481222418219</v>
      </c>
      <c r="BK40" s="15">
        <f>IF(ISNA(VLOOKUP(A40,'Données projet'!$A$87:$I$107,3,0)),0,VLOOKUP(A40,'Données projet'!$A$87:$I$107,3,0))</f>
        <v>5</v>
      </c>
      <c r="BL40" s="15">
        <f>IF(ISNA(VLOOKUP(A40,'Données projet'!$A$87:$I$107,4,0)),0,VLOOKUP(A40,'Données projet'!$A$87:$I$107,4,0))</f>
        <v>36</v>
      </c>
      <c r="BM40" s="16">
        <f>IF(ISNA(VLOOKUP(A40,'Données projet'!$A$87:$I$107,5,0)),0%,VLOOKUP(A40,'Données projet'!$A$87:$I$107,5,0)*VLOOKUP('Données projet'!$B$11,Paramètres!$A$1:$I$89,7,0))</f>
        <v>0.43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25.200325050513541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25.200325050513541</v>
      </c>
      <c r="BT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12.86166666666667</v>
      </c>
      <c r="BY40" s="12">
        <f>IF('Données projet'!$A$114&gt;35,BY39+BX40-CG39,IF(A40&lt;'Données projet'!$A$114,$BV$205^A40,IF(A40='Données projet'!$A$114,'Données projet'!$B$114,BY39+BX40-CG39)))</f>
        <v>157.43333333333334</v>
      </c>
      <c r="BZ40" s="13">
        <f>BY40*VLOOKUP('Données projet'!$B$12,Paramètres!$A$1:$I$89,3,0)*VLOOKUP('Données projet'!$B$12,Paramètres!$A$1:$I$89,5,0)</f>
        <v>152.26952</v>
      </c>
      <c r="CA40" s="13">
        <f t="shared" si="39"/>
        <v>39.093890559865287</v>
      </c>
      <c r="CB40" s="20">
        <f t="shared" si="10"/>
        <v>333.2912733917654</v>
      </c>
      <c r="CC40" s="59">
        <f t="shared" si="11"/>
        <v>578.65062536243647</v>
      </c>
      <c r="CD40" s="59">
        <f ca="1">AVERAGE(OFFSET($CC$3,0,0,'Données projet'!$E$12+1,1))-AVERAGE(OFFSET($H$3,0,0,'Données projet'!$E$12+1,1))</f>
        <v>600.96600099724276</v>
      </c>
      <c r="CE40" s="59">
        <f t="shared" si="40"/>
        <v>315.40159260706264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30.747836580067474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30.747836580067474</v>
      </c>
      <c r="CO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12.86166666666667</v>
      </c>
      <c r="CT40" s="12">
        <f>IF('Données projet'!$A$140&gt;35,CT39+CS40-DB39,IF(A40&lt;'Données projet'!$A$140,$CQ$205^A40,IF(A40='Données projet'!$A$140,'Données projet'!$B$140,CT39+CS40-DB39)))</f>
        <v>157.43333333333334</v>
      </c>
      <c r="CU40" s="17">
        <f>CT40*VLOOKUP('Données projet'!$B$13,Paramètres!$A$1:$I$89,3,0)*VLOOKUP('Données projet'!$B$13,Paramètres!$A$1:$I$89,5,0)</f>
        <v>149.81356</v>
      </c>
      <c r="CV40" s="13">
        <f t="shared" si="41"/>
        <v>38.53621339548981</v>
      </c>
      <c r="CW40" s="20">
        <f t="shared" si="13"/>
        <v>328.04252199714477</v>
      </c>
      <c r="CX40" s="59">
        <f t="shared" si="14"/>
        <v>573.40187396781585</v>
      </c>
      <c r="CY40" s="59">
        <f ca="1">AVERAGE(OFFSET($CX$3,0,0,'Données projet'!$E$13+1,1))-AVERAGE(OFFSET($H$3,0,0,'Données projet'!$E$13+1,1))</f>
        <v>592.58528889137358</v>
      </c>
      <c r="CZ40" s="59">
        <f t="shared" si="42"/>
        <v>311.31528020403709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30.251903732001878</v>
      </c>
      <c r="DG40" s="21">
        <f>EXP(-LN(2)/25)*DG39+(1-EXP(-LN(2)/25))/(LN(2)/25)*Calculateur!DB40*Calculateur!DD40*VLOOKUP('Données projet'!$B$13,Paramètres!$A$1:$I$89,3,0)*0.475*44/12</f>
        <v>0</v>
      </c>
      <c r="DH40" s="21">
        <f>EXP(-LN(2)/2)*DH39+(1-EXP(-LN(2)/2))/(LN(2)/2)*DB40*DE40*VLOOKUP('Données projet'!$B$13,Paramètres!$A$1:$I$89,3,0)*0.475*44/12</f>
        <v>0</v>
      </c>
      <c r="DI40" s="22">
        <f t="shared" si="15"/>
        <v>30.251903732001878</v>
      </c>
      <c r="DJ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2">
        <f>'Scénario référence'!$B$16*5+'Scénario référence'!$B$17*0+'Scénario référence'!$B$18*5</f>
        <v>5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66">
        <f t="shared" si="1"/>
        <v>183.33333333333334</v>
      </c>
      <c r="I41" s="6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12.86166666666667</v>
      </c>
      <c r="N41" s="13">
        <f>IF('Données projet'!$A$36&gt;35,N40+M41-V40,IF(A41&lt;'Données projet'!$A$36,$K$205^A41,IF(A41='Données projet'!$A$36,'Données projet'!$B$36,N40+M41-V40)))</f>
        <v>170.29500000000002</v>
      </c>
      <c r="O41" s="13">
        <f>N41*VLOOKUP('Données projet'!$B$9,Paramètres!$A$1:$I$89,3,0)*VLOOKUP('Données projet'!$B$9,Paramètres!$A$1:$I$89,5,0)</f>
        <v>154.08291600000001</v>
      </c>
      <c r="P41" s="13">
        <f t="shared" si="33"/>
        <v>39.504987725811617</v>
      </c>
      <c r="Q41" s="20">
        <f t="shared" si="53"/>
        <v>337.16559898912192</v>
      </c>
      <c r="R41" s="59">
        <f t="shared" si="0"/>
        <v>583.35719228268067</v>
      </c>
      <c r="S41" s="59">
        <f ca="1">AVERAGE(OFFSET($R$3,0,0,'Données projet'!$E$9+1,1))-AVERAGE(OFFSET($H$3,0,0,'Données projet'!$E$9+1,1))</f>
        <v>567.42635821507474</v>
      </c>
      <c r="T41" s="59">
        <f t="shared" si="34"/>
        <v>299.04735309930152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28.200058629444008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28.200058629444008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10.4</v>
      </c>
      <c r="AI41" s="13">
        <f>IF('Données projet'!$A$62&gt;35,AI40+AH41-AQ40,IF(A41&lt;'Données projet'!$A$62,$AF$205^A41,IF(A41='Données projet'!$A$62,'Données projet'!$B$62,AI40+AH41-AQ40)))</f>
        <v>142.20000000000002</v>
      </c>
      <c r="AJ41" s="13">
        <f>AI41*VLOOKUP('Données projet'!$B$10,Paramètres!$A$1:$I$89,3,0)*VLOOKUP('Données projet'!$B$10,Paramètres!$A$1:$I$89,5,0)</f>
        <v>122.00760000000004</v>
      </c>
      <c r="AK41" s="13">
        <f t="shared" si="35"/>
        <v>32.142785920703616</v>
      </c>
      <c r="AL41" s="20">
        <f t="shared" si="4"/>
        <v>268.47858881189217</v>
      </c>
      <c r="AM41" s="59">
        <f t="shared" si="5"/>
        <v>514.67018210545086</v>
      </c>
      <c r="AN41" s="59">
        <f ca="1">AVERAGE(OFFSET($AM$3,0,0,'Données projet'!$E$10+1,1))-AVERAGE(OFFSET($H$3,0,0,'Données projet'!$E$10+1,1))</f>
        <v>481.23392184981651</v>
      </c>
      <c r="AO41" s="59">
        <f t="shared" si="36"/>
        <v>275.88160405468193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13.263731693259684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13.263731693259684</v>
      </c>
      <c r="AY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11.142857142857142</v>
      </c>
      <c r="BD41" s="12">
        <f>IF('Données projet'!$A$88&gt;35,BD40+BC41-BL40,IF(A41&lt;'Données projet'!$A$88,$BA$205^A41,IF(A41='Données projet'!$A$88,'Données projet'!$B$88,BD40+BC41-BL40)))</f>
        <v>163.14285714285708</v>
      </c>
      <c r="BE41" s="13">
        <f>BD41*VLOOKUP('Données projet'!$B$11,Paramètres!$A$1:$I$89,3,0)*VLOOKUP('Données projet'!$B$11,Paramètres!$A$1:$I$89,5,0)</f>
        <v>127.25142857142853</v>
      </c>
      <c r="BF41" s="13">
        <f t="shared" si="37"/>
        <v>33.360457439554281</v>
      </c>
      <c r="BG41" s="20">
        <f t="shared" si="7"/>
        <v>279.73236813579501</v>
      </c>
      <c r="BH41" s="59">
        <f t="shared" si="8"/>
        <v>525.92396142935377</v>
      </c>
      <c r="BI41" s="59">
        <f ca="1">AVERAGE(OFFSET($BH$3,0,0,'Données projet'!$E$11+1,1))-AVERAGE(OFFSET($H$3,0,0,'Données projet'!$E$11+1,1))</f>
        <v>308.85018589589453</v>
      </c>
      <c r="BJ41" s="59">
        <f t="shared" si="38"/>
        <v>302.59481222418219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24.706162046953523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24.706162046953523</v>
      </c>
      <c r="BT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12.86166666666667</v>
      </c>
      <c r="BY41" s="12">
        <f>IF('Données projet'!$A$114&gt;35,BY40+BX41-CG40,IF(A41&lt;'Données projet'!$A$114,$BV$205^A41,IF(A41='Données projet'!$A$114,'Données projet'!$B$114,BY40+BX41-CG40)))</f>
        <v>170.29500000000002</v>
      </c>
      <c r="BZ41" s="13">
        <f>BY41*VLOOKUP('Données projet'!$B$12,Paramètres!$A$1:$I$89,3,0)*VLOOKUP('Données projet'!$B$12,Paramètres!$A$1:$I$89,5,0)</f>
        <v>164.70932400000001</v>
      </c>
      <c r="CA41" s="13">
        <f t="shared" si="39"/>
        <v>41.902916637069239</v>
      </c>
      <c r="CB41" s="20">
        <f t="shared" si="10"/>
        <v>359.8496524428956</v>
      </c>
      <c r="CC41" s="59">
        <f t="shared" si="11"/>
        <v>606.04124573645436</v>
      </c>
      <c r="CD41" s="59">
        <f ca="1">AVERAGE(OFFSET($CC$3,0,0,'Données projet'!$E$12+1,1))-AVERAGE(OFFSET($H$3,0,0,'Données projet'!$E$12+1,1))</f>
        <v>600.96600099724276</v>
      </c>
      <c r="CE41" s="59">
        <f t="shared" si="40"/>
        <v>315.40159260706264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30.14489025906083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30.14489025906083</v>
      </c>
      <c r="CO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12.86166666666667</v>
      </c>
      <c r="CT41" s="12">
        <f>IF('Données projet'!$A$140&gt;35,CT40+CS41-DB40,IF(A41&lt;'Données projet'!$A$140,$CQ$205^A41,IF(A41='Données projet'!$A$140,'Données projet'!$B$140,CT40+CS41-DB40)))</f>
        <v>170.29500000000002</v>
      </c>
      <c r="CU41" s="17">
        <f>CT41*VLOOKUP('Données projet'!$B$13,Paramètres!$A$1:$I$89,3,0)*VLOOKUP('Données projet'!$B$13,Paramètres!$A$1:$I$89,5,0)</f>
        <v>162.05272200000002</v>
      </c>
      <c r="CV41" s="13">
        <f t="shared" si="41"/>
        <v>41.305168513396602</v>
      </c>
      <c r="CW41" s="20">
        <f t="shared" si="13"/>
        <v>354.1816593108324</v>
      </c>
      <c r="CX41" s="59">
        <f t="shared" si="14"/>
        <v>600.37325260439115</v>
      </c>
      <c r="CY41" s="59">
        <f ca="1">AVERAGE(OFFSET($CX$3,0,0,'Données projet'!$E$13+1,1))-AVERAGE(OFFSET($H$3,0,0,'Données projet'!$E$13+1,1))</f>
        <v>592.58528889137358</v>
      </c>
      <c r="CZ41" s="59">
        <f t="shared" si="42"/>
        <v>311.31528020403709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29.65868235165663</v>
      </c>
      <c r="DG41" s="21">
        <f>EXP(-LN(2)/25)*DG40+(1-EXP(-LN(2)/25))/(LN(2)/25)*Calculateur!DB41*Calculateur!DD41*VLOOKUP('Données projet'!$B$13,Paramètres!$A$1:$I$89,3,0)*0.475*44/12</f>
        <v>0</v>
      </c>
      <c r="DH41" s="21">
        <f>EXP(-LN(2)/2)*DH40+(1-EXP(-LN(2)/2))/(LN(2)/2)*DB41*DE41*VLOOKUP('Données projet'!$B$13,Paramètres!$A$1:$I$89,3,0)*0.475*44/12</f>
        <v>0</v>
      </c>
      <c r="DI41" s="22">
        <f t="shared" si="15"/>
        <v>29.65868235165663</v>
      </c>
      <c r="DJ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2">
        <f>'Scénario référence'!$B$16*5+'Scénario référence'!$B$17*0+'Scénario référence'!$B$18*5</f>
        <v>5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66">
        <f t="shared" si="1"/>
        <v>183.33333333333334</v>
      </c>
      <c r="I42" s="6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12.86166666666667</v>
      </c>
      <c r="N42" s="13">
        <f>IF('Données projet'!$A$36&gt;35,N41+M42-V41,IF(A42&lt;'Données projet'!$A$36,$K$205^A42,IF(A42='Données projet'!$A$36,'Données projet'!$B$36,N41+M42-V41)))</f>
        <v>183.15666666666669</v>
      </c>
      <c r="O42" s="13">
        <f>N42*VLOOKUP('Données projet'!$B$9,Paramètres!$A$1:$I$89,3,0)*VLOOKUP('Données projet'!$B$9,Paramètres!$A$1:$I$89,5,0)</f>
        <v>165.72015200000001</v>
      </c>
      <c r="P42" s="13">
        <f t="shared" si="33"/>
        <v>42.130062193248868</v>
      </c>
      <c r="Q42" s="20">
        <f t="shared" si="53"/>
        <v>362.00578971990848</v>
      </c>
      <c r="R42" s="59">
        <f t="shared" si="0"/>
        <v>609.01518681001562</v>
      </c>
      <c r="S42" s="59">
        <f ca="1">AVERAGE(OFFSET($R$3,0,0,'Données projet'!$E$9+1,1))-AVERAGE(OFFSET($H$3,0,0,'Données projet'!$E$9+1,1))</f>
        <v>567.42635821507474</v>
      </c>
      <c r="T42" s="59">
        <f t="shared" si="34"/>
        <v>299.04735309930152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27.647072680057985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27.647072680057985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10.4</v>
      </c>
      <c r="AI42" s="13">
        <f>IF('Données projet'!$A$62&gt;35,AI41+AH42-AQ41,IF(A42&lt;'Données projet'!$A$62,$AF$205^A42,IF(A42='Données projet'!$A$62,'Données projet'!$B$62,AI41+AH42-AQ41)))</f>
        <v>152.60000000000002</v>
      </c>
      <c r="AJ42" s="13">
        <f>AI42*VLOOKUP('Données projet'!$B$10,Paramètres!$A$1:$I$89,3,0)*VLOOKUP('Données projet'!$B$10,Paramètres!$A$1:$I$89,5,0)</f>
        <v>130.93080000000003</v>
      </c>
      <c r="AK42" s="13">
        <f t="shared" si="35"/>
        <v>34.211350494649842</v>
      </c>
      <c r="AL42" s="20">
        <f t="shared" si="4"/>
        <v>287.62257877818189</v>
      </c>
      <c r="AM42" s="59">
        <f t="shared" si="5"/>
        <v>534.63197586828903</v>
      </c>
      <c r="AN42" s="59">
        <f ca="1">AVERAGE(OFFSET($AM$3,0,0,'Données projet'!$E$10+1,1))-AVERAGE(OFFSET($H$3,0,0,'Données projet'!$E$10+1,1))</f>
        <v>481.23392184981651</v>
      </c>
      <c r="AO42" s="59">
        <f t="shared" si="36"/>
        <v>275.88160405468193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13.003638004832366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13.003638004832366</v>
      </c>
      <c r="AY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11.142857142857142</v>
      </c>
      <c r="BD42" s="12">
        <f>IF('Données projet'!$A$88&gt;35,BD41+BC42-BL41,IF(A42&lt;'Données projet'!$A$88,$BA$205^A42,IF(A42='Données projet'!$A$88,'Données projet'!$B$88,BD41+BC42-BL41)))</f>
        <v>174.28571428571422</v>
      </c>
      <c r="BE42" s="13">
        <f>BD42*VLOOKUP('Données projet'!$B$11,Paramètres!$A$1:$I$89,3,0)*VLOOKUP('Données projet'!$B$11,Paramètres!$A$1:$I$89,5,0)</f>
        <v>135.94285714285709</v>
      </c>
      <c r="BF42" s="13">
        <f t="shared" si="37"/>
        <v>35.365986273808367</v>
      </c>
      <c r="BG42" s="20">
        <f t="shared" si="7"/>
        <v>298.36290228402567</v>
      </c>
      <c r="BH42" s="59">
        <f t="shared" si="8"/>
        <v>545.37229937413281</v>
      </c>
      <c r="BI42" s="59">
        <f ca="1">AVERAGE(OFFSET($BH$3,0,0,'Données projet'!$E$11+1,1))-AVERAGE(OFFSET($H$3,0,0,'Données projet'!$E$11+1,1))</f>
        <v>308.85018589589453</v>
      </c>
      <c r="BJ42" s="59">
        <f t="shared" si="38"/>
        <v>302.59481222418219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24.221689278483645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24.221689278483645</v>
      </c>
      <c r="BT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12.86166666666667</v>
      </c>
      <c r="BY42" s="12">
        <f>IF('Données projet'!$A$114&gt;35,BY41+BX42-CG41,IF(A42&lt;'Données projet'!$A$114,$BV$205^A42,IF(A42='Données projet'!$A$114,'Données projet'!$B$114,BY41+BX42-CG41)))</f>
        <v>183.15666666666669</v>
      </c>
      <c r="BZ42" s="13">
        <f>BY42*VLOOKUP('Données projet'!$B$12,Paramètres!$A$1:$I$89,3,0)*VLOOKUP('Données projet'!$B$12,Paramètres!$A$1:$I$89,5,0)</f>
        <v>177.14912800000005</v>
      </c>
      <c r="CA42" s="13">
        <f t="shared" si="39"/>
        <v>44.687331540285413</v>
      </c>
      <c r="CB42" s="20">
        <f t="shared" si="10"/>
        <v>386.36516703266381</v>
      </c>
      <c r="CC42" s="59">
        <f t="shared" si="11"/>
        <v>633.37456412277095</v>
      </c>
      <c r="CD42" s="59">
        <f ca="1">AVERAGE(OFFSET($CC$3,0,0,'Données projet'!$E$12+1,1))-AVERAGE(OFFSET($H$3,0,0,'Données projet'!$E$12+1,1))</f>
        <v>600.96600099724276</v>
      </c>
      <c r="CE42" s="59">
        <f t="shared" si="40"/>
        <v>315.40159260706264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29.553767347648183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29.553767347648183</v>
      </c>
      <c r="CO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12.86166666666667</v>
      </c>
      <c r="CT42" s="12">
        <f>IF('Données projet'!$A$140&gt;35,CT41+CS42-DB41,IF(A42&lt;'Données projet'!$A$140,$CQ$205^A42,IF(A42='Données projet'!$A$140,'Données projet'!$B$140,CT41+CS42-DB41)))</f>
        <v>183.15666666666669</v>
      </c>
      <c r="CU42" s="17">
        <f>CT42*VLOOKUP('Données projet'!$B$13,Paramètres!$A$1:$I$89,3,0)*VLOOKUP('Données projet'!$B$13,Paramètres!$A$1:$I$89,5,0)</f>
        <v>174.29188400000004</v>
      </c>
      <c r="CV42" s="13">
        <f t="shared" si="41"/>
        <v>44.04986353748501</v>
      </c>
      <c r="CW42" s="20">
        <f t="shared" si="13"/>
        <v>380.27854362778641</v>
      </c>
      <c r="CX42" s="59">
        <f t="shared" si="14"/>
        <v>627.28794071789355</v>
      </c>
      <c r="CY42" s="59">
        <f ca="1">AVERAGE(OFFSET($CX$3,0,0,'Données projet'!$E$13+1,1))-AVERAGE(OFFSET($H$3,0,0,'Données projet'!$E$13+1,1))</f>
        <v>592.58528889137358</v>
      </c>
      <c r="CZ42" s="59">
        <f t="shared" si="42"/>
        <v>311.31528020403709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29.077093680750636</v>
      </c>
      <c r="DG42" s="21">
        <f>EXP(-LN(2)/25)*DG41+(1-EXP(-LN(2)/25))/(LN(2)/25)*Calculateur!DB42*Calculateur!DD42*VLOOKUP('Données projet'!$B$13,Paramètres!$A$1:$I$89,3,0)*0.475*44/12</f>
        <v>0</v>
      </c>
      <c r="DH42" s="21">
        <f>EXP(-LN(2)/2)*DH41+(1-EXP(-LN(2)/2))/(LN(2)/2)*DB42*DE42*VLOOKUP('Données projet'!$B$13,Paramètres!$A$1:$I$89,3,0)*0.475*44/12</f>
        <v>0</v>
      </c>
      <c r="DI42" s="22">
        <f t="shared" si="15"/>
        <v>29.077093680750636</v>
      </c>
      <c r="DJ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2">
        <f>'Scénario référence'!$B$16*5+'Scénario référence'!$B$17*0+'Scénario référence'!$B$18*5</f>
        <v>5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66">
        <f t="shared" si="1"/>
        <v>183.33333333333334</v>
      </c>
      <c r="I43" s="6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12.86166666666667</v>
      </c>
      <c r="N43" s="13">
        <f>IF('Données projet'!$A$36&gt;35,N42+M43-V42,IF(A43&lt;'Données projet'!$A$36,$K$205^A43,IF(A43='Données projet'!$A$36,'Données projet'!$B$36,N42+M43-V42)))</f>
        <v>196.01833333333337</v>
      </c>
      <c r="O43" s="13">
        <f>N43*VLOOKUP('Données projet'!$B$9,Paramètres!$A$1:$I$89,3,0)*VLOOKUP('Données projet'!$B$9,Paramètres!$A$1:$I$89,5,0)</f>
        <v>177.35738800000004</v>
      </c>
      <c r="P43" s="13">
        <f t="shared" si="33"/>
        <v>44.733748562033469</v>
      </c>
      <c r="Q43" s="20">
        <f t="shared" si="53"/>
        <v>386.80872951220834</v>
      </c>
      <c r="R43" s="59">
        <f t="shared" si="0"/>
        <v>634.62174333132918</v>
      </c>
      <c r="S43" s="59">
        <f ca="1">AVERAGE(OFFSET($R$3,0,0,'Données projet'!$E$9+1,1))-AVERAGE(OFFSET($H$3,0,0,'Données projet'!$E$9+1,1))</f>
        <v>567.42635821507474</v>
      </c>
      <c r="T43" s="59">
        <f t="shared" si="34"/>
        <v>299.04735309930152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27.104930447851295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27.104930447851295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163</v>
      </c>
      <c r="AG43" s="12">
        <f>VLOOKUP(A43,'Données projet'!$A$61:$I$81,9,0)</f>
        <v>10.4</v>
      </c>
      <c r="AH43" s="12">
        <f t="array" ref="AH43">INDEX(AG:AG,MIN(IF(ISNUMBER(AG43:AG239),ROW(AG43:AG239),"")))</f>
        <v>10.4</v>
      </c>
      <c r="AI43" s="13">
        <f>IF('Données projet'!$A$62&gt;35,AI42+AH43-AQ42,IF(A43&lt;'Données projet'!$A$62,$AF$205^A43,IF(A43='Données projet'!$A$62,'Données projet'!$B$62,AI42+AH43-AQ42)))</f>
        <v>163.00000000000003</v>
      </c>
      <c r="AJ43" s="13">
        <f>AI43*VLOOKUP('Données projet'!$B$10,Paramètres!$A$1:$I$89,3,0)*VLOOKUP('Données projet'!$B$10,Paramètres!$A$1:$I$89,5,0)</f>
        <v>139.85400000000004</v>
      </c>
      <c r="AK43" s="13">
        <f t="shared" si="35"/>
        <v>36.263556914404674</v>
      </c>
      <c r="AL43" s="20">
        <f t="shared" si="4"/>
        <v>306.73807829258823</v>
      </c>
      <c r="AM43" s="59">
        <f t="shared" si="5"/>
        <v>554.55109211170907</v>
      </c>
      <c r="AN43" s="59">
        <f ca="1">AVERAGE(OFFSET($AM$3,0,0,'Données projet'!$E$10+1,1))-AVERAGE(OFFSET($H$3,0,0,'Données projet'!$E$10+1,1))</f>
        <v>481.23392184981651</v>
      </c>
      <c r="AO43" s="59">
        <f t="shared" si="36"/>
        <v>275.88160405468193</v>
      </c>
      <c r="AP43" s="15">
        <f>IF(ISNA(VLOOKUP(A43,'Données projet'!$A$61:$I$81,3,0)),0,VLOOKUP(A43,'Données projet'!$A$61:$I$81,3,0))</f>
        <v>4</v>
      </c>
      <c r="AQ43" s="15">
        <f>IF(ISNA(VLOOKUP(A43,'Données projet'!$A$61:$I$81,4,0)),0,VLOOKUP(A43,'Données projet'!$A$61:$I$81,4,0))</f>
        <v>28</v>
      </c>
      <c r="AR43" s="16">
        <f>IF(ISNA(VLOOKUP(A43,'Données projet'!$A$61:$I$81,5,0)),0%,VLOOKUP(A43,'Données projet'!$A$61:$I$81,5,0)*VLOOKUP('Données projet'!$B$10,Paramètres!$A$1:$I$89,7,0))</f>
        <v>0.53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26.82428940588041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26.82428940588041</v>
      </c>
      <c r="AY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11.142857142857142</v>
      </c>
      <c r="BD43" s="12">
        <f>IF('Données projet'!$A$88&gt;35,BD42+BC43-BL42,IF(A43&lt;'Données projet'!$A$88,$BA$205^A43,IF(A43='Données projet'!$A$88,'Données projet'!$B$88,BD42+BC43-BL42)))</f>
        <v>185.42857142857136</v>
      </c>
      <c r="BE43" s="13">
        <f>BD43*VLOOKUP('Données projet'!$B$11,Paramètres!$A$1:$I$89,3,0)*VLOOKUP('Données projet'!$B$11,Paramètres!$A$1:$I$89,5,0)</f>
        <v>144.63428571428565</v>
      </c>
      <c r="BF43" s="13">
        <f t="shared" si="37"/>
        <v>37.356634728420524</v>
      </c>
      <c r="BG43" s="20">
        <f t="shared" si="7"/>
        <v>316.96751977104657</v>
      </c>
      <c r="BH43" s="59">
        <f t="shared" si="8"/>
        <v>564.78053359016735</v>
      </c>
      <c r="BI43" s="59">
        <f ca="1">AVERAGE(OFFSET($BH$3,0,0,'Données projet'!$E$11+1,1))-AVERAGE(OFFSET($H$3,0,0,'Données projet'!$E$11+1,1))</f>
        <v>308.85018589589453</v>
      </c>
      <c r="BJ43" s="59">
        <f t="shared" si="38"/>
        <v>302.59481222418219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23.74671672550425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23.74671672550425</v>
      </c>
      <c r="BT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12.86166666666667</v>
      </c>
      <c r="BY43" s="12">
        <f>IF('Données projet'!$A$114&gt;35,BY42+BX43-CG42,IF(A43&lt;'Données projet'!$A$114,$BV$205^A43,IF(A43='Données projet'!$A$114,'Données projet'!$B$114,BY42+BX43-CG42)))</f>
        <v>196.01833333333337</v>
      </c>
      <c r="BZ43" s="13">
        <f>BY43*VLOOKUP('Données projet'!$B$12,Paramètres!$A$1:$I$89,3,0)*VLOOKUP('Données projet'!$B$12,Paramètres!$A$1:$I$89,5,0)</f>
        <v>189.58893200000003</v>
      </c>
      <c r="CA43" s="13">
        <f t="shared" si="39"/>
        <v>47.449060100169767</v>
      </c>
      <c r="CB43" s="20">
        <f t="shared" si="10"/>
        <v>412.84116957446236</v>
      </c>
      <c r="CC43" s="59">
        <f t="shared" si="11"/>
        <v>660.65418339358314</v>
      </c>
      <c r="CD43" s="59">
        <f ca="1">AVERAGE(OFFSET($CC$3,0,0,'Données projet'!$E$12+1,1))-AVERAGE(OFFSET($H$3,0,0,'Données projet'!$E$12+1,1))</f>
        <v>600.96600099724276</v>
      </c>
      <c r="CE43" s="59">
        <f t="shared" si="40"/>
        <v>315.40159260706264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28.974235995978962</v>
      </c>
      <c r="CL43" s="21">
        <f>EXP(-LN(2)/25)*CL42+(1-EXP(-LN(2)/25))/(LN(2)/25)*Calculateur!CG43*Calculateur!CI43*VLOOKUP('Données projet'!$B$12,Paramètres!$A$1:$I$89,3,0)*0.475*44/12</f>
        <v>0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28.974235995978962</v>
      </c>
      <c r="CO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12.86166666666667</v>
      </c>
      <c r="CT43" s="12">
        <f>IF('Données projet'!$A$140&gt;35,CT42+CS43-DB42,IF(A43&lt;'Données projet'!$A$140,$CQ$205^A43,IF(A43='Données projet'!$A$140,'Données projet'!$B$140,CT42+CS43-DB42)))</f>
        <v>196.01833333333337</v>
      </c>
      <c r="CU43" s="17">
        <f>CT43*VLOOKUP('Données projet'!$B$13,Paramètres!$A$1:$I$89,3,0)*VLOOKUP('Données projet'!$B$13,Paramètres!$A$1:$I$89,5,0)</f>
        <v>186.53104600000003</v>
      </c>
      <c r="CV43" s="13">
        <f t="shared" si="41"/>
        <v>46.772195840563178</v>
      </c>
      <c r="CW43" s="20">
        <f t="shared" si="13"/>
        <v>406.33647953898088</v>
      </c>
      <c r="CX43" s="59">
        <f t="shared" si="14"/>
        <v>654.14949335810172</v>
      </c>
      <c r="CY43" s="59">
        <f ca="1">AVERAGE(OFFSET($CX$3,0,0,'Données projet'!$E$13+1,1))-AVERAGE(OFFSET($H$3,0,0,'Données projet'!$E$13+1,1))</f>
        <v>592.58528889137358</v>
      </c>
      <c r="CZ43" s="59">
        <f t="shared" si="42"/>
        <v>311.31528020403709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28.506909608947048</v>
      </c>
      <c r="DG43" s="21">
        <f>EXP(-LN(2)/25)*DG42+(1-EXP(-LN(2)/25))/(LN(2)/25)*Calculateur!DB43*Calculateur!DD43*VLOOKUP('Données projet'!$B$13,Paramètres!$A$1:$I$89,3,0)*0.475*44/12</f>
        <v>0</v>
      </c>
      <c r="DH43" s="21">
        <f>EXP(-LN(2)/2)*DH42+(1-EXP(-LN(2)/2))/(LN(2)/2)*DB43*DE43*VLOOKUP('Données projet'!$B$13,Paramètres!$A$1:$I$89,3,0)*0.475*44/12</f>
        <v>0</v>
      </c>
      <c r="DI43" s="22">
        <f t="shared" si="15"/>
        <v>28.506909608947048</v>
      </c>
      <c r="DJ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2">
        <f>'Scénario référence'!$B$16*5+'Scénario référence'!$B$17*0+'Scénario référence'!$B$18*5</f>
        <v>5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66">
        <f t="shared" si="1"/>
        <v>183.33333333333334</v>
      </c>
      <c r="I44" s="6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>
        <f>VLOOKUP(A44,'Données projet'!$A$35:$I$55,2,0)</f>
        <v>208.88</v>
      </c>
      <c r="L44" s="12">
        <f>VLOOKUP(A44,'Données projet'!$A$35:$I$55,9,0)</f>
        <v>12.86166666666667</v>
      </c>
      <c r="M44" s="12">
        <f t="array" ref="M44">INDEX(L:L,MIN(IF(ISNUMBER(L44:L240),ROW(L44:L240),"")))</f>
        <v>12.86166666666667</v>
      </c>
      <c r="N44" s="13">
        <f>IF('Données projet'!$A$36&gt;35,N43+M44-V43,IF(A44&lt;'Données projet'!$A$36,$K$205^A44,IF(A44='Données projet'!$A$36,'Données projet'!$B$36,N43+M44-V43)))</f>
        <v>208.88000000000005</v>
      </c>
      <c r="O44" s="13">
        <f>N44*VLOOKUP('Données projet'!$B$9,Paramètres!$A$1:$I$89,3,0)*VLOOKUP('Données projet'!$B$9,Paramètres!$A$1:$I$89,5,0)</f>
        <v>188.99462400000004</v>
      </c>
      <c r="P44" s="13">
        <f t="shared" si="33"/>
        <v>47.317609904825126</v>
      </c>
      <c r="Q44" s="20">
        <f t="shared" si="53"/>
        <v>411.5771407175705</v>
      </c>
      <c r="R44" s="59">
        <f t="shared" si="0"/>
        <v>660.1798303120745</v>
      </c>
      <c r="S44" s="59">
        <f ca="1">AVERAGE(OFFSET($R$3,0,0,'Données projet'!$E$9+1,1))-AVERAGE(OFFSET($H$3,0,0,'Données projet'!$E$9+1,1))</f>
        <v>567.42635821507474</v>
      </c>
      <c r="T44" s="59">
        <f t="shared" si="34"/>
        <v>299.04735309930152</v>
      </c>
      <c r="U44" s="15">
        <f>IF(ISNA(VLOOKUP(A44,'Données projet'!$A$35:$I$55,3,0)),0,VLOOKUP(A44,'Données projet'!$A$35:$I$55,3,0))</f>
        <v>2</v>
      </c>
      <c r="V44" s="15">
        <f>IF(ISNA(VLOOKUP(A44,'Données projet'!$A$35:$I$55,4,0)),0,VLOOKUP(A44,'Données projet'!$A$35:$I$55,4,0))</f>
        <v>47.41</v>
      </c>
      <c r="W44" s="16">
        <f>IF(ISNA(VLOOKUP(A44,'Données projet'!$A$35:$I$55,5,0)),0%,VLOOKUP(A44,'Données projet'!$A$35:$I$55,5,0)*VLOOKUP('Données projet'!$B$9,Paramètres!$A$1:$I$89,7,0))</f>
        <v>0.43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46.964399976421092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46.964399976421092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11</v>
      </c>
      <c r="AI44" s="13">
        <f>IF('Données projet'!$A$62&gt;35,AI43+AH44-AQ43,IF(A44&lt;'Données projet'!$A$62,$AF$205^A44,IF(A44='Données projet'!$A$62,'Données projet'!$B$62,AI43+AH44-AQ43)))</f>
        <v>146.00000000000003</v>
      </c>
      <c r="AJ44" s="13">
        <f>AI44*VLOOKUP('Données projet'!$B$10,Paramètres!$A$1:$I$89,3,0)*VLOOKUP('Données projet'!$B$10,Paramètres!$A$1:$I$89,5,0)</f>
        <v>125.26800000000004</v>
      </c>
      <c r="AK44" s="13">
        <f t="shared" si="35"/>
        <v>32.9005846700787</v>
      </c>
      <c r="AL44" s="20">
        <f t="shared" si="4"/>
        <v>275.47695163372049</v>
      </c>
      <c r="AM44" s="59">
        <f t="shared" si="5"/>
        <v>524.07964122822443</v>
      </c>
      <c r="AN44" s="59">
        <f ca="1">AVERAGE(OFFSET($AM$3,0,0,'Données projet'!$E$10+1,1))-AVERAGE(OFFSET($H$3,0,0,'Données projet'!$E$10+1,1))</f>
        <v>481.23392184981651</v>
      </c>
      <c r="AO44" s="59">
        <f t="shared" si="36"/>
        <v>275.88160405468193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26.2982814518321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26.2982814518321</v>
      </c>
      <c r="AY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11.142857142857142</v>
      </c>
      <c r="BD44" s="12">
        <f>IF('Données projet'!$A$88&gt;35,BD43+BC44-BL43,IF(A44&lt;'Données projet'!$A$88,$BA$205^A44,IF(A44='Données projet'!$A$88,'Données projet'!$B$88,BD43+BC44-BL43)))</f>
        <v>196.5714285714285</v>
      </c>
      <c r="BE44" s="13">
        <f>BD44*VLOOKUP('Données projet'!$B$11,Paramètres!$A$1:$I$89,3,0)*VLOOKUP('Données projet'!$B$11,Paramètres!$A$1:$I$89,5,0)</f>
        <v>153.32571428571424</v>
      </c>
      <c r="BF44" s="13">
        <f t="shared" si="37"/>
        <v>39.333398837614155</v>
      </c>
      <c r="BG44" s="20">
        <f t="shared" si="7"/>
        <v>335.5479553564636</v>
      </c>
      <c r="BH44" s="59">
        <f t="shared" si="8"/>
        <v>584.1506449509676</v>
      </c>
      <c r="BI44" s="59">
        <f ca="1">AVERAGE(OFFSET($BH$3,0,0,'Données projet'!$E$11+1,1))-AVERAGE(OFFSET($H$3,0,0,'Données projet'!$E$11+1,1))</f>
        <v>308.85018589589453</v>
      </c>
      <c r="BJ44" s="59">
        <f t="shared" si="38"/>
        <v>302.59481222418219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23.281058094584132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23.281058094584132</v>
      </c>
      <c r="BT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>
        <f>VLOOKUP(A44,'Données projet'!$A$113:$I$133,2,0)</f>
        <v>208.88</v>
      </c>
      <c r="BW44" s="12">
        <f>VLOOKUP(A44,'Données projet'!$A$113:$I$133,9,0)</f>
        <v>12.86166666666667</v>
      </c>
      <c r="BX44" s="12">
        <f t="array" ref="BX44">INDEX(BW:BW,MIN(IF(ISNUMBER(BW44:BW240),ROW(BW44:BW240),"")))</f>
        <v>12.86166666666667</v>
      </c>
      <c r="BY44" s="12">
        <f>IF('Données projet'!$A$114&gt;35,BY43+BX44-CG43,IF(A44&lt;'Données projet'!$A$114,$BV$205^A44,IF(A44='Données projet'!$A$114,'Données projet'!$B$114,BY43+BX44-CG43)))</f>
        <v>208.88000000000005</v>
      </c>
      <c r="BZ44" s="13">
        <f>BY44*VLOOKUP('Données projet'!$B$12,Paramètres!$A$1:$I$89,3,0)*VLOOKUP('Données projet'!$B$12,Paramètres!$A$1:$I$89,5,0)</f>
        <v>202.02873600000007</v>
      </c>
      <c r="CA44" s="13">
        <f t="shared" si="39"/>
        <v>50.189760266949065</v>
      </c>
      <c r="CB44" s="20">
        <f t="shared" si="10"/>
        <v>439.28054766493636</v>
      </c>
      <c r="CC44" s="59">
        <f t="shared" si="11"/>
        <v>687.88323725944031</v>
      </c>
      <c r="CD44" s="59">
        <f ca="1">AVERAGE(OFFSET($CC$3,0,0,'Données projet'!$E$12+1,1))-AVERAGE(OFFSET($H$3,0,0,'Données projet'!$E$12+1,1))</f>
        <v>600.96600099724276</v>
      </c>
      <c r="CE44" s="59">
        <f t="shared" si="40"/>
        <v>315.40159260706264</v>
      </c>
      <c r="CF44" s="15">
        <f>IF(ISNA(VLOOKUP(A44,'Données projet'!$A$113:$I$133,3,0)),0,VLOOKUP(A44,'Données projet'!$A$113:$I$133,3,0))</f>
        <v>2</v>
      </c>
      <c r="CG44" s="15">
        <f>IF(ISNA(VLOOKUP(A44,'Données projet'!$A$113:$I$133,4,0)),0,VLOOKUP(A44,'Données projet'!$A$113:$I$133,4,0))</f>
        <v>47.41</v>
      </c>
      <c r="CH44" s="16">
        <f>IF(ISNA(VLOOKUP(A44,'Données projet'!$A$113:$I$133,5,0)),0%,VLOOKUP(A44,'Données projet'!$A$113:$I$133,5,0)*VLOOKUP('Données projet'!$B$12,Paramètres!$A$1:$I$89,7,0))</f>
        <v>0.43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50.203324112725994</v>
      </c>
      <c r="CL44" s="21">
        <f>EXP(-LN(2)/25)*CL43+(1-EXP(-LN(2)/25))/(LN(2)/25)*Calculateur!CG44*Calculateur!CI44*VLOOKUP('Données projet'!$B$12,Paramètres!$A$1:$I$89,3,0)*0.475*44/12</f>
        <v>0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50.203324112725994</v>
      </c>
      <c r="CO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>
        <f>VLOOKUP(A44,'Données projet'!$A$139:$I$159,2,0)</f>
        <v>208.88</v>
      </c>
      <c r="CR44" s="12">
        <f>VLOOKUP(A44,'Données projet'!$A$139:$I$159,9,0)</f>
        <v>12.86166666666667</v>
      </c>
      <c r="CS44" s="12">
        <f t="array" ref="CS44">INDEX(CR:CR,MIN(IF(ISNUMBER(CR44:CR240),ROW(CR44:CR240),"")))</f>
        <v>12.86166666666667</v>
      </c>
      <c r="CT44" s="12">
        <f>IF('Données projet'!$A$140&gt;35,CT43+CS44-DB43,IF(A44&lt;'Données projet'!$A$140,$CQ$205^A44,IF(A44='Données projet'!$A$140,'Données projet'!$B$140,CT43+CS44-DB43)))</f>
        <v>208.88000000000005</v>
      </c>
      <c r="CU44" s="17">
        <f>CT44*VLOOKUP('Données projet'!$B$13,Paramètres!$A$1:$I$89,3,0)*VLOOKUP('Données projet'!$B$13,Paramètres!$A$1:$I$89,5,0)</f>
        <v>198.77020800000005</v>
      </c>
      <c r="CV44" s="13">
        <f t="shared" si="41"/>
        <v>49.473799722078354</v>
      </c>
      <c r="CW44" s="20">
        <f t="shared" si="13"/>
        <v>432.35831344928653</v>
      </c>
      <c r="CX44" s="59">
        <f t="shared" si="14"/>
        <v>680.96100304379047</v>
      </c>
      <c r="CY44" s="59">
        <f ca="1">AVERAGE(OFFSET($CX$3,0,0,'Données projet'!$E$13+1,1))-AVERAGE(OFFSET($H$3,0,0,'Données projet'!$E$13+1,1))</f>
        <v>592.58528889137358</v>
      </c>
      <c r="CZ44" s="59">
        <f t="shared" si="42"/>
        <v>311.31528020403709</v>
      </c>
      <c r="DA44" s="15">
        <f>IF(ISNA(VLOOKUP(A44,'Données projet'!$A$139:$I$159,3,0)),0,VLOOKUP(A44,'Données projet'!$A$139:$I$159,3,0))</f>
        <v>2</v>
      </c>
      <c r="DB44" s="15">
        <f>IF(ISNA(VLOOKUP(A44,'Données projet'!$A$139:$I$159,4,0)),0,VLOOKUP(A44,'Données projet'!$A$139:$I$159,4,0))</f>
        <v>47.41</v>
      </c>
      <c r="DC44" s="16">
        <f>IF(ISNA(VLOOKUP(A44,'Données projet'!$A$139:$I$159,5,0)),0%,VLOOKUP(A44,'Données projet'!$A$139:$I$159,5,0)*VLOOKUP('Données projet'!$B$13,Paramètres!$A$1:$I$89,7,0))</f>
        <v>0.43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49.393593078649772</v>
      </c>
      <c r="DG44" s="21">
        <f>EXP(-LN(2)/25)*DG43+(1-EXP(-LN(2)/25))/(LN(2)/25)*Calculateur!DB44*Calculateur!DD44*VLOOKUP('Données projet'!$B$13,Paramètres!$A$1:$I$89,3,0)*0.475*44/12</f>
        <v>0</v>
      </c>
      <c r="DH44" s="21">
        <f>EXP(-LN(2)/2)*DH43+(1-EXP(-LN(2)/2))/(LN(2)/2)*DB44*DE44*VLOOKUP('Données projet'!$B$13,Paramètres!$A$1:$I$89,3,0)*0.475*44/12</f>
        <v>0</v>
      </c>
      <c r="DI44" s="22">
        <f t="shared" si="15"/>
        <v>49.393593078649772</v>
      </c>
      <c r="DJ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2">
        <f>'Scénario référence'!$B$16*5+'Scénario référence'!$B$17*0+'Scénario référence'!$B$18*5</f>
        <v>5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66">
        <f t="shared" si="1"/>
        <v>183.33333333333334</v>
      </c>
      <c r="I45" s="6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13.059999999999999</v>
      </c>
      <c r="N45" s="13">
        <f>IF('Données projet'!$A$36&gt;35,N44+M45-V44,IF(A45&lt;'Données projet'!$A$36,$K$205^A45,IF(A45='Données projet'!$A$36,'Données projet'!$B$36,N44+M45-V44)))</f>
        <v>174.53000000000006</v>
      </c>
      <c r="O45" s="13">
        <f>N45*VLOOKUP('Données projet'!$B$9,Paramètres!$A$1:$I$89,3,0)*VLOOKUP('Données projet'!$B$9,Paramètres!$A$1:$I$89,5,0)</f>
        <v>157.91474400000004</v>
      </c>
      <c r="P45" s="13">
        <f t="shared" si="33"/>
        <v>40.371821598059007</v>
      </c>
      <c r="Q45" s="20">
        <f t="shared" si="53"/>
        <v>345.34910174995275</v>
      </c>
      <c r="R45" s="59">
        <f t="shared" si="0"/>
        <v>594.72776801058751</v>
      </c>
      <c r="S45" s="59">
        <f ca="1">AVERAGE(OFFSET($R$3,0,0,'Données projet'!$E$9+1,1))-AVERAGE(OFFSET($H$3,0,0,'Données projet'!$E$9+1,1))</f>
        <v>567.42635821507474</v>
      </c>
      <c r="T45" s="59">
        <f t="shared" si="34"/>
        <v>299.04735309930152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46.043456738338953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</v>
      </c>
      <c r="AC45" s="22">
        <f t="shared" si="3"/>
        <v>46.043456738338953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11</v>
      </c>
      <c r="AI45" s="13">
        <f>IF('Données projet'!$A$62&gt;35,AI44+AH45-AQ44,IF(A45&lt;'Données projet'!$A$62,$AF$205^A45,IF(A45='Données projet'!$A$62,'Données projet'!$B$62,AI44+AH45-AQ44)))</f>
        <v>157.00000000000003</v>
      </c>
      <c r="AJ45" s="13">
        <f>AI45*VLOOKUP('Données projet'!$B$10,Paramètres!$A$1:$I$89,3,0)*VLOOKUP('Données projet'!$B$10,Paramètres!$A$1:$I$89,5,0)</f>
        <v>134.70600000000005</v>
      </c>
      <c r="AK45" s="13">
        <f t="shared" si="35"/>
        <v>35.081517028838505</v>
      </c>
      <c r="AL45" s="20">
        <f t="shared" si="4"/>
        <v>295.71325882522711</v>
      </c>
      <c r="AM45" s="59">
        <f t="shared" si="5"/>
        <v>545.09192508586182</v>
      </c>
      <c r="AN45" s="59">
        <f ca="1">AVERAGE(OFFSET($AM$3,0,0,'Données projet'!$E$10+1,1))-AVERAGE(OFFSET($H$3,0,0,'Données projet'!$E$10+1,1))</f>
        <v>481.23392184981651</v>
      </c>
      <c r="AO45" s="59">
        <f t="shared" si="36"/>
        <v>275.88160405468193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25.782588192929502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25.782588192929502</v>
      </c>
      <c r="AY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11.142857142857142</v>
      </c>
      <c r="BD45" s="12">
        <f>IF('Données projet'!$A$88&gt;35,BD44+BC45-BL44,IF(A45&lt;'Données projet'!$A$88,$BA$205^A45,IF(A45='Données projet'!$A$88,'Données projet'!$B$88,BD44+BC45-BL44)))</f>
        <v>207.71428571428564</v>
      </c>
      <c r="BE45" s="13">
        <f>BD45*VLOOKUP('Données projet'!$B$11,Paramètres!$A$1:$I$89,3,0)*VLOOKUP('Données projet'!$B$11,Paramètres!$A$1:$I$89,5,0)</f>
        <v>162.0171428571428</v>
      </c>
      <c r="BF45" s="13">
        <f t="shared" si="37"/>
        <v>41.29715533509664</v>
      </c>
      <c r="BG45" s="20">
        <f t="shared" si="7"/>
        <v>354.10573601815037</v>
      </c>
      <c r="BH45" s="59">
        <f t="shared" si="8"/>
        <v>603.48440227878507</v>
      </c>
      <c r="BI45" s="59">
        <f ca="1">AVERAGE(OFFSET($BH$3,0,0,'Données projet'!$E$11+1,1))-AVERAGE(OFFSET($H$3,0,0,'Données projet'!$E$11+1,1))</f>
        <v>308.85018589589453</v>
      </c>
      <c r="BJ45" s="59">
        <f t="shared" si="38"/>
        <v>302.59481222418219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22.824530745392636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22.824530745392636</v>
      </c>
      <c r="BT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13.059999999999999</v>
      </c>
      <c r="BY45" s="12">
        <f>IF('Données projet'!$A$114&gt;35,BY44+BX45-CG44,IF(A45&lt;'Données projet'!$A$114,$BV$205^A45,IF(A45='Données projet'!$A$114,'Données projet'!$B$114,BY44+BX45-CG44)))</f>
        <v>174.53000000000006</v>
      </c>
      <c r="BZ45" s="13">
        <f>BY45*VLOOKUP('Données projet'!$B$12,Paramètres!$A$1:$I$89,3,0)*VLOOKUP('Données projet'!$B$12,Paramètres!$A$1:$I$89,5,0)</f>
        <v>168.80541600000006</v>
      </c>
      <c r="CA45" s="13">
        <f t="shared" si="39"/>
        <v>42.822366802174287</v>
      </c>
      <c r="CB45" s="20">
        <f t="shared" si="10"/>
        <v>368.58505504712031</v>
      </c>
      <c r="CC45" s="59">
        <f t="shared" si="11"/>
        <v>617.96372130775501</v>
      </c>
      <c r="CD45" s="59">
        <f ca="1">AVERAGE(OFFSET($CC$3,0,0,'Données projet'!$E$12+1,1))-AVERAGE(OFFSET($H$3,0,0,'Données projet'!$E$12+1,1))</f>
        <v>600.96600099724276</v>
      </c>
      <c r="CE45" s="59">
        <f t="shared" si="40"/>
        <v>315.40159260706264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49.218867547879576</v>
      </c>
      <c r="CL45" s="21">
        <f>EXP(-LN(2)/25)*CL44+(1-EXP(-LN(2)/25))/(LN(2)/25)*Calculateur!CG45*Calculateur!CI45*VLOOKUP('Données projet'!$B$12,Paramètres!$A$1:$I$89,3,0)*0.475*44/12</f>
        <v>0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49.218867547879576</v>
      </c>
      <c r="CO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13.059999999999999</v>
      </c>
      <c r="CT45" s="12">
        <f>IF('Données projet'!$A$140&gt;35,CT44+CS45-DB44,IF(A45&lt;'Données projet'!$A$140,$CQ$205^A45,IF(A45='Données projet'!$A$140,'Données projet'!$B$140,CT44+CS45-DB44)))</f>
        <v>174.53000000000006</v>
      </c>
      <c r="CU45" s="17">
        <f>CT45*VLOOKUP('Données projet'!$B$13,Paramètres!$A$1:$I$89,3,0)*VLOOKUP('Données projet'!$B$13,Paramètres!$A$1:$I$89,5,0)</f>
        <v>166.08274800000007</v>
      </c>
      <c r="CV45" s="13">
        <f t="shared" si="41"/>
        <v>42.211502655677656</v>
      </c>
      <c r="CW45" s="20">
        <f t="shared" si="13"/>
        <v>362.77915322530538</v>
      </c>
      <c r="CX45" s="59">
        <f t="shared" si="14"/>
        <v>612.15781948594008</v>
      </c>
      <c r="CY45" s="59">
        <f ca="1">AVERAGE(OFFSET($CX$3,0,0,'Données projet'!$E$13+1,1))-AVERAGE(OFFSET($H$3,0,0,'Données projet'!$E$13+1,1))</f>
        <v>592.58528889137358</v>
      </c>
      <c r="CZ45" s="59">
        <f t="shared" si="42"/>
        <v>311.31528020403709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48.425014845494424</v>
      </c>
      <c r="DG45" s="21">
        <f>EXP(-LN(2)/25)*DG44+(1-EXP(-LN(2)/25))/(LN(2)/25)*Calculateur!DB45*Calculateur!DD45*VLOOKUP('Données projet'!$B$13,Paramètres!$A$1:$I$89,3,0)*0.475*44/12</f>
        <v>0</v>
      </c>
      <c r="DH45" s="21">
        <f>EXP(-LN(2)/2)*DH44+(1-EXP(-LN(2)/2))/(LN(2)/2)*DB45*DE45*VLOOKUP('Données projet'!$B$13,Paramètres!$A$1:$I$89,3,0)*0.475*44/12</f>
        <v>0</v>
      </c>
      <c r="DI45" s="22">
        <f t="shared" si="15"/>
        <v>48.425014845494424</v>
      </c>
      <c r="DJ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2">
        <f>'Scénario référence'!$B$16*5+'Scénario référence'!$B$17*0+'Scénario référence'!$B$18*5</f>
        <v>5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66">
        <f t="shared" si="1"/>
        <v>183.33333333333334</v>
      </c>
      <c r="I46" s="6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13.059999999999999</v>
      </c>
      <c r="N46" s="13">
        <f>IF('Données projet'!$A$36&gt;35,N45+M46-V45,IF(A46&lt;'Données projet'!$A$36,$K$205^A46,IF(A46='Données projet'!$A$36,'Données projet'!$B$36,N45+M46-V45)))</f>
        <v>187.59000000000006</v>
      </c>
      <c r="O46" s="13">
        <f>N46*VLOOKUP('Données projet'!$B$9,Paramètres!$A$1:$I$89,3,0)*VLOOKUP('Données projet'!$B$9,Paramètres!$A$1:$I$89,5,0)</f>
        <v>169.73143200000004</v>
      </c>
      <c r="P46" s="13">
        <f t="shared" si="33"/>
        <v>43.029867753624529</v>
      </c>
      <c r="Q46" s="20">
        <f t="shared" si="53"/>
        <v>370.55926373756279</v>
      </c>
      <c r="R46" s="59">
        <f t="shared" si="0"/>
        <v>620.70044520399483</v>
      </c>
      <c r="S46" s="59">
        <f ca="1">AVERAGE(OFFSET($R$3,0,0,'Données projet'!$E$9+1,1))-AVERAGE(OFFSET($H$3,0,0,'Données projet'!$E$9+1,1))</f>
        <v>567.42635821507474</v>
      </c>
      <c r="T46" s="59">
        <f t="shared" si="34"/>
        <v>299.04735309930152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45.140572635435696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</v>
      </c>
      <c r="AC46" s="22">
        <f t="shared" si="3"/>
        <v>45.140572635435696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11</v>
      </c>
      <c r="AI46" s="13">
        <f>IF('Données projet'!$A$62&gt;35,AI45+AH46-AQ45,IF(A46&lt;'Données projet'!$A$62,$AF$205^A46,IF(A46='Données projet'!$A$62,'Données projet'!$B$62,AI45+AH46-AQ45)))</f>
        <v>168.00000000000003</v>
      </c>
      <c r="AJ46" s="13">
        <f>AI46*VLOOKUP('Données projet'!$B$10,Paramètres!$A$1:$I$89,3,0)*VLOOKUP('Données projet'!$B$10,Paramètres!$A$1:$I$89,5,0)</f>
        <v>144.14400000000003</v>
      </c>
      <c r="AK46" s="13">
        <f t="shared" si="35"/>
        <v>37.244720006976252</v>
      </c>
      <c r="AL46" s="20">
        <f t="shared" si="4"/>
        <v>315.9186873454837</v>
      </c>
      <c r="AM46" s="59">
        <f t="shared" si="5"/>
        <v>566.05986881191575</v>
      </c>
      <c r="AN46" s="59">
        <f ca="1">AVERAGE(OFFSET($AM$3,0,0,'Données projet'!$E$10+1,1))-AVERAGE(OFFSET($H$3,0,0,'Données projet'!$E$10+1,1))</f>
        <v>481.23392184981651</v>
      </c>
      <c r="AO46" s="59">
        <f t="shared" si="36"/>
        <v>275.88160405468193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25.277007364292157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25.277007364292157</v>
      </c>
      <c r="AY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11.142857142857142</v>
      </c>
      <c r="BD46" s="12">
        <f>IF('Données projet'!$A$88&gt;35,BD45+BC46-BL45,IF(A46&lt;'Données projet'!$A$88,$BA$205^A46,IF(A46='Données projet'!$A$88,'Données projet'!$B$88,BD45+BC46-BL45)))</f>
        <v>218.85714285714278</v>
      </c>
      <c r="BE46" s="13">
        <f>BD46*VLOOKUP('Données projet'!$B$11,Paramètres!$A$1:$I$89,3,0)*VLOOKUP('Données projet'!$B$11,Paramètres!$A$1:$I$89,5,0)</f>
        <v>170.70857142857136</v>
      </c>
      <c r="BF46" s="13">
        <f t="shared" si="37"/>
        <v>43.248681576985376</v>
      </c>
      <c r="BG46" s="20">
        <f t="shared" si="7"/>
        <v>372.64221565134466</v>
      </c>
      <c r="BH46" s="59">
        <f t="shared" si="8"/>
        <v>622.78339711777676</v>
      </c>
      <c r="BI46" s="59">
        <f ca="1">AVERAGE(OFFSET($BH$3,0,0,'Données projet'!$E$11+1,1))-AVERAGE(OFFSET($H$3,0,0,'Données projet'!$E$11+1,1))</f>
        <v>308.85018589589453</v>
      </c>
      <c r="BJ46" s="59">
        <f t="shared" si="38"/>
        <v>302.59481222418219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22.376955619064599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22.376955619064599</v>
      </c>
      <c r="BT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13.059999999999999</v>
      </c>
      <c r="BY46" s="12">
        <f>IF('Données projet'!$A$114&gt;35,BY45+BX46-CG45,IF(A46&lt;'Données projet'!$A$114,$BV$205^A46,IF(A46='Données projet'!$A$114,'Données projet'!$B$114,BY45+BX46-CG45)))</f>
        <v>187.59000000000006</v>
      </c>
      <c r="BZ46" s="13">
        <f>BY46*VLOOKUP('Données projet'!$B$12,Paramètres!$A$1:$I$89,3,0)*VLOOKUP('Données projet'!$B$12,Paramètres!$A$1:$I$89,5,0)</f>
        <v>181.43704800000006</v>
      </c>
      <c r="CA46" s="13">
        <f t="shared" si="39"/>
        <v>45.641754755087668</v>
      </c>
      <c r="CB46" s="20">
        <f t="shared" si="10"/>
        <v>395.49558146511112</v>
      </c>
      <c r="CC46" s="59">
        <f t="shared" si="11"/>
        <v>645.63676293154322</v>
      </c>
      <c r="CD46" s="59">
        <f ca="1">AVERAGE(OFFSET($CC$3,0,0,'Données projet'!$E$12+1,1))-AVERAGE(OFFSET($H$3,0,0,'Données projet'!$E$12+1,1))</f>
        <v>600.96600099724276</v>
      </c>
      <c r="CE46" s="59">
        <f t="shared" si="40"/>
        <v>315.40159260706264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48.253715575810581</v>
      </c>
      <c r="CL46" s="21">
        <f>EXP(-LN(2)/25)*CL45+(1-EXP(-LN(2)/25))/(LN(2)/25)*Calculateur!CG46*Calculateur!CI46*VLOOKUP('Données projet'!$B$12,Paramètres!$A$1:$I$89,3,0)*0.475*44/12</f>
        <v>0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48.253715575810581</v>
      </c>
      <c r="CO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13.059999999999999</v>
      </c>
      <c r="CT46" s="12">
        <f>IF('Données projet'!$A$140&gt;35,CT45+CS46-DB45,IF(A46&lt;'Données projet'!$A$140,$CQ$205^A46,IF(A46='Données projet'!$A$140,'Données projet'!$B$140,CT45+CS46-DB45)))</f>
        <v>187.59000000000006</v>
      </c>
      <c r="CU46" s="17">
        <f>CT46*VLOOKUP('Données projet'!$B$13,Paramètres!$A$1:$I$89,3,0)*VLOOKUP('Données projet'!$B$13,Paramètres!$A$1:$I$89,5,0)</f>
        <v>178.51064400000004</v>
      </c>
      <c r="CV46" s="13">
        <f t="shared" si="41"/>
        <v>44.990671836390661</v>
      </c>
      <c r="CW46" s="20">
        <f t="shared" si="13"/>
        <v>389.26479174838045</v>
      </c>
      <c r="CX46" s="59">
        <f t="shared" si="14"/>
        <v>639.40597321481255</v>
      </c>
      <c r="CY46" s="59">
        <f ca="1">AVERAGE(OFFSET($CX$3,0,0,'Données projet'!$E$13+1,1))-AVERAGE(OFFSET($H$3,0,0,'Données projet'!$E$13+1,1))</f>
        <v>592.58528889137358</v>
      </c>
      <c r="CZ46" s="59">
        <f t="shared" si="42"/>
        <v>311.31528020403709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47.475429840716863</v>
      </c>
      <c r="DG46" s="21">
        <f>EXP(-LN(2)/25)*DG45+(1-EXP(-LN(2)/25))/(LN(2)/25)*Calculateur!DB46*Calculateur!DD46*VLOOKUP('Données projet'!$B$13,Paramètres!$A$1:$I$89,3,0)*0.475*44/12</f>
        <v>0</v>
      </c>
      <c r="DH46" s="21">
        <f>EXP(-LN(2)/2)*DH45+(1-EXP(-LN(2)/2))/(LN(2)/2)*DB46*DE46*VLOOKUP('Données projet'!$B$13,Paramètres!$A$1:$I$89,3,0)*0.475*44/12</f>
        <v>0</v>
      </c>
      <c r="DI46" s="22">
        <f t="shared" si="15"/>
        <v>47.475429840716863</v>
      </c>
      <c r="DJ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2">
        <f>'Scénario référence'!$B$16*5+'Scénario référence'!$B$17*0+'Scénario référence'!$B$18*5</f>
        <v>5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66">
        <f t="shared" si="1"/>
        <v>183.33333333333334</v>
      </c>
      <c r="I47" s="6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13.059999999999999</v>
      </c>
      <c r="N47" s="13">
        <f>IF('Données projet'!$A$36&gt;35,N46+M47-V46,IF(A47&lt;'Données projet'!$A$36,$K$205^A47,IF(A47='Données projet'!$A$36,'Données projet'!$B$36,N46+M47-V46)))</f>
        <v>200.65000000000006</v>
      </c>
      <c r="O47" s="13">
        <f>N47*VLOOKUP('Données projet'!$B$9,Paramètres!$A$1:$I$89,3,0)*VLOOKUP('Données projet'!$B$9,Paramètres!$A$1:$I$89,5,0)</f>
        <v>181.54812000000004</v>
      </c>
      <c r="P47" s="13">
        <f t="shared" si="33"/>
        <v>45.666442486896024</v>
      </c>
      <c r="Q47" s="20">
        <f t="shared" si="53"/>
        <v>395.73202966467733</v>
      </c>
      <c r="R47" s="59">
        <f t="shared" si="0"/>
        <v>646.6224984028147</v>
      </c>
      <c r="S47" s="59">
        <f ca="1">AVERAGE(OFFSET($R$3,0,0,'Données projet'!$E$9+1,1))-AVERAGE(OFFSET($H$3,0,0,'Données projet'!$E$9+1,1))</f>
        <v>567.42635821507474</v>
      </c>
      <c r="T47" s="59">
        <f t="shared" si="34"/>
        <v>299.04735309930152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44.255393539085446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0</v>
      </c>
      <c r="AC47" s="22">
        <f t="shared" si="3"/>
        <v>44.255393539085446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11</v>
      </c>
      <c r="AI47" s="13">
        <f>IF('Données projet'!$A$62&gt;35,AI46+AH47-AQ46,IF(A47&lt;'Données projet'!$A$62,$AF$205^A47,IF(A47='Données projet'!$A$62,'Données projet'!$B$62,AI46+AH47-AQ46)))</f>
        <v>179.00000000000003</v>
      </c>
      <c r="AJ47" s="13">
        <f>AI47*VLOOKUP('Données projet'!$B$10,Paramètres!$A$1:$I$89,3,0)*VLOOKUP('Données projet'!$B$10,Paramètres!$A$1:$I$89,5,0)</f>
        <v>153.58200000000002</v>
      </c>
      <c r="AK47" s="13">
        <f t="shared" si="35"/>
        <v>39.391486561628568</v>
      </c>
      <c r="AL47" s="20">
        <f t="shared" si="4"/>
        <v>336.09548909483647</v>
      </c>
      <c r="AM47" s="59">
        <f t="shared" si="5"/>
        <v>586.9859578329739</v>
      </c>
      <c r="AN47" s="59">
        <f ca="1">AVERAGE(OFFSET($AM$3,0,0,'Données projet'!$E$10+1,1))-AVERAGE(OFFSET($H$3,0,0,'Données projet'!$E$10+1,1))</f>
        <v>481.23392184981651</v>
      </c>
      <c r="AO47" s="59">
        <f t="shared" si="36"/>
        <v>275.88160405468193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24.781340667330532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24.781340667330532</v>
      </c>
      <c r="AY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>
        <f>VLOOKUP(A47,'Données projet'!$A$87:$I$107,2,0)</f>
        <v>230</v>
      </c>
      <c r="BB47" s="12">
        <f>VLOOKUP(A47,'Données projet'!$A$87:$I$107,9,0)</f>
        <v>11.142857142857142</v>
      </c>
      <c r="BC47" s="12">
        <f t="array" ref="BC47">INDEX(BB:BB,MIN(IF(ISNUMBER(BB47:BB243),ROW(BB47:BB243),"")))</f>
        <v>11.142857142857142</v>
      </c>
      <c r="BD47" s="12">
        <f>IF('Données projet'!$A$88&gt;35,BD46+BC47-BL46,IF(A47&lt;'Données projet'!$A$88,$BA$205^A47,IF(A47='Données projet'!$A$88,'Données projet'!$B$88,BD46+BC47-BL46)))</f>
        <v>229.99999999999991</v>
      </c>
      <c r="BE47" s="13">
        <f>BD47*VLOOKUP('Données projet'!$B$11,Paramètres!$A$1:$I$89,3,0)*VLOOKUP('Données projet'!$B$11,Paramètres!$A$1:$I$89,5,0)</f>
        <v>179.39999999999995</v>
      </c>
      <c r="BF47" s="13">
        <f t="shared" si="37"/>
        <v>45.188671291872232</v>
      </c>
      <c r="BG47" s="20">
        <f t="shared" si="7"/>
        <v>391.15860250001066</v>
      </c>
      <c r="BH47" s="59">
        <f t="shared" si="8"/>
        <v>642.04907123814814</v>
      </c>
      <c r="BI47" s="59">
        <f ca="1">AVERAGE(OFFSET($BH$3,0,0,'Données projet'!$E$11+1,1))-AVERAGE(OFFSET($H$3,0,0,'Données projet'!$E$11+1,1))</f>
        <v>308.85018589589453</v>
      </c>
      <c r="BJ47" s="59">
        <f t="shared" si="38"/>
        <v>302.59481222418219</v>
      </c>
      <c r="BK47" s="15">
        <f>IF(ISNA(VLOOKUP(A47,'Données projet'!$A$87:$I$107,3,0)),0,VLOOKUP(A47,'Données projet'!$A$87:$I$107,3,0))</f>
        <v>6</v>
      </c>
      <c r="BL47" s="15">
        <f>IF(ISNA(VLOOKUP(A47,'Données projet'!$A$87:$I$107,4,0)),0,VLOOKUP(A47,'Données projet'!$A$87:$I$107,4,0))</f>
        <v>43</v>
      </c>
      <c r="BM47" s="16">
        <f>IF(ISNA(VLOOKUP(A47,'Données projet'!$A$87:$I$107,5,0)),0%,VLOOKUP(A47,'Données projet'!$A$87:$I$107,5,0)*VLOOKUP('Données projet'!$B$11,Paramètres!$A$1:$I$89,7,0))</f>
        <v>0.43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37.881472075670096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37.881472075670096</v>
      </c>
      <c r="BT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13.059999999999999</v>
      </c>
      <c r="BY47" s="12">
        <f>IF('Données projet'!$A$114&gt;35,BY46+BX47-CG46,IF(A47&lt;'Données projet'!$A$114,$BV$205^A47,IF(A47='Données projet'!$A$114,'Données projet'!$B$114,BY46+BX47-CG46)))</f>
        <v>200.65000000000006</v>
      </c>
      <c r="BZ47" s="13">
        <f>BY47*VLOOKUP('Données projet'!$B$12,Paramètres!$A$1:$I$89,3,0)*VLOOKUP('Données projet'!$B$12,Paramètres!$A$1:$I$89,5,0)</f>
        <v>194.06868000000006</v>
      </c>
      <c r="CA47" s="13">
        <f t="shared" si="39"/>
        <v>48.438367983333151</v>
      </c>
      <c r="CB47" s="20">
        <f t="shared" si="10"/>
        <v>422.3664419043053</v>
      </c>
      <c r="CC47" s="59">
        <f t="shared" si="11"/>
        <v>673.25691064244279</v>
      </c>
      <c r="CD47" s="59">
        <f ca="1">AVERAGE(OFFSET($CC$3,0,0,'Données projet'!$E$12+1,1))-AVERAGE(OFFSET($H$3,0,0,'Données projet'!$E$12+1,1))</f>
        <v>600.96600099724276</v>
      </c>
      <c r="CE47" s="59">
        <f t="shared" si="40"/>
        <v>315.40159260706264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47.307489645229282</v>
      </c>
      <c r="CL47" s="21">
        <f>EXP(-LN(2)/25)*CL46+(1-EXP(-LN(2)/25))/(LN(2)/25)*Calculateur!CG47*Calculateur!CI47*VLOOKUP('Données projet'!$B$12,Paramètres!$A$1:$I$89,3,0)*0.475*44/12</f>
        <v>0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47.307489645229282</v>
      </c>
      <c r="CO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13.059999999999999</v>
      </c>
      <c r="CT47" s="12">
        <f>IF('Données projet'!$A$140&gt;35,CT46+CS47-DB46,IF(A47&lt;'Données projet'!$A$140,$CQ$205^A47,IF(A47='Données projet'!$A$140,'Données projet'!$B$140,CT46+CS47-DB46)))</f>
        <v>200.65000000000006</v>
      </c>
      <c r="CU47" s="17">
        <f>CT47*VLOOKUP('Données projet'!$B$13,Paramètres!$A$1:$I$89,3,0)*VLOOKUP('Données projet'!$B$13,Paramètres!$A$1:$I$89,5,0)</f>
        <v>190.93854000000005</v>
      </c>
      <c r="CV47" s="13">
        <f t="shared" si="41"/>
        <v>47.747391175523354</v>
      </c>
      <c r="CW47" s="20">
        <f t="shared" si="13"/>
        <v>415.71133013070329</v>
      </c>
      <c r="CX47" s="59">
        <f t="shared" si="14"/>
        <v>666.60179886884066</v>
      </c>
      <c r="CY47" s="59">
        <f ca="1">AVERAGE(OFFSET($CX$3,0,0,'Données projet'!$E$13+1,1))-AVERAGE(OFFSET($H$3,0,0,'Données projet'!$E$13+1,1))</f>
        <v>592.58528889137358</v>
      </c>
      <c r="CZ47" s="59">
        <f t="shared" si="42"/>
        <v>311.31528020403709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46.54446561869333</v>
      </c>
      <c r="DG47" s="21">
        <f>EXP(-LN(2)/25)*DG46+(1-EXP(-LN(2)/25))/(LN(2)/25)*Calculateur!DB47*Calculateur!DD47*VLOOKUP('Données projet'!$B$13,Paramètres!$A$1:$I$89,3,0)*0.475*44/12</f>
        <v>0</v>
      </c>
      <c r="DH47" s="21">
        <f>EXP(-LN(2)/2)*DH46+(1-EXP(-LN(2)/2))/(LN(2)/2)*DB47*DE47*VLOOKUP('Données projet'!$B$13,Paramètres!$A$1:$I$89,3,0)*0.475*44/12</f>
        <v>0</v>
      </c>
      <c r="DI47" s="22">
        <f t="shared" si="15"/>
        <v>46.54446561869333</v>
      </c>
      <c r="DJ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2">
        <f>'Scénario référence'!$B$16*5+'Scénario référence'!$B$17*0+'Scénario référence'!$B$18*5</f>
        <v>5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66">
        <f t="shared" si="1"/>
        <v>183.33333333333334</v>
      </c>
      <c r="I48" s="6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13.059999999999999</v>
      </c>
      <c r="N48" s="13">
        <f>IF('Données projet'!$A$36&gt;35,N47+M48-V47,IF(A48&lt;'Données projet'!$A$36,$K$205^A48,IF(A48='Données projet'!$A$36,'Données projet'!$B$36,N47+M48-V47)))</f>
        <v>213.71000000000006</v>
      </c>
      <c r="O48" s="13">
        <f>N48*VLOOKUP('Données projet'!$B$9,Paramètres!$A$1:$I$89,3,0)*VLOOKUP('Données projet'!$B$9,Paramètres!$A$1:$I$89,5,0)</f>
        <v>193.36480800000007</v>
      </c>
      <c r="P48" s="13">
        <f t="shared" si="33"/>
        <v>48.283102387258864</v>
      </c>
      <c r="Q48" s="20">
        <f t="shared" si="53"/>
        <v>420.87011059114269</v>
      </c>
      <c r="R48" s="59">
        <f t="shared" si="0"/>
        <v>672.49686814197685</v>
      </c>
      <c r="S48" s="59">
        <f ca="1">AVERAGE(OFFSET($R$3,0,0,'Données projet'!$E$9+1,1))-AVERAGE(OFFSET($H$3,0,0,'Données projet'!$E$9+1,1))</f>
        <v>567.42635821507474</v>
      </c>
      <c r="T48" s="59">
        <f t="shared" si="34"/>
        <v>299.04735309930152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43.387572264908691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0</v>
      </c>
      <c r="AC48" s="22">
        <f t="shared" si="3"/>
        <v>43.387572264908691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190</v>
      </c>
      <c r="AG48" s="12">
        <f>VLOOKUP(A48,'Données projet'!$A$61:$I$81,9,0)</f>
        <v>11</v>
      </c>
      <c r="AH48" s="12">
        <f t="array" ref="AH48">INDEX(AG:AG,MIN(IF(ISNUMBER(AG48:AG244),ROW(AG48:AG244),"")))</f>
        <v>11</v>
      </c>
      <c r="AI48" s="13">
        <f>IF('Données projet'!$A$62&gt;35,AI47+AH48-AQ47,IF(A48&lt;'Données projet'!$A$62,$AF$205^A48,IF(A48='Données projet'!$A$62,'Données projet'!$B$62,AI47+AH48-AQ47)))</f>
        <v>190.00000000000003</v>
      </c>
      <c r="AJ48" s="13">
        <f>AI48*VLOOKUP('Données projet'!$B$10,Paramètres!$A$1:$I$89,3,0)*VLOOKUP('Données projet'!$B$10,Paramètres!$A$1:$I$89,5,0)</f>
        <v>163.02000000000004</v>
      </c>
      <c r="AK48" s="13">
        <f t="shared" si="35"/>
        <v>41.52294175893757</v>
      </c>
      <c r="AL48" s="20">
        <f t="shared" si="4"/>
        <v>356.24562356348298</v>
      </c>
      <c r="AM48" s="59">
        <f t="shared" si="5"/>
        <v>607.87238111431714</v>
      </c>
      <c r="AN48" s="59">
        <f ca="1">AVERAGE(OFFSET($AM$3,0,0,'Données projet'!$E$10+1,1))-AVERAGE(OFFSET($H$3,0,0,'Données projet'!$E$10+1,1))</f>
        <v>481.23392184981651</v>
      </c>
      <c r="AO48" s="59">
        <f t="shared" si="36"/>
        <v>275.88160405468193</v>
      </c>
      <c r="AP48" s="15">
        <f>IF(ISNA(VLOOKUP(A48,'Données projet'!$A$61:$I$81,3,0)),0,VLOOKUP(A48,'Données projet'!$A$61:$I$81,3,0))</f>
        <v>5</v>
      </c>
      <c r="AQ48" s="15">
        <f>IF(ISNA(VLOOKUP(A48,'Données projet'!$A$61:$I$81,4,0)),0,VLOOKUP(A48,'Données projet'!$A$61:$I$81,4,0))</f>
        <v>28</v>
      </c>
      <c r="AR48" s="16">
        <f>IF(ISNA(VLOOKUP(A48,'Données projet'!$A$61:$I$81,5,0)),0%,VLOOKUP(A48,'Données projet'!$A$61:$I$81,5,0)*VLOOKUP('Données projet'!$B$10,Paramètres!$A$1:$I$89,7,0))</f>
        <v>0.53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38.37103850285628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38.37103850285628</v>
      </c>
      <c r="AY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10.375</v>
      </c>
      <c r="BD48" s="12">
        <f>IF('Données projet'!$A$88&gt;35,BD47+BC48-BL47,IF(A48&lt;'Données projet'!$A$88,$BA$205^A48,IF(A48='Données projet'!$A$88,'Données projet'!$B$88,BD47+BC48-BL47)))</f>
        <v>197.37499999999991</v>
      </c>
      <c r="BE48" s="13">
        <f>BD48*VLOOKUP('Données projet'!$B$11,Paramètres!$A$1:$I$89,3,0)*VLOOKUP('Données projet'!$B$11,Paramètres!$A$1:$I$89,5,0)</f>
        <v>153.95249999999993</v>
      </c>
      <c r="BF48" s="13">
        <f t="shared" si="37"/>
        <v>39.475441267837361</v>
      </c>
      <c r="BG48" s="20">
        <f t="shared" si="7"/>
        <v>336.88699770814992</v>
      </c>
      <c r="BH48" s="59">
        <f t="shared" si="8"/>
        <v>588.51375525898402</v>
      </c>
      <c r="BI48" s="59">
        <f ca="1">AVERAGE(OFFSET($BH$3,0,0,'Données projet'!$E$11+1,1))-AVERAGE(OFFSET($H$3,0,0,'Données projet'!$E$11+1,1))</f>
        <v>308.85018589589453</v>
      </c>
      <c r="BJ48" s="59">
        <f t="shared" si="38"/>
        <v>302.59481222418219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37.138639513682705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37.138639513682705</v>
      </c>
      <c r="BT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13.059999999999999</v>
      </c>
      <c r="BY48" s="12">
        <f>IF('Données projet'!$A$114&gt;35,BY47+BX48-CG47,IF(A48&lt;'Données projet'!$A$114,$BV$205^A48,IF(A48='Données projet'!$A$114,'Données projet'!$B$114,BY47+BX48-CG47)))</f>
        <v>213.71000000000006</v>
      </c>
      <c r="BZ48" s="13">
        <f>BY48*VLOOKUP('Données projet'!$B$12,Paramètres!$A$1:$I$89,3,0)*VLOOKUP('Données projet'!$B$12,Paramètres!$A$1:$I$89,5,0)</f>
        <v>206.70031200000005</v>
      </c>
      <c r="CA48" s="13">
        <f t="shared" si="39"/>
        <v>51.213857560332166</v>
      </c>
      <c r="CB48" s="20">
        <f t="shared" si="10"/>
        <v>449.20051198424522</v>
      </c>
      <c r="CC48" s="59">
        <f t="shared" si="11"/>
        <v>700.82726953507938</v>
      </c>
      <c r="CD48" s="59">
        <f ca="1">AVERAGE(OFFSET($CC$3,0,0,'Données projet'!$E$12+1,1))-AVERAGE(OFFSET($H$3,0,0,'Données projet'!$E$12+1,1))</f>
        <v>600.96600099724276</v>
      </c>
      <c r="CE48" s="59">
        <f t="shared" si="40"/>
        <v>315.40159260706264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46.37981862800585</v>
      </c>
      <c r="CL48" s="21">
        <f>EXP(-LN(2)/25)*CL47+(1-EXP(-LN(2)/25))/(LN(2)/25)*Calculateur!CG48*Calculateur!CI48*VLOOKUP('Données projet'!$B$12,Paramètres!$A$1:$I$89,3,0)*0.475*44/12</f>
        <v>0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46.37981862800585</v>
      </c>
      <c r="CO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13.059999999999999</v>
      </c>
      <c r="CT48" s="12">
        <f>IF('Données projet'!$A$140&gt;35,CT47+CS48-DB47,IF(A48&lt;'Données projet'!$A$140,$CQ$205^A48,IF(A48='Données projet'!$A$140,'Données projet'!$B$140,CT47+CS48-DB47)))</f>
        <v>213.71000000000006</v>
      </c>
      <c r="CU48" s="17">
        <f>CT48*VLOOKUP('Données projet'!$B$13,Paramètres!$A$1:$I$89,3,0)*VLOOKUP('Données projet'!$B$13,Paramètres!$A$1:$I$89,5,0)</f>
        <v>203.36643600000005</v>
      </c>
      <c r="CV48" s="13">
        <f t="shared" si="41"/>
        <v>50.483288193815937</v>
      </c>
      <c r="CW48" s="20">
        <f t="shared" si="13"/>
        <v>442.12160297089616</v>
      </c>
      <c r="CX48" s="59">
        <f t="shared" si="14"/>
        <v>693.74836052173032</v>
      </c>
      <c r="CY48" s="59">
        <f ca="1">AVERAGE(OFFSET($CX$3,0,0,'Données projet'!$E$13+1,1))-AVERAGE(OFFSET($H$3,0,0,'Données projet'!$E$13+1,1))</f>
        <v>592.58528889137358</v>
      </c>
      <c r="CZ48" s="59">
        <f t="shared" si="42"/>
        <v>311.31528020403709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45.631757037231566</v>
      </c>
      <c r="DG48" s="21">
        <f>EXP(-LN(2)/25)*DG47+(1-EXP(-LN(2)/25))/(LN(2)/25)*Calculateur!DB48*Calculateur!DD48*VLOOKUP('Données projet'!$B$13,Paramètres!$A$1:$I$89,3,0)*0.475*44/12</f>
        <v>0</v>
      </c>
      <c r="DH48" s="21">
        <f>EXP(-LN(2)/2)*DH47+(1-EXP(-LN(2)/2))/(LN(2)/2)*DB48*DE48*VLOOKUP('Données projet'!$B$13,Paramètres!$A$1:$I$89,3,0)*0.475*44/12</f>
        <v>0</v>
      </c>
      <c r="DI48" s="22">
        <f t="shared" si="15"/>
        <v>45.631757037231566</v>
      </c>
      <c r="DJ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2">
        <f>'Scénario référence'!$B$16*5+'Scénario référence'!$B$17*0+'Scénario référence'!$B$18*5</f>
        <v>5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66">
        <f t="shared" si="1"/>
        <v>183.33333333333334</v>
      </c>
      <c r="I49" s="6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13.059999999999999</v>
      </c>
      <c r="N49" s="13">
        <f>IF('Données projet'!$A$36&gt;35,N48+M49-V48,IF(A49&lt;'Données projet'!$A$36,$K$205^A49,IF(A49='Données projet'!$A$36,'Données projet'!$B$36,N48+M49-V48)))</f>
        <v>226.77000000000007</v>
      </c>
      <c r="O49" s="13">
        <f>N49*VLOOKUP('Données projet'!$B$9,Paramètres!$A$1:$I$89,3,0)*VLOOKUP('Données projet'!$B$9,Paramètres!$A$1:$I$89,5,0)</f>
        <v>205.18149600000007</v>
      </c>
      <c r="P49" s="13">
        <f t="shared" si="33"/>
        <v>50.88120304468918</v>
      </c>
      <c r="Q49" s="20">
        <f t="shared" si="53"/>
        <v>445.97586750283375</v>
      </c>
      <c r="R49" s="59">
        <f t="shared" si="0"/>
        <v>698.32614090155937</v>
      </c>
      <c r="S49" s="59">
        <f ca="1">AVERAGE(OFFSET($R$3,0,0,'Données projet'!$E$9+1,1))-AVERAGE(OFFSET($H$3,0,0,'Données projet'!$E$9+1,1))</f>
        <v>567.42635821507474</v>
      </c>
      <c r="T49" s="59">
        <f t="shared" si="34"/>
        <v>299.04735309930152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42.536768436599829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0</v>
      </c>
      <c r="AC49" s="22">
        <f t="shared" si="3"/>
        <v>42.536768436599829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11</v>
      </c>
      <c r="AI49" s="13">
        <f>IF('Données projet'!$A$62&gt;35,AI48+AH49-AQ48,IF(A49&lt;'Données projet'!$A$62,$AF$205^A49,IF(A49='Données projet'!$A$62,'Données projet'!$B$62,AI48+AH49-AQ48)))</f>
        <v>173.00000000000003</v>
      </c>
      <c r="AJ49" s="13">
        <f>AI49*VLOOKUP('Données projet'!$B$10,Paramètres!$A$1:$I$89,3,0)*VLOOKUP('Données projet'!$B$10,Paramètres!$A$1:$I$89,5,0)</f>
        <v>148.43400000000003</v>
      </c>
      <c r="AK49" s="13">
        <f t="shared" si="35"/>
        <v>38.222489421716382</v>
      </c>
      <c r="AL49" s="20">
        <f t="shared" si="4"/>
        <v>325.0933857428227</v>
      </c>
      <c r="AM49" s="59">
        <f t="shared" si="5"/>
        <v>577.44365914154832</v>
      </c>
      <c r="AN49" s="59">
        <f ca="1">AVERAGE(OFFSET($AM$3,0,0,'Données projet'!$E$10+1,1))-AVERAGE(OFFSET($H$3,0,0,'Données projet'!$E$10+1,1))</f>
        <v>481.23392184981651</v>
      </c>
      <c r="AO49" s="59">
        <f t="shared" si="36"/>
        <v>275.88160405468193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37.618605841837798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37.618605841837798</v>
      </c>
      <c r="AY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10.375</v>
      </c>
      <c r="BD49" s="12">
        <f>IF('Données projet'!$A$88&gt;35,BD48+BC49-BL48,IF(A49&lt;'Données projet'!$A$88,$BA$205^A49,IF(A49='Données projet'!$A$88,'Données projet'!$B$88,BD48+BC49-BL48)))</f>
        <v>207.74999999999991</v>
      </c>
      <c r="BE49" s="13">
        <f>BD49*VLOOKUP('Données projet'!$B$11,Paramètres!$A$1:$I$89,3,0)*VLOOKUP('Données projet'!$B$11,Paramètres!$A$1:$I$89,5,0)</f>
        <v>162.04499999999993</v>
      </c>
      <c r="BF49" s="13">
        <f t="shared" si="37"/>
        <v>41.303429372463391</v>
      </c>
      <c r="BG49" s="20">
        <f t="shared" si="7"/>
        <v>354.16518115704025</v>
      </c>
      <c r="BH49" s="59">
        <f t="shared" si="8"/>
        <v>606.51545455576593</v>
      </c>
      <c r="BI49" s="59">
        <f ca="1">AVERAGE(OFFSET($BH$3,0,0,'Données projet'!$E$11+1,1))-AVERAGE(OFFSET($H$3,0,0,'Données projet'!$E$11+1,1))</f>
        <v>308.85018589589453</v>
      </c>
      <c r="BJ49" s="59">
        <f t="shared" si="38"/>
        <v>302.59481222418219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36.410373445152757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36.410373445152757</v>
      </c>
      <c r="BT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13.059999999999999</v>
      </c>
      <c r="BY49" s="12">
        <f>IF('Données projet'!$A$114&gt;35,BY48+BX49-CG48,IF(A49&lt;'Données projet'!$A$114,$BV$205^A49,IF(A49='Données projet'!$A$114,'Données projet'!$B$114,BY48+BX49-CG48)))</f>
        <v>226.77000000000007</v>
      </c>
      <c r="BZ49" s="13">
        <f>BY49*VLOOKUP('Données projet'!$B$12,Paramètres!$A$1:$I$89,3,0)*VLOOKUP('Données projet'!$B$12,Paramètres!$A$1:$I$89,5,0)</f>
        <v>219.33194400000008</v>
      </c>
      <c r="CA49" s="13">
        <f t="shared" si="39"/>
        <v>53.969661359554351</v>
      </c>
      <c r="CB49" s="20">
        <f t="shared" si="10"/>
        <v>476.00029600122389</v>
      </c>
      <c r="CC49" s="59">
        <f t="shared" si="11"/>
        <v>728.35056939994956</v>
      </c>
      <c r="CD49" s="59">
        <f ca="1">AVERAGE(OFFSET($CC$3,0,0,'Données projet'!$E$12+1,1))-AVERAGE(OFFSET($H$3,0,0,'Données projet'!$E$12+1,1))</f>
        <v>600.96600099724276</v>
      </c>
      <c r="CE49" s="59">
        <f t="shared" si="40"/>
        <v>315.40159260706264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45.470338673606719</v>
      </c>
      <c r="CL49" s="21">
        <f>EXP(-LN(2)/25)*CL48+(1-EXP(-LN(2)/25))/(LN(2)/25)*Calculateur!CG49*Calculateur!CI49*VLOOKUP('Données projet'!$B$12,Paramètres!$A$1:$I$89,3,0)*0.475*44/12</f>
        <v>0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45.470338673606719</v>
      </c>
      <c r="CO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13.059999999999999</v>
      </c>
      <c r="CT49" s="12">
        <f>IF('Données projet'!$A$140&gt;35,CT48+CS49-DB48,IF(A49&lt;'Données projet'!$A$140,$CQ$205^A49,IF(A49='Données projet'!$A$140,'Données projet'!$B$140,CT48+CS49-DB48)))</f>
        <v>226.77000000000007</v>
      </c>
      <c r="CU49" s="17">
        <f>CT49*VLOOKUP('Données projet'!$B$13,Paramètres!$A$1:$I$89,3,0)*VLOOKUP('Données projet'!$B$13,Paramètres!$A$1:$I$89,5,0)</f>
        <v>215.79433200000005</v>
      </c>
      <c r="CV49" s="13">
        <f t="shared" si="41"/>
        <v>53.199780253369433</v>
      </c>
      <c r="CW49" s="20">
        <f t="shared" si="13"/>
        <v>468.49807884128523</v>
      </c>
      <c r="CX49" s="59">
        <f t="shared" si="14"/>
        <v>720.84835224001085</v>
      </c>
      <c r="CY49" s="59">
        <f ca="1">AVERAGE(OFFSET($CX$3,0,0,'Données projet'!$E$13+1,1))-AVERAGE(OFFSET($H$3,0,0,'Données projet'!$E$13+1,1))</f>
        <v>592.58528889137358</v>
      </c>
      <c r="CZ49" s="59">
        <f t="shared" si="42"/>
        <v>311.31528020403709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44.736946114355007</v>
      </c>
      <c r="DG49" s="21">
        <f>EXP(-LN(2)/25)*DG48+(1-EXP(-LN(2)/25))/(LN(2)/25)*Calculateur!DB49*Calculateur!DD49*VLOOKUP('Données projet'!$B$13,Paramètres!$A$1:$I$89,3,0)*0.475*44/12</f>
        <v>0</v>
      </c>
      <c r="DH49" s="21">
        <f>EXP(-LN(2)/2)*DH48+(1-EXP(-LN(2)/2))/(LN(2)/2)*DB49*DE49*VLOOKUP('Données projet'!$B$13,Paramètres!$A$1:$I$89,3,0)*0.475*44/12</f>
        <v>0</v>
      </c>
      <c r="DI49" s="22">
        <f t="shared" si="15"/>
        <v>44.736946114355007</v>
      </c>
      <c r="DJ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2">
        <f>'Scénario référence'!$B$16*5+'Scénario référence'!$B$17*0+'Scénario référence'!$B$18*5</f>
        <v>5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66">
        <f t="shared" si="1"/>
        <v>183.33333333333334</v>
      </c>
      <c r="I50" s="6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13.059999999999999</v>
      </c>
      <c r="N50" s="13">
        <f>IF('Données projet'!$A$36&gt;35,N49+M50-V49,IF(A50&lt;'Données projet'!$A$36,$K$205^A50,IF(A50='Données projet'!$A$36,'Données projet'!$B$36,N49+M50-V49)))</f>
        <v>239.83000000000007</v>
      </c>
      <c r="O50" s="13">
        <f>N50*VLOOKUP('Données projet'!$B$9,Paramètres!$A$1:$I$89,3,0)*VLOOKUP('Données projet'!$B$9,Paramètres!$A$1:$I$89,5,0)</f>
        <v>216.99818400000007</v>
      </c>
      <c r="P50" s="13">
        <f t="shared" si="33"/>
        <v>53.461935088977889</v>
      </c>
      <c r="Q50" s="20">
        <f t="shared" si="53"/>
        <v>471.05137407996989</v>
      </c>
      <c r="R50" s="59">
        <f t="shared" si="0"/>
        <v>724.11261194416534</v>
      </c>
      <c r="S50" s="59">
        <f ca="1">AVERAGE(OFFSET($R$3,0,0,'Données projet'!$E$9+1,1))-AVERAGE(OFFSET($H$3,0,0,'Données projet'!$E$9+1,1))</f>
        <v>567.42635821507474</v>
      </c>
      <c r="T50" s="59">
        <f t="shared" si="34"/>
        <v>299.04735309930152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41.702648352425008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0</v>
      </c>
      <c r="AC50" s="22">
        <f t="shared" si="3"/>
        <v>41.702648352425008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11</v>
      </c>
      <c r="AI50" s="13">
        <f>IF('Données projet'!$A$62&gt;35,AI49+AH50-AQ49,IF(A50&lt;'Données projet'!$A$62,$AF$205^A50,IF(A50='Données projet'!$A$62,'Données projet'!$B$62,AI49+AH50-AQ49)))</f>
        <v>184.00000000000003</v>
      </c>
      <c r="AJ50" s="13">
        <f>AI50*VLOOKUP('Données projet'!$B$10,Paramètres!$A$1:$I$89,3,0)*VLOOKUP('Données projet'!$B$10,Paramètres!$A$1:$I$89,5,0)</f>
        <v>157.87200000000004</v>
      </c>
      <c r="AK50" s="13">
        <f t="shared" si="35"/>
        <v>40.362165684361159</v>
      </c>
      <c r="AL50" s="20">
        <f t="shared" si="4"/>
        <v>345.25783856692902</v>
      </c>
      <c r="AM50" s="59">
        <f t="shared" si="5"/>
        <v>598.31907643112436</v>
      </c>
      <c r="AN50" s="59">
        <f ca="1">AVERAGE(OFFSET($AM$3,0,0,'Données projet'!$E$10+1,1))-AVERAGE(OFFSET($H$3,0,0,'Données projet'!$E$10+1,1))</f>
        <v>481.23392184981651</v>
      </c>
      <c r="AO50" s="59">
        <f t="shared" si="36"/>
        <v>275.88160405468193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36.880927926363285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36.880927926363285</v>
      </c>
      <c r="AY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10.375</v>
      </c>
      <c r="BD50" s="12">
        <f>IF('Données projet'!$A$88&gt;35,BD49+BC50-BL49,IF(A50&lt;'Données projet'!$A$88,$BA$205^A50,IF(A50='Données projet'!$A$88,'Données projet'!$B$88,BD49+BC50-BL49)))</f>
        <v>218.12499999999991</v>
      </c>
      <c r="BE50" s="13">
        <f>BD50*VLOOKUP('Données projet'!$B$11,Paramètres!$A$1:$I$89,3,0)*VLOOKUP('Données projet'!$B$11,Paramètres!$A$1:$I$89,5,0)</f>
        <v>170.13749999999993</v>
      </c>
      <c r="BF50" s="13">
        <f t="shared" si="37"/>
        <v>43.120817562072375</v>
      </c>
      <c r="BG50" s="20">
        <f t="shared" si="7"/>
        <v>371.42490308727588</v>
      </c>
      <c r="BH50" s="59">
        <f t="shared" si="8"/>
        <v>624.48614095147127</v>
      </c>
      <c r="BI50" s="59">
        <f ca="1">AVERAGE(OFFSET($BH$3,0,0,'Données projet'!$E$11+1,1))-AVERAGE(OFFSET($H$3,0,0,'Données projet'!$E$11+1,1))</f>
        <v>308.85018589589453</v>
      </c>
      <c r="BJ50" s="59">
        <f t="shared" si="38"/>
        <v>302.59481222418219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35.696388230028241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35.696388230028241</v>
      </c>
      <c r="BT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13.059999999999999</v>
      </c>
      <c r="BY50" s="12">
        <f>IF('Données projet'!$A$114&gt;35,BY49+BX50-CG49,IF(A50&lt;'Données projet'!$A$114,$BV$205^A50,IF(A50='Données projet'!$A$114,'Données projet'!$B$114,BY49+BX50-CG49)))</f>
        <v>239.83000000000007</v>
      </c>
      <c r="BZ50" s="13">
        <f>BY50*VLOOKUP('Données projet'!$B$12,Paramètres!$A$1:$I$89,3,0)*VLOOKUP('Données projet'!$B$12,Paramètres!$A$1:$I$89,5,0)</f>
        <v>231.96357600000007</v>
      </c>
      <c r="CA50" s="13">
        <f t="shared" si="39"/>
        <v>56.707042281300261</v>
      </c>
      <c r="CB50" s="20">
        <f t="shared" si="10"/>
        <v>502.76799350659803</v>
      </c>
      <c r="CC50" s="59">
        <f t="shared" si="11"/>
        <v>755.82923137079342</v>
      </c>
      <c r="CD50" s="59">
        <f ca="1">AVERAGE(OFFSET($CC$3,0,0,'Données projet'!$E$12+1,1))-AVERAGE(OFFSET($H$3,0,0,'Données projet'!$E$12+1,1))</f>
        <v>600.96600099724276</v>
      </c>
      <c r="CE50" s="59">
        <f t="shared" si="40"/>
        <v>315.40159260706264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44.578693066385362</v>
      </c>
      <c r="CL50" s="21">
        <f>EXP(-LN(2)/25)*CL49+(1-EXP(-LN(2)/25))/(LN(2)/25)*Calculateur!CG50*Calculateur!CI50*VLOOKUP('Données projet'!$B$12,Paramètres!$A$1:$I$89,3,0)*0.475*44/12</f>
        <v>0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44.578693066385362</v>
      </c>
      <c r="CO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13.059999999999999</v>
      </c>
      <c r="CT50" s="12">
        <f>IF('Données projet'!$A$140&gt;35,CT49+CS50-DB49,IF(A50&lt;'Données projet'!$A$140,$CQ$205^A50,IF(A50='Données projet'!$A$140,'Données projet'!$B$140,CT49+CS50-DB49)))</f>
        <v>239.83000000000007</v>
      </c>
      <c r="CU50" s="17">
        <f>CT50*VLOOKUP('Données projet'!$B$13,Paramètres!$A$1:$I$89,3,0)*VLOOKUP('Données projet'!$B$13,Paramètres!$A$1:$I$89,5,0)</f>
        <v>228.22222800000006</v>
      </c>
      <c r="CV50" s="13">
        <f t="shared" si="41"/>
        <v>55.898112239120678</v>
      </c>
      <c r="CW50" s="20">
        <f t="shared" si="13"/>
        <v>494.84292591646863</v>
      </c>
      <c r="CX50" s="59">
        <f t="shared" si="14"/>
        <v>747.90416378066402</v>
      </c>
      <c r="CY50" s="59">
        <f ca="1">AVERAGE(OFFSET($CX$3,0,0,'Données projet'!$E$13+1,1))-AVERAGE(OFFSET($H$3,0,0,'Données projet'!$E$13+1,1))</f>
        <v>592.58528889137358</v>
      </c>
      <c r="CZ50" s="59">
        <f t="shared" si="42"/>
        <v>311.31528020403709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43.859681887895285</v>
      </c>
      <c r="DG50" s="21">
        <f>EXP(-LN(2)/25)*DG49+(1-EXP(-LN(2)/25))/(LN(2)/25)*Calculateur!DB50*Calculateur!DD50*VLOOKUP('Données projet'!$B$13,Paramètres!$A$1:$I$89,3,0)*0.475*44/12</f>
        <v>0</v>
      </c>
      <c r="DH50" s="21">
        <f>EXP(-LN(2)/2)*DH49+(1-EXP(-LN(2)/2))/(LN(2)/2)*DB50*DE50*VLOOKUP('Données projet'!$B$13,Paramètres!$A$1:$I$89,3,0)*0.475*44/12</f>
        <v>0</v>
      </c>
      <c r="DI50" s="22">
        <f t="shared" si="15"/>
        <v>43.859681887895285</v>
      </c>
      <c r="DJ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2">
        <f>'Scénario référence'!$B$16*5+'Scénario référence'!$B$17*0+'Scénario référence'!$B$18*5</f>
        <v>5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66">
        <f t="shared" si="1"/>
        <v>183.33333333333334</v>
      </c>
      <c r="I51" s="6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>
        <f>VLOOKUP(A51,'Données projet'!$A$35:$I$55,2,0)</f>
        <v>252.89</v>
      </c>
      <c r="L51" s="12">
        <f>VLOOKUP(A51,'Données projet'!$A$35:$I$55,9,0)</f>
        <v>13.059999999999999</v>
      </c>
      <c r="M51" s="12">
        <f t="array" ref="M51">INDEX(L:L,MIN(IF(ISNUMBER(L51:L247),ROW(L51:L247),"")))</f>
        <v>13.059999999999999</v>
      </c>
      <c r="N51" s="13">
        <f>IF('Données projet'!$A$36&gt;35,N50+M51-V50,IF(A51&lt;'Données projet'!$A$36,$K$205^A51,IF(A51='Données projet'!$A$36,'Données projet'!$B$36,N50+M51-V50)))</f>
        <v>252.89000000000007</v>
      </c>
      <c r="O51" s="13">
        <f>N51*VLOOKUP('Données projet'!$B$9,Paramètres!$A$1:$I$89,3,0)*VLOOKUP('Données projet'!$B$9,Paramètres!$A$1:$I$89,5,0)</f>
        <v>228.81487200000004</v>
      </c>
      <c r="P51" s="13">
        <f t="shared" si="33"/>
        <v>56.026352154237983</v>
      </c>
      <c r="Q51" s="20">
        <f t="shared" si="53"/>
        <v>496.09846540196457</v>
      </c>
      <c r="R51" s="59">
        <f t="shared" si="0"/>
        <v>749.85833408763233</v>
      </c>
      <c r="S51" s="59">
        <f ca="1">AVERAGE(OFFSET($R$3,0,0,'Données projet'!$E$9+1,1))-AVERAGE(OFFSET($H$3,0,0,'Données projet'!$E$9+1,1))</f>
        <v>567.42635821507474</v>
      </c>
      <c r="T51" s="59">
        <f t="shared" si="34"/>
        <v>299.04735309930152</v>
      </c>
      <c r="U51" s="15">
        <f>IF(ISNA(VLOOKUP(A51,'Données projet'!$A$35:$I$55,3,0)),0,VLOOKUP(A51,'Données projet'!$A$35:$I$55,3,0))</f>
        <v>3</v>
      </c>
      <c r="V51" s="15">
        <f>IF(ISNA(VLOOKUP(A51,'Données projet'!$A$35:$I$55,4,0)),0,VLOOKUP(A51,'Données projet'!$A$35:$I$55,4,0))</f>
        <v>61.12</v>
      </c>
      <c r="W51" s="16">
        <f>IF(ISNA(VLOOKUP(A51,'Données projet'!$A$35:$I$55,5,0)),0%,VLOOKUP(A51,'Données projet'!$A$35:$I$55,5,0)*VLOOKUP('Données projet'!$B$9,Paramètres!$A$1:$I$89,7,0))</f>
        <v>0.43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67.172519093966031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0</v>
      </c>
      <c r="AC51" s="22">
        <f t="shared" si="3"/>
        <v>67.172519093966031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11</v>
      </c>
      <c r="AI51" s="13">
        <f>IF('Données projet'!$A$62&gt;35,AI50+AH51-AQ50,IF(A51&lt;'Données projet'!$A$62,$AF$205^A51,IF(A51='Données projet'!$A$62,'Données projet'!$B$62,AI50+AH51-AQ50)))</f>
        <v>195.00000000000003</v>
      </c>
      <c r="AJ51" s="13">
        <f>AI51*VLOOKUP('Données projet'!$B$10,Paramètres!$A$1:$I$89,3,0)*VLOOKUP('Données projet'!$B$10,Paramètres!$A$1:$I$89,5,0)</f>
        <v>167.31000000000006</v>
      </c>
      <c r="AK51" s="13">
        <f t="shared" si="35"/>
        <v>42.486994942347515</v>
      </c>
      <c r="AL51" s="20">
        <f t="shared" si="4"/>
        <v>365.39643285792204</v>
      </c>
      <c r="AM51" s="59">
        <f t="shared" si="5"/>
        <v>619.15630154358973</v>
      </c>
      <c r="AN51" s="59">
        <f ca="1">AVERAGE(OFFSET($AM$3,0,0,'Données projet'!$E$10+1,1))-AVERAGE(OFFSET($H$3,0,0,'Données projet'!$E$10+1,1))</f>
        <v>481.23392184981651</v>
      </c>
      <c r="AO51" s="59">
        <f t="shared" si="36"/>
        <v>275.88160405468193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36.157715424872123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36.157715424872123</v>
      </c>
      <c r="AY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10.375</v>
      </c>
      <c r="BD51" s="12">
        <f>IF('Données projet'!$A$88&gt;35,BD50+BC51-BL50,IF(A51&lt;'Données projet'!$A$88,$BA$205^A51,IF(A51='Données projet'!$A$88,'Données projet'!$B$88,BD50+BC51-BL50)))</f>
        <v>228.49999999999991</v>
      </c>
      <c r="BE51" s="13">
        <f>BD51*VLOOKUP('Données projet'!$B$11,Paramètres!$A$1:$I$89,3,0)*VLOOKUP('Données projet'!$B$11,Paramètres!$A$1:$I$89,5,0)</f>
        <v>178.22999999999993</v>
      </c>
      <c r="BF51" s="13">
        <f t="shared" si="37"/>
        <v>44.928167580487852</v>
      </c>
      <c r="BG51" s="20">
        <f t="shared" si="7"/>
        <v>388.66714186934951</v>
      </c>
      <c r="BH51" s="59">
        <f t="shared" si="8"/>
        <v>642.4270105550172</v>
      </c>
      <c r="BI51" s="59">
        <f ca="1">AVERAGE(OFFSET($BH$3,0,0,'Données projet'!$E$11+1,1))-AVERAGE(OFFSET($H$3,0,0,'Données projet'!$E$11+1,1))</f>
        <v>308.85018589589453</v>
      </c>
      <c r="BJ51" s="59">
        <f t="shared" si="38"/>
        <v>302.59481222418219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34.996403829484336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34.996403829484336</v>
      </c>
      <c r="BT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>
        <f>VLOOKUP(A51,'Données projet'!$A$113:$I$133,2,0)</f>
        <v>252.89</v>
      </c>
      <c r="BW51" s="12">
        <f>VLOOKUP(A51,'Données projet'!$A$113:$I$133,9,0)</f>
        <v>13.059999999999999</v>
      </c>
      <c r="BX51" s="12">
        <f t="array" ref="BX51">INDEX(BW:BW,MIN(IF(ISNUMBER(BW51:BW247),ROW(BW51:BW247),"")))</f>
        <v>13.059999999999999</v>
      </c>
      <c r="BY51" s="12">
        <f>IF('Données projet'!$A$114&gt;35,BY50+BX51-CG50,IF(A51&lt;'Données projet'!$A$114,$BV$205^A51,IF(A51='Données projet'!$A$114,'Données projet'!$B$114,BY50+BX51-CG50)))</f>
        <v>252.89000000000007</v>
      </c>
      <c r="BZ51" s="13">
        <f>BY51*VLOOKUP('Données projet'!$B$12,Paramètres!$A$1:$I$89,3,0)*VLOOKUP('Données projet'!$B$12,Paramètres!$A$1:$I$89,5,0)</f>
        <v>244.5952080000001</v>
      </c>
      <c r="CA51" s="13">
        <f t="shared" si="39"/>
        <v>59.42711791463767</v>
      </c>
      <c r="CB51" s="20">
        <f t="shared" si="10"/>
        <v>529.50555096799405</v>
      </c>
      <c r="CC51" s="59">
        <f t="shared" si="11"/>
        <v>783.26541965366175</v>
      </c>
      <c r="CD51" s="59">
        <f ca="1">AVERAGE(OFFSET($CC$3,0,0,'Données projet'!$E$12+1,1))-AVERAGE(OFFSET($H$3,0,0,'Données projet'!$E$12+1,1))</f>
        <v>600.96600099724276</v>
      </c>
      <c r="CE51" s="59">
        <f t="shared" si="40"/>
        <v>315.40159260706264</v>
      </c>
      <c r="CF51" s="15">
        <f>IF(ISNA(VLOOKUP(A51,'Données projet'!$A$113:$I$133,3,0)),0,VLOOKUP(A51,'Données projet'!$A$113:$I$133,3,0))</f>
        <v>3</v>
      </c>
      <c r="CG51" s="15">
        <f>IF(ISNA(VLOOKUP(A51,'Données projet'!$A$113:$I$133,4,0)),0,VLOOKUP(A51,'Données projet'!$A$113:$I$133,4,0))</f>
        <v>61.12</v>
      </c>
      <c r="CH51" s="16">
        <f>IF(ISNA(VLOOKUP(A51,'Données projet'!$A$113:$I$133,5,0)),0%,VLOOKUP(A51,'Données projet'!$A$113:$I$133,5,0)*VLOOKUP('Données projet'!$B$12,Paramètres!$A$1:$I$89,7,0))</f>
        <v>0.43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71.805106617687841</v>
      </c>
      <c r="CL51" s="21">
        <f>EXP(-LN(2)/25)*CL50+(1-EXP(-LN(2)/25))/(LN(2)/25)*Calculateur!CG51*Calculateur!CI51*VLOOKUP('Données projet'!$B$12,Paramètres!$A$1:$I$89,3,0)*0.475*44/12</f>
        <v>0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71.805106617687841</v>
      </c>
      <c r="CO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>
        <f>VLOOKUP(A51,'Données projet'!$A$139:$I$159,2,0)</f>
        <v>252.89</v>
      </c>
      <c r="CR51" s="12">
        <f>VLOOKUP(A51,'Données projet'!$A$139:$I$159,9,0)</f>
        <v>13.059999999999999</v>
      </c>
      <c r="CS51" s="12">
        <f t="array" ref="CS51">INDEX(CR:CR,MIN(IF(ISNUMBER(CR51:CR247),ROW(CR51:CR247),"")))</f>
        <v>13.059999999999999</v>
      </c>
      <c r="CT51" s="12">
        <f>IF('Données projet'!$A$140&gt;35,CT50+CS51-DB50,IF(A51&lt;'Données projet'!$A$140,$CQ$205^A51,IF(A51='Données projet'!$A$140,'Données projet'!$B$140,CT50+CS51-DB50)))</f>
        <v>252.89000000000007</v>
      </c>
      <c r="CU51" s="17">
        <f>CT51*VLOOKUP('Données projet'!$B$13,Paramètres!$A$1:$I$89,3,0)*VLOOKUP('Données projet'!$B$13,Paramètres!$A$1:$I$89,5,0)</f>
        <v>240.65012400000006</v>
      </c>
      <c r="CV51" s="13">
        <f t="shared" si="41"/>
        <v>58.579385797648833</v>
      </c>
      <c r="CW51" s="20">
        <f t="shared" si="13"/>
        <v>521.15806289757188</v>
      </c>
      <c r="CX51" s="59">
        <f t="shared" si="14"/>
        <v>774.91793158323958</v>
      </c>
      <c r="CY51" s="59">
        <f ca="1">AVERAGE(OFFSET($CX$3,0,0,'Données projet'!$E$13+1,1))-AVERAGE(OFFSET($H$3,0,0,'Données projet'!$E$13+1,1))</f>
        <v>592.58528889137358</v>
      </c>
      <c r="CZ51" s="59">
        <f t="shared" si="42"/>
        <v>311.31528020403709</v>
      </c>
      <c r="DA51" s="15">
        <f>IF(ISNA(VLOOKUP(A51,'Données projet'!$A$139:$I$159,3,0)),0,VLOOKUP(A51,'Données projet'!$A$139:$I$159,3,0))</f>
        <v>3</v>
      </c>
      <c r="DB51" s="15">
        <f>IF(ISNA(VLOOKUP(A51,'Données projet'!$A$139:$I$159,4,0)),0,VLOOKUP(A51,'Données projet'!$A$139:$I$159,4,0))</f>
        <v>61.12</v>
      </c>
      <c r="DC51" s="16">
        <f>IF(ISNA(VLOOKUP(A51,'Données projet'!$A$139:$I$159,5,0)),0%,VLOOKUP(A51,'Données projet'!$A$139:$I$159,5,0)*VLOOKUP('Données projet'!$B$13,Paramètres!$A$1:$I$89,7,0))</f>
        <v>0.43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70.646959736757395</v>
      </c>
      <c r="DG51" s="21">
        <f>EXP(-LN(2)/25)*DG50+(1-EXP(-LN(2)/25))/(LN(2)/25)*Calculateur!DB51*Calculateur!DD51*VLOOKUP('Données projet'!$B$13,Paramètres!$A$1:$I$89,3,0)*0.475*44/12</f>
        <v>0</v>
      </c>
      <c r="DH51" s="21">
        <f>EXP(-LN(2)/2)*DH50+(1-EXP(-LN(2)/2))/(LN(2)/2)*DB51*DE51*VLOOKUP('Données projet'!$B$13,Paramètres!$A$1:$I$89,3,0)*0.475*44/12</f>
        <v>0</v>
      </c>
      <c r="DI51" s="22">
        <f t="shared" si="15"/>
        <v>70.646959736757395</v>
      </c>
      <c r="DJ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2">
        <f>'Scénario référence'!$B$16*5+'Scénario référence'!$B$17*0+'Scénario référence'!$B$18*5</f>
        <v>5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66">
        <f t="shared" si="1"/>
        <v>183.33333333333334</v>
      </c>
      <c r="I52" s="6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12.271428571428576</v>
      </c>
      <c r="N52" s="13">
        <f>IF('Données projet'!$A$36&gt;35,N51+M52-V51,IF(A52&lt;'Données projet'!$A$36,$K$205^A52,IF(A52='Données projet'!$A$36,'Données projet'!$B$36,N51+M52-V51)))</f>
        <v>204.04142857142864</v>
      </c>
      <c r="O52" s="13">
        <f>N52*VLOOKUP('Données projet'!$B$9,Paramètres!$A$1:$I$89,3,0)*VLOOKUP('Données projet'!$B$9,Paramètres!$A$1:$I$89,5,0)</f>
        <v>184.61668457142864</v>
      </c>
      <c r="P52" s="13">
        <f t="shared" si="33"/>
        <v>46.347794643176734</v>
      </c>
      <c r="Q52" s="20">
        <f t="shared" si="53"/>
        <v>402.26313463210437</v>
      </c>
      <c r="R52" s="59">
        <f t="shared" si="0"/>
        <v>656.70951445639639</v>
      </c>
      <c r="S52" s="59">
        <f ca="1">AVERAGE(OFFSET($R$3,0,0,'Données projet'!$E$9+1,1))-AVERAGE(OFFSET($H$3,0,0,'Données projet'!$E$9+1,1))</f>
        <v>567.42635821507474</v>
      </c>
      <c r="T52" s="59">
        <f t="shared" si="34"/>
        <v>299.04735309930152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65.855306965724438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0</v>
      </c>
      <c r="AC52" s="22">
        <f t="shared" si="3"/>
        <v>65.855306965724438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11</v>
      </c>
      <c r="AI52" s="13">
        <f>IF('Données projet'!$A$62&gt;35,AI51+AH52-AQ51,IF(A52&lt;'Données projet'!$A$62,$AF$205^A52,IF(A52='Données projet'!$A$62,'Données projet'!$B$62,AI51+AH52-AQ51)))</f>
        <v>206.00000000000003</v>
      </c>
      <c r="AJ52" s="13">
        <f>AI52*VLOOKUP('Données projet'!$B$10,Paramètres!$A$1:$I$89,3,0)*VLOOKUP('Données projet'!$B$10,Paramètres!$A$1:$I$89,5,0)</f>
        <v>176.74800000000005</v>
      </c>
      <c r="AK52" s="13">
        <f t="shared" si="35"/>
        <v>44.597910160550732</v>
      </c>
      <c r="AL52" s="20">
        <f t="shared" si="4"/>
        <v>385.51079352962591</v>
      </c>
      <c r="AM52" s="59">
        <f t="shared" si="5"/>
        <v>639.95717335391782</v>
      </c>
      <c r="AN52" s="59">
        <f ca="1">AVERAGE(OFFSET($AM$3,0,0,'Données projet'!$E$10+1,1))-AVERAGE(OFFSET($H$3,0,0,'Données projet'!$E$10+1,1))</f>
        <v>481.23392184981651</v>
      </c>
      <c r="AO52" s="59">
        <f t="shared" si="36"/>
        <v>275.88160405468193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35.448684679419138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35.448684679419138</v>
      </c>
      <c r="AY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10.375</v>
      </c>
      <c r="BD52" s="12">
        <f>IF('Données projet'!$A$88&gt;35,BD51+BC52-BL51,IF(A52&lt;'Données projet'!$A$88,$BA$205^A52,IF(A52='Données projet'!$A$88,'Données projet'!$B$88,BD51+BC52-BL51)))</f>
        <v>238.87499999999991</v>
      </c>
      <c r="BE52" s="13">
        <f>BD52*VLOOKUP('Données projet'!$B$11,Paramètres!$A$1:$I$89,3,0)*VLOOKUP('Données projet'!$B$11,Paramètres!$A$1:$I$89,5,0)</f>
        <v>186.32249999999993</v>
      </c>
      <c r="BF52" s="13">
        <f t="shared" si="37"/>
        <v>46.725987276254116</v>
      </c>
      <c r="BG52" s="20">
        <f t="shared" si="7"/>
        <v>405.8927820061424</v>
      </c>
      <c r="BH52" s="59">
        <f t="shared" si="8"/>
        <v>660.33916183043436</v>
      </c>
      <c r="BI52" s="59">
        <f ca="1">AVERAGE(OFFSET($BH$3,0,0,'Données projet'!$E$11+1,1))-AVERAGE(OFFSET($H$3,0,0,'Données projet'!$E$11+1,1))</f>
        <v>308.85018589589453</v>
      </c>
      <c r="BJ52" s="59">
        <f t="shared" si="38"/>
        <v>302.59481222418219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34.310145696086771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34.310145696086771</v>
      </c>
      <c r="BT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12.271428571428576</v>
      </c>
      <c r="BY52" s="12">
        <f>IF('Données projet'!$A$114&gt;35,BY51+BX52-CG51,IF(A52&lt;'Données projet'!$A$114,$BV$205^A52,IF(A52='Données projet'!$A$114,'Données projet'!$B$114,BY51+BX52-CG51)))</f>
        <v>204.04142857142864</v>
      </c>
      <c r="BZ52" s="13">
        <f>BY52*VLOOKUP('Données projet'!$B$12,Paramètres!$A$1:$I$89,3,0)*VLOOKUP('Données projet'!$B$12,Paramètres!$A$1:$I$89,5,0)</f>
        <v>197.3488697142858</v>
      </c>
      <c r="CA52" s="13">
        <f t="shared" si="39"/>
        <v>49.161077804261964</v>
      </c>
      <c r="CB52" s="20">
        <f t="shared" si="10"/>
        <v>429.33815859480404</v>
      </c>
      <c r="CC52" s="59">
        <f t="shared" si="11"/>
        <v>683.78453841909595</v>
      </c>
      <c r="CD52" s="59">
        <f ca="1">AVERAGE(OFFSET($CC$3,0,0,'Données projet'!$E$12+1,1))-AVERAGE(OFFSET($H$3,0,0,'Données projet'!$E$12+1,1))</f>
        <v>600.96600099724276</v>
      </c>
      <c r="CE52" s="59">
        <f t="shared" si="40"/>
        <v>315.40159260706264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70.397052273705441</v>
      </c>
      <c r="CL52" s="21">
        <f>EXP(-LN(2)/25)*CL51+(1-EXP(-LN(2)/25))/(LN(2)/25)*Calculateur!CG52*Calculateur!CI52*VLOOKUP('Données projet'!$B$12,Paramètres!$A$1:$I$89,3,0)*0.475*44/12</f>
        <v>0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70.397052273705441</v>
      </c>
      <c r="CO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12.271428571428576</v>
      </c>
      <c r="CT52" s="12">
        <f>IF('Données projet'!$A$140&gt;35,CT51+CS52-DB51,IF(A52&lt;'Données projet'!$A$140,$CQ$205^A52,IF(A52='Données projet'!$A$140,'Données projet'!$B$140,CT51+CS52-DB51)))</f>
        <v>204.04142857142864</v>
      </c>
      <c r="CU52" s="17">
        <f>CT52*VLOOKUP('Données projet'!$B$13,Paramètres!$A$1:$I$89,3,0)*VLOOKUP('Données projet'!$B$13,Paramètres!$A$1:$I$89,5,0)</f>
        <v>194.16582342857149</v>
      </c>
      <c r="CV52" s="13">
        <f t="shared" si="41"/>
        <v>48.459791488807113</v>
      </c>
      <c r="CW52" s="20">
        <f t="shared" si="13"/>
        <v>422.57294598110099</v>
      </c>
      <c r="CX52" s="59">
        <f t="shared" si="14"/>
        <v>677.01932580539301</v>
      </c>
      <c r="CY52" s="59">
        <f ca="1">AVERAGE(OFFSET($CX$3,0,0,'Données projet'!$E$13+1,1))-AVERAGE(OFFSET($H$3,0,0,'Données projet'!$E$13+1,1))</f>
        <v>592.58528889137358</v>
      </c>
      <c r="CZ52" s="59">
        <f t="shared" si="42"/>
        <v>311.31528020403709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69.261615946710194</v>
      </c>
      <c r="DG52" s="21">
        <f>EXP(-LN(2)/25)*DG51+(1-EXP(-LN(2)/25))/(LN(2)/25)*Calculateur!DB52*Calculateur!DD52*VLOOKUP('Données projet'!$B$13,Paramètres!$A$1:$I$89,3,0)*0.475*44/12</f>
        <v>0</v>
      </c>
      <c r="DH52" s="21">
        <f>EXP(-LN(2)/2)*DH51+(1-EXP(-LN(2)/2))/(LN(2)/2)*DB52*DE52*VLOOKUP('Données projet'!$B$13,Paramètres!$A$1:$I$89,3,0)*0.475*44/12</f>
        <v>0</v>
      </c>
      <c r="DI52" s="22">
        <f t="shared" si="15"/>
        <v>69.261615946710194</v>
      </c>
      <c r="DJ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2">
        <f>'Scénario référence'!$B$16*5+'Scénario référence'!$B$17*0+'Scénario référence'!$B$18*5</f>
        <v>5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66">
        <f t="shared" si="1"/>
        <v>183.33333333333334</v>
      </c>
      <c r="I53" s="6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12.271428571428576</v>
      </c>
      <c r="N53" s="13">
        <f>IF('Données projet'!$A$36&gt;35,N52+M53-V52,IF(A53&lt;'Données projet'!$A$36,$K$205^A53,IF(A53='Données projet'!$A$36,'Données projet'!$B$36,N52+M53-V52)))</f>
        <v>216.31285714285721</v>
      </c>
      <c r="O53" s="13">
        <f>N53*VLOOKUP('Données projet'!$B$9,Paramètres!$A$1:$I$89,3,0)*VLOOKUP('Données projet'!$B$9,Paramètres!$A$1:$I$89,5,0)</f>
        <v>195.71987314285718</v>
      </c>
      <c r="P53" s="13">
        <f t="shared" si="33"/>
        <v>48.802344365335458</v>
      </c>
      <c r="Q53" s="20">
        <f t="shared" si="53"/>
        <v>425.87619549343549</v>
      </c>
      <c r="R53" s="59">
        <f t="shared" si="0"/>
        <v>680.99717702290559</v>
      </c>
      <c r="S53" s="59">
        <f ca="1">AVERAGE(OFFSET($R$3,0,0,'Données projet'!$E$9+1,1))-AVERAGE(OFFSET($H$3,0,0,'Données projet'!$E$9+1,1))</f>
        <v>567.42635821507474</v>
      </c>
      <c r="T53" s="59">
        <f t="shared" si="34"/>
        <v>299.04735309930152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64.563924563897586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0</v>
      </c>
      <c r="AC53" s="22">
        <f t="shared" si="3"/>
        <v>64.563924563897586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217</v>
      </c>
      <c r="AG53" s="12">
        <f>VLOOKUP(A53,'Données projet'!$A$61:$I$81,9,0)</f>
        <v>11</v>
      </c>
      <c r="AH53" s="12">
        <f t="array" ref="AH53">INDEX(AG:AG,MIN(IF(ISNUMBER(AG53:AG249),ROW(AG53:AG249),"")))</f>
        <v>11</v>
      </c>
      <c r="AI53" s="13">
        <f>IF('Données projet'!$A$62&gt;35,AI52+AH53-AQ52,IF(A53&lt;'Données projet'!$A$62,$AF$205^A53,IF(A53='Données projet'!$A$62,'Données projet'!$B$62,AI52+AH53-AQ52)))</f>
        <v>217.00000000000003</v>
      </c>
      <c r="AJ53" s="13">
        <f>AI53*VLOOKUP('Données projet'!$B$10,Paramètres!$A$1:$I$89,3,0)*VLOOKUP('Données projet'!$B$10,Paramètres!$A$1:$I$89,5,0)</f>
        <v>186.18600000000004</v>
      </c>
      <c r="AK53" s="13">
        <f t="shared" si="35"/>
        <v>46.69573903947046</v>
      </c>
      <c r="AL53" s="20">
        <f t="shared" si="4"/>
        <v>405.60236216041108</v>
      </c>
      <c r="AM53" s="59">
        <f t="shared" si="5"/>
        <v>660.72334368988118</v>
      </c>
      <c r="AN53" s="59">
        <f ca="1">AVERAGE(OFFSET($AM$3,0,0,'Données projet'!$E$10+1,1))-AVERAGE(OFFSET($H$3,0,0,'Données projet'!$E$10+1,1))</f>
        <v>481.23392184981651</v>
      </c>
      <c r="AO53" s="59">
        <f t="shared" si="36"/>
        <v>275.88160405468193</v>
      </c>
      <c r="AP53" s="15">
        <f>IF(ISNA(VLOOKUP(A53,'Données projet'!$A$61:$I$81,3,0)),0,VLOOKUP(A53,'Données projet'!$A$61:$I$81,3,0))</f>
        <v>6</v>
      </c>
      <c r="AQ53" s="15">
        <f>IF(ISNA(VLOOKUP(A53,'Données projet'!$A$61:$I$81,4,0)),0,VLOOKUP(A53,'Données projet'!$A$61:$I$81,4,0))</f>
        <v>28</v>
      </c>
      <c r="AR53" s="16">
        <f>IF(ISNA(VLOOKUP(A53,'Données projet'!$A$61:$I$81,5,0)),0%,VLOOKUP(A53,'Données projet'!$A$61:$I$81,5,0)*VLOOKUP('Données projet'!$B$10,Paramètres!$A$1:$I$89,7,0))</f>
        <v>0.53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48.829202405305217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48.829202405305217</v>
      </c>
      <c r="AY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10.375</v>
      </c>
      <c r="BD53" s="12">
        <f>IF('Données projet'!$A$88&gt;35,BD52+BC53-BL52,IF(A53&lt;'Données projet'!$A$88,$BA$205^A53,IF(A53='Données projet'!$A$88,'Données projet'!$B$88,BD52+BC53-BL52)))</f>
        <v>249.24999999999991</v>
      </c>
      <c r="BE53" s="13">
        <f>BD53*VLOOKUP('Données projet'!$B$11,Paramètres!$A$1:$I$89,3,0)*VLOOKUP('Données projet'!$B$11,Paramètres!$A$1:$I$89,5,0)</f>
        <v>194.41499999999994</v>
      </c>
      <c r="BF53" s="13">
        <f t="shared" si="37"/>
        <v>48.514737888684927</v>
      </c>
      <c r="BG53" s="20">
        <f t="shared" si="7"/>
        <v>423.10262682279273</v>
      </c>
      <c r="BH53" s="59">
        <f t="shared" si="8"/>
        <v>678.22360835226277</v>
      </c>
      <c r="BI53" s="59">
        <f ca="1">AVERAGE(OFFSET($BH$3,0,0,'Données projet'!$E$11+1,1))-AVERAGE(OFFSET($H$3,0,0,'Données projet'!$E$11+1,1))</f>
        <v>308.85018589589453</v>
      </c>
      <c r="BJ53" s="59">
        <f t="shared" si="38"/>
        <v>302.59481222418219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33.637344666109001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33.637344666109001</v>
      </c>
      <c r="BT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12.271428571428576</v>
      </c>
      <c r="BY53" s="12">
        <f>IF('Données projet'!$A$114&gt;35,BY52+BX53-CG52,IF(A53&lt;'Données projet'!$A$114,$BV$205^A53,IF(A53='Données projet'!$A$114,'Données projet'!$B$114,BY52+BX53-CG52)))</f>
        <v>216.31285714285721</v>
      </c>
      <c r="BZ53" s="13">
        <f>BY53*VLOOKUP('Données projet'!$B$12,Paramètres!$A$1:$I$89,3,0)*VLOOKUP('Données projet'!$B$12,Paramètres!$A$1:$I$89,5,0)</f>
        <v>209.21779542857149</v>
      </c>
      <c r="CA53" s="13">
        <f t="shared" si="39"/>
        <v>51.764617213083469</v>
      </c>
      <c r="CB53" s="20">
        <f t="shared" si="10"/>
        <v>454.54436868421567</v>
      </c>
      <c r="CC53" s="59">
        <f t="shared" si="11"/>
        <v>709.66535021368577</v>
      </c>
      <c r="CD53" s="59">
        <f ca="1">AVERAGE(OFFSET($CC$3,0,0,'Données projet'!$E$12+1,1))-AVERAGE(OFFSET($H$3,0,0,'Données projet'!$E$12+1,1))</f>
        <v>600.96600099724276</v>
      </c>
      <c r="CE53" s="59">
        <f t="shared" si="40"/>
        <v>315.40159260706264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69.01660901658019</v>
      </c>
      <c r="CL53" s="21">
        <f>EXP(-LN(2)/25)*CL52+(1-EXP(-LN(2)/25))/(LN(2)/25)*Calculateur!CG53*Calculateur!CI53*VLOOKUP('Données projet'!$B$12,Paramètres!$A$1:$I$89,3,0)*0.475*44/12</f>
        <v>0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69.01660901658019</v>
      </c>
      <c r="CO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12.271428571428576</v>
      </c>
      <c r="CT53" s="12">
        <f>IF('Données projet'!$A$140&gt;35,CT52+CS53-DB52,IF(A53&lt;'Données projet'!$A$140,$CQ$205^A53,IF(A53='Données projet'!$A$140,'Données projet'!$B$140,CT52+CS53-DB52)))</f>
        <v>216.31285714285721</v>
      </c>
      <c r="CU53" s="17">
        <f>CT53*VLOOKUP('Données projet'!$B$13,Paramètres!$A$1:$I$89,3,0)*VLOOKUP('Données projet'!$B$13,Paramètres!$A$1:$I$89,5,0)</f>
        <v>205.84331485714293</v>
      </c>
      <c r="CV53" s="13">
        <f t="shared" si="41"/>
        <v>51.026191220455026</v>
      </c>
      <c r="CW53" s="20">
        <f t="shared" si="13"/>
        <v>447.38105641848318</v>
      </c>
      <c r="CX53" s="59">
        <f t="shared" si="14"/>
        <v>702.50203794795334</v>
      </c>
      <c r="CY53" s="59">
        <f ca="1">AVERAGE(OFFSET($CX$3,0,0,'Données projet'!$E$13+1,1))-AVERAGE(OFFSET($H$3,0,0,'Données projet'!$E$13+1,1))</f>
        <v>592.58528889137358</v>
      </c>
      <c r="CZ53" s="59">
        <f t="shared" si="42"/>
        <v>311.31528020403709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67.903437903409539</v>
      </c>
      <c r="DG53" s="21">
        <f>EXP(-LN(2)/25)*DG52+(1-EXP(-LN(2)/25))/(LN(2)/25)*Calculateur!DB53*Calculateur!DD53*VLOOKUP('Données projet'!$B$13,Paramètres!$A$1:$I$89,3,0)*0.475*44/12</f>
        <v>0</v>
      </c>
      <c r="DH53" s="21">
        <f>EXP(-LN(2)/2)*DH52+(1-EXP(-LN(2)/2))/(LN(2)/2)*DB53*DE53*VLOOKUP('Données projet'!$B$13,Paramètres!$A$1:$I$89,3,0)*0.475*44/12</f>
        <v>0</v>
      </c>
      <c r="DI53" s="22">
        <f t="shared" si="15"/>
        <v>67.903437903409539</v>
      </c>
      <c r="DJ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2">
        <f>'Scénario référence'!$B$16*5+'Scénario référence'!$B$17*0+'Scénario référence'!$B$18*5</f>
        <v>5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66">
        <f t="shared" si="1"/>
        <v>183.33333333333334</v>
      </c>
      <c r="I54" s="6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12.271428571428576</v>
      </c>
      <c r="N54" s="13">
        <f>IF('Données projet'!$A$36&gt;35,N53+M54-V53,IF(A54&lt;'Données projet'!$A$36,$K$205^A54,IF(A54='Données projet'!$A$36,'Données projet'!$B$36,N53+M54-V53)))</f>
        <v>228.58428571428578</v>
      </c>
      <c r="O54" s="13">
        <f>N54*VLOOKUP('Données projet'!$B$9,Paramètres!$A$1:$I$89,3,0)*VLOOKUP('Données projet'!$B$9,Paramètres!$A$1:$I$89,5,0)</f>
        <v>206.82306171428579</v>
      </c>
      <c r="P54" s="13">
        <f t="shared" si="33"/>
        <v>51.240730027878335</v>
      </c>
      <c r="Q54" s="20">
        <f t="shared" si="53"/>
        <v>449.46110395093586</v>
      </c>
      <c r="R54" s="59">
        <f t="shared" si="0"/>
        <v>705.24498435418263</v>
      </c>
      <c r="S54" s="59">
        <f ca="1">AVERAGE(OFFSET($R$3,0,0,'Données projet'!$E$9+1,1))-AVERAGE(OFFSET($H$3,0,0,'Données projet'!$E$9+1,1))</f>
        <v>567.42635821507474</v>
      </c>
      <c r="T54" s="59">
        <f t="shared" si="34"/>
        <v>299.04735309930152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63.297865383305073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0</v>
      </c>
      <c r="AC54" s="22">
        <f t="shared" si="3"/>
        <v>63.297865383305073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11</v>
      </c>
      <c r="AI54" s="13">
        <f>IF('Données projet'!$A$62&gt;35,AI53+AH54-AQ53,IF(A54&lt;'Données projet'!$A$62,$AF$205^A54,IF(A54='Données projet'!$A$62,'Données projet'!$B$62,AI53+AH54-AQ53)))</f>
        <v>200.00000000000003</v>
      </c>
      <c r="AJ54" s="13">
        <f>AI54*VLOOKUP('Données projet'!$B$10,Paramètres!$A$1:$I$89,3,0)*VLOOKUP('Données projet'!$B$10,Paramètres!$A$1:$I$89,5,0)</f>
        <v>171.60000000000005</v>
      </c>
      <c r="AK54" s="13">
        <f t="shared" si="35"/>
        <v>43.44817475464852</v>
      </c>
      <c r="AL54" s="20">
        <f t="shared" si="4"/>
        <v>374.54223769767958</v>
      </c>
      <c r="AM54" s="59">
        <f t="shared" si="5"/>
        <v>630.32611810092635</v>
      </c>
      <c r="AN54" s="59">
        <f ca="1">AVERAGE(OFFSET($AM$3,0,0,'Données projet'!$E$10+1,1))-AVERAGE(OFFSET($H$3,0,0,'Données projet'!$E$10+1,1))</f>
        <v>481.23392184981651</v>
      </c>
      <c r="AO54" s="59">
        <f t="shared" si="36"/>
        <v>275.88160405468193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47.871691529009837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47.871691529009837</v>
      </c>
      <c r="AY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10.375</v>
      </c>
      <c r="BD54" s="12">
        <f>IF('Données projet'!$A$88&gt;35,BD53+BC54-BL53,IF(A54&lt;'Données projet'!$A$88,$BA$205^A54,IF(A54='Données projet'!$A$88,'Données projet'!$B$88,BD53+BC54-BL53)))</f>
        <v>259.62499999999989</v>
      </c>
      <c r="BE54" s="13">
        <f>BD54*VLOOKUP('Données projet'!$B$11,Paramètres!$A$1:$I$89,3,0)*VLOOKUP('Données projet'!$B$11,Paramètres!$A$1:$I$89,5,0)</f>
        <v>202.50749999999991</v>
      </c>
      <c r="BF54" s="13">
        <f t="shared" si="37"/>
        <v>50.294840086606349</v>
      </c>
      <c r="BG54" s="20">
        <f t="shared" si="7"/>
        <v>440.29740898417253</v>
      </c>
      <c r="BH54" s="59">
        <f t="shared" si="8"/>
        <v>696.08128938741936</v>
      </c>
      <c r="BI54" s="59">
        <f ca="1">AVERAGE(OFFSET($BH$3,0,0,'Données projet'!$E$11+1,1))-AVERAGE(OFFSET($H$3,0,0,'Données projet'!$E$11+1,1))</f>
        <v>308.85018589589453</v>
      </c>
      <c r="BJ54" s="59">
        <f t="shared" si="38"/>
        <v>302.59481222418219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32.977736853960991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32.977736853960991</v>
      </c>
      <c r="BT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12.271428571428576</v>
      </c>
      <c r="BY54" s="12">
        <f>IF('Données projet'!$A$114&gt;35,BY53+BX54-CG53,IF(A54&lt;'Données projet'!$A$114,$BV$205^A54,IF(A54='Données projet'!$A$114,'Données projet'!$B$114,BY53+BX54-CG53)))</f>
        <v>228.58428571428578</v>
      </c>
      <c r="BZ54" s="13">
        <f>BY54*VLOOKUP('Données projet'!$B$12,Paramètres!$A$1:$I$89,3,0)*VLOOKUP('Données projet'!$B$12,Paramètres!$A$1:$I$89,5,0)</f>
        <v>221.08672114285721</v>
      </c>
      <c r="CA54" s="13">
        <f t="shared" si="39"/>
        <v>54.35101141362631</v>
      </c>
      <c r="CB54" s="20">
        <f t="shared" si="10"/>
        <v>479.72071753587551</v>
      </c>
      <c r="CC54" s="59">
        <f t="shared" si="11"/>
        <v>735.50459793912228</v>
      </c>
      <c r="CD54" s="59">
        <f ca="1">AVERAGE(OFFSET($CC$3,0,0,'Données projet'!$E$12+1,1))-AVERAGE(OFFSET($H$3,0,0,'Données projet'!$E$12+1,1))</f>
        <v>600.96600099724276</v>
      </c>
      <c r="CE54" s="59">
        <f t="shared" si="40"/>
        <v>315.40159260706264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67.663235409739926</v>
      </c>
      <c r="CL54" s="21">
        <f>EXP(-LN(2)/25)*CL53+(1-EXP(-LN(2)/25))/(LN(2)/25)*Calculateur!CG54*Calculateur!CI54*VLOOKUP('Données projet'!$B$12,Paramètres!$A$1:$I$89,3,0)*0.475*44/12</f>
        <v>0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67.663235409739926</v>
      </c>
      <c r="CO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12.271428571428576</v>
      </c>
      <c r="CT54" s="12">
        <f>IF('Données projet'!$A$140&gt;35,CT53+CS54-DB53,IF(A54&lt;'Données projet'!$A$140,$CQ$205^A54,IF(A54='Données projet'!$A$140,'Données projet'!$B$140,CT53+CS54-DB53)))</f>
        <v>228.58428571428578</v>
      </c>
      <c r="CU54" s="17">
        <f>CT54*VLOOKUP('Données projet'!$B$13,Paramètres!$A$1:$I$89,3,0)*VLOOKUP('Données projet'!$B$13,Paramètres!$A$1:$I$89,5,0)</f>
        <v>217.52080628571437</v>
      </c>
      <c r="CV54" s="13">
        <f t="shared" si="41"/>
        <v>53.575690321455255</v>
      </c>
      <c r="CW54" s="20">
        <f t="shared" si="13"/>
        <v>472.15973159082046</v>
      </c>
      <c r="CX54" s="59">
        <f t="shared" si="14"/>
        <v>727.94361199406728</v>
      </c>
      <c r="CY54" s="59">
        <f ca="1">AVERAGE(OFFSET($CX$3,0,0,'Données projet'!$E$13+1,1))-AVERAGE(OFFSET($H$3,0,0,'Données projet'!$E$13+1,1))</f>
        <v>592.58528889137358</v>
      </c>
      <c r="CZ54" s="59">
        <f t="shared" si="42"/>
        <v>311.31528020403709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66.571892903131214</v>
      </c>
      <c r="DG54" s="21">
        <f>EXP(-LN(2)/25)*DG53+(1-EXP(-LN(2)/25))/(LN(2)/25)*Calculateur!DB54*Calculateur!DD54*VLOOKUP('Données projet'!$B$13,Paramètres!$A$1:$I$89,3,0)*0.475*44/12</f>
        <v>0</v>
      </c>
      <c r="DH54" s="21">
        <f>EXP(-LN(2)/2)*DH53+(1-EXP(-LN(2)/2))/(LN(2)/2)*DB54*DE54*VLOOKUP('Données projet'!$B$13,Paramètres!$A$1:$I$89,3,0)*0.475*44/12</f>
        <v>0</v>
      </c>
      <c r="DI54" s="22">
        <f t="shared" si="15"/>
        <v>66.571892903131214</v>
      </c>
      <c r="DJ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2">
        <f>'Scénario référence'!$B$16*5+'Scénario référence'!$B$17*0+'Scénario référence'!$B$18*5</f>
        <v>5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66">
        <f t="shared" si="1"/>
        <v>183.33333333333334</v>
      </c>
      <c r="I55" s="6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12.271428571428576</v>
      </c>
      <c r="N55" s="13">
        <f>IF('Données projet'!$A$36&gt;35,N54+M55-V54,IF(A55&lt;'Données projet'!$A$36,$K$205^A55,IF(A55='Données projet'!$A$36,'Données projet'!$B$36,N54+M55-V54)))</f>
        <v>240.85571428571436</v>
      </c>
      <c r="O55" s="13">
        <f>N55*VLOOKUP('Données projet'!$B$9,Paramètres!$A$1:$I$89,3,0)*VLOOKUP('Données projet'!$B$9,Paramètres!$A$1:$I$89,5,0)</f>
        <v>217.92625028571436</v>
      </c>
      <c r="P55" s="13">
        <f t="shared" si="33"/>
        <v>53.663918329427027</v>
      </c>
      <c r="Q55" s="20">
        <f t="shared" si="53"/>
        <v>473.01954367137131</v>
      </c>
      <c r="R55" s="59">
        <f t="shared" si="0"/>
        <v>729.45482313495472</v>
      </c>
      <c r="S55" s="59">
        <f ca="1">AVERAGE(OFFSET($R$3,0,0,'Données projet'!$E$9+1,1))-AVERAGE(OFFSET($H$3,0,0,'Données projet'!$E$9+1,1))</f>
        <v>567.42635821507474</v>
      </c>
      <c r="T55" s="59">
        <f t="shared" si="34"/>
        <v>299.04735309930152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62.056632851024133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0</v>
      </c>
      <c r="AC55" s="22">
        <f t="shared" si="3"/>
        <v>62.056632851024133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11</v>
      </c>
      <c r="AI55" s="13">
        <f>IF('Données projet'!$A$62&gt;35,AI54+AH55-AQ54,IF(A55&lt;'Données projet'!$A$62,$AF$205^A55,IF(A55='Données projet'!$A$62,'Données projet'!$B$62,AI54+AH55-AQ54)))</f>
        <v>211.00000000000003</v>
      </c>
      <c r="AJ55" s="13">
        <f>AI55*VLOOKUP('Données projet'!$B$10,Paramètres!$A$1:$I$89,3,0)*VLOOKUP('Données projet'!$B$10,Paramètres!$A$1:$I$89,5,0)</f>
        <v>181.03800000000004</v>
      </c>
      <c r="AK55" s="13">
        <f t="shared" si="35"/>
        <v>45.553044701671382</v>
      </c>
      <c r="AL55" s="20">
        <f t="shared" si="4"/>
        <v>394.64606952207765</v>
      </c>
      <c r="AM55" s="59">
        <f t="shared" si="5"/>
        <v>651.08134898566095</v>
      </c>
      <c r="AN55" s="59">
        <f ca="1">AVERAGE(OFFSET($AM$3,0,0,'Données projet'!$E$10+1,1))-AVERAGE(OFFSET($H$3,0,0,'Données projet'!$E$10+1,1))</f>
        <v>481.23392184981651</v>
      </c>
      <c r="AO55" s="59">
        <f t="shared" si="36"/>
        <v>275.88160405468193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46.932956856974641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46.932956856974641</v>
      </c>
      <c r="AY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>
        <f>VLOOKUP(A55,'Données projet'!$A$87:$I$107,2,0)</f>
        <v>270</v>
      </c>
      <c r="BB55" s="12">
        <f>VLOOKUP(A55,'Données projet'!$A$87:$I$107,9,0)</f>
        <v>10.375</v>
      </c>
      <c r="BC55" s="12">
        <f t="array" ref="BC55">INDEX(BB:BB,MIN(IF(ISNUMBER(BB55:BB251),ROW(BB55:BB251),"")))</f>
        <v>10.375</v>
      </c>
      <c r="BD55" s="12">
        <f>IF('Données projet'!$A$88&gt;35,BD54+BC55-BL54,IF(A55&lt;'Données projet'!$A$88,$BA$205^A55,IF(A55='Données projet'!$A$88,'Données projet'!$B$88,BD54+BC55-BL54)))</f>
        <v>269.99999999999989</v>
      </c>
      <c r="BE55" s="13">
        <f>BD55*VLOOKUP('Données projet'!$B$11,Paramètres!$A$1:$I$89,3,0)*VLOOKUP('Données projet'!$B$11,Paramètres!$A$1:$I$89,5,0)</f>
        <v>210.59999999999991</v>
      </c>
      <c r="BF55" s="13">
        <f t="shared" si="37"/>
        <v>52.066679014659961</v>
      </c>
      <c r="BG55" s="20">
        <f t="shared" si="7"/>
        <v>457.47779928386586</v>
      </c>
      <c r="BH55" s="59">
        <f t="shared" si="8"/>
        <v>713.91307874744916</v>
      </c>
      <c r="BI55" s="59">
        <f ca="1">AVERAGE(OFFSET($BH$3,0,0,'Données projet'!$E$11+1,1))-AVERAGE(OFFSET($H$3,0,0,'Données projet'!$E$11+1,1))</f>
        <v>308.85018589589453</v>
      </c>
      <c r="BJ55" s="59">
        <f t="shared" si="38"/>
        <v>302.59481222418219</v>
      </c>
      <c r="BK55" s="15">
        <f>IF(ISNA(VLOOKUP(A55,'Données projet'!$A$87:$I$107,3,0)),0,VLOOKUP(A55,'Données projet'!$A$87:$I$107,3,0))</f>
        <v>7</v>
      </c>
      <c r="BL55" s="15">
        <f>IF(ISNA(VLOOKUP(A55,'Données projet'!$A$87:$I$107,4,0)),0,VLOOKUP(A55,'Données projet'!$A$87:$I$107,4,0))</f>
        <v>48</v>
      </c>
      <c r="BM55" s="16">
        <f>IF(ISNA(VLOOKUP(A55,'Données projet'!$A$87:$I$107,5,0)),0%,VLOOKUP(A55,'Données projet'!$A$87:$I$107,5,0)*VLOOKUP('Données projet'!$B$11,Paramètres!$A$1:$I$89,7,0))</f>
        <v>0.43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50.128252282865034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50.128252282865034</v>
      </c>
      <c r="BT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12.271428571428576</v>
      </c>
      <c r="BY55" s="12">
        <f>IF('Données projet'!$A$114&gt;35,BY54+BX55-CG54,IF(A55&lt;'Données projet'!$A$114,$BV$205^A55,IF(A55='Données projet'!$A$114,'Données projet'!$B$114,BY54+BX55-CG54)))</f>
        <v>240.85571428571436</v>
      </c>
      <c r="BZ55" s="13">
        <f>BY55*VLOOKUP('Données projet'!$B$12,Paramètres!$A$1:$I$89,3,0)*VLOOKUP('Données projet'!$B$12,Paramètres!$A$1:$I$89,5,0)</f>
        <v>232.95564685714291</v>
      </c>
      <c r="CA55" s="13">
        <f t="shared" si="39"/>
        <v>56.921285782535257</v>
      </c>
      <c r="CB55" s="20">
        <f t="shared" si="10"/>
        <v>504.86899101410614</v>
      </c>
      <c r="CC55" s="59">
        <f t="shared" si="11"/>
        <v>761.30427047768944</v>
      </c>
      <c r="CD55" s="59">
        <f ca="1">AVERAGE(OFFSET($CC$3,0,0,'Données projet'!$E$12+1,1))-AVERAGE(OFFSET($H$3,0,0,'Données projet'!$E$12+1,1))</f>
        <v>600.96600099724276</v>
      </c>
      <c r="CE55" s="59">
        <f t="shared" si="40"/>
        <v>315.40159260706264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66.336400633853401</v>
      </c>
      <c r="CL55" s="21">
        <f>EXP(-LN(2)/25)*CL54+(1-EXP(-LN(2)/25))/(LN(2)/25)*Calculateur!CG55*Calculateur!CI55*VLOOKUP('Données projet'!$B$12,Paramètres!$A$1:$I$89,3,0)*0.475*44/12</f>
        <v>0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66.336400633853401</v>
      </c>
      <c r="CO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12.271428571428576</v>
      </c>
      <c r="CT55" s="12">
        <f>IF('Données projet'!$A$140&gt;35,CT54+CS55-DB54,IF(A55&lt;'Données projet'!$A$140,$CQ$205^A55,IF(A55='Données projet'!$A$140,'Données projet'!$B$140,CT54+CS55-DB54)))</f>
        <v>240.85571428571436</v>
      </c>
      <c r="CU55" s="17">
        <f>CT55*VLOOKUP('Données projet'!$B$13,Paramètres!$A$1:$I$89,3,0)*VLOOKUP('Données projet'!$B$13,Paramètres!$A$1:$I$89,5,0)</f>
        <v>229.19829771428581</v>
      </c>
      <c r="CV55" s="13">
        <f t="shared" si="41"/>
        <v>56.1092995413808</v>
      </c>
      <c r="CW55" s="20">
        <f t="shared" si="13"/>
        <v>496.91073188695265</v>
      </c>
      <c r="CX55" s="59">
        <f t="shared" si="14"/>
        <v>753.34601135053595</v>
      </c>
      <c r="CY55" s="59">
        <f ca="1">AVERAGE(OFFSET($CX$3,0,0,'Données projet'!$E$13+1,1))-AVERAGE(OFFSET($H$3,0,0,'Données projet'!$E$13+1,1))</f>
        <v>592.58528889137358</v>
      </c>
      <c r="CZ55" s="59">
        <f t="shared" si="42"/>
        <v>311.31528020403709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65.266458688146088</v>
      </c>
      <c r="DG55" s="21">
        <f>EXP(-LN(2)/25)*DG54+(1-EXP(-LN(2)/25))/(LN(2)/25)*Calculateur!DB55*Calculateur!DD55*VLOOKUP('Données projet'!$B$13,Paramètres!$A$1:$I$89,3,0)*0.475*44/12</f>
        <v>0</v>
      </c>
      <c r="DH55" s="21">
        <f>EXP(-LN(2)/2)*DH54+(1-EXP(-LN(2)/2))/(LN(2)/2)*DB55*DE55*VLOOKUP('Données projet'!$B$13,Paramètres!$A$1:$I$89,3,0)*0.475*44/12</f>
        <v>0</v>
      </c>
      <c r="DI55" s="22">
        <f t="shared" si="15"/>
        <v>65.266458688146088</v>
      </c>
      <c r="DJ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2">
        <f>'Scénario référence'!$B$16*5+'Scénario référence'!$B$17*0+'Scénario référence'!$B$18*5</f>
        <v>5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66">
        <f t="shared" si="1"/>
        <v>183.33333333333334</v>
      </c>
      <c r="I56" s="6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12.271428571428576</v>
      </c>
      <c r="N56" s="13">
        <f>IF('Données projet'!$A$36&gt;35,N55+M56-V55,IF(A56&lt;'Données projet'!$A$36,$K$205^A56,IF(A56='Données projet'!$A$36,'Données projet'!$B$36,N55+M56-V55)))</f>
        <v>253.12714285714293</v>
      </c>
      <c r="O56" s="13">
        <f>N56*VLOOKUP('Données projet'!$B$9,Paramètres!$A$1:$I$89,3,0)*VLOOKUP('Données projet'!$B$9,Paramètres!$A$1:$I$89,5,0)</f>
        <v>229.02943885714294</v>
      </c>
      <c r="P56" s="13">
        <f t="shared" si="33"/>
        <v>56.072771899312158</v>
      </c>
      <c r="Q56" s="20">
        <f t="shared" si="53"/>
        <v>496.55301706749259</v>
      </c>
      <c r="R56" s="59">
        <f t="shared" si="0"/>
        <v>753.62839527402582</v>
      </c>
      <c r="S56" s="59">
        <f ca="1">AVERAGE(OFFSET($R$3,0,0,'Données projet'!$E$9+1,1))-AVERAGE(OFFSET($H$3,0,0,'Données projet'!$E$9+1,1))</f>
        <v>567.42635821507474</v>
      </c>
      <c r="T56" s="59">
        <f t="shared" si="34"/>
        <v>299.04735309930152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60.839740131624133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0</v>
      </c>
      <c r="AC56" s="22">
        <f t="shared" si="3"/>
        <v>60.839740131624133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11</v>
      </c>
      <c r="AI56" s="13">
        <f>IF('Données projet'!$A$62&gt;35,AI55+AH56-AQ55,IF(A56&lt;'Données projet'!$A$62,$AF$205^A56,IF(A56='Données projet'!$A$62,'Données projet'!$B$62,AI55+AH56-AQ55)))</f>
        <v>222.00000000000003</v>
      </c>
      <c r="AJ56" s="13">
        <f>AI56*VLOOKUP('Données projet'!$B$10,Paramètres!$A$1:$I$89,3,0)*VLOOKUP('Données projet'!$B$10,Paramètres!$A$1:$I$89,5,0)</f>
        <v>190.47600000000006</v>
      </c>
      <c r="AK56" s="13">
        <f t="shared" si="35"/>
        <v>47.645174362968355</v>
      </c>
      <c r="AL56" s="20">
        <f t="shared" si="4"/>
        <v>414.7277120155033</v>
      </c>
      <c r="AM56" s="59">
        <f t="shared" si="5"/>
        <v>671.80309022203653</v>
      </c>
      <c r="AN56" s="59">
        <f ca="1">AVERAGE(OFFSET($AM$3,0,0,'Données projet'!$E$10+1,1))-AVERAGE(OFFSET($H$3,0,0,'Données projet'!$E$10+1,1))</f>
        <v>481.23392184981651</v>
      </c>
      <c r="AO56" s="59">
        <f t="shared" si="36"/>
        <v>275.88160405468193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46.012630199286441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46.012630199286441</v>
      </c>
      <c r="AY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9.375</v>
      </c>
      <c r="BD56" s="12">
        <f>IF('Données projet'!$A$88&gt;35,BD55+BC56-BL55,IF(A56&lt;'Données projet'!$A$88,$BA$205^A56,IF(A56='Données projet'!$A$88,'Données projet'!$B$88,BD55+BC56-BL55)))</f>
        <v>231.37499999999989</v>
      </c>
      <c r="BE56" s="13">
        <f>BD56*VLOOKUP('Données projet'!$B$11,Paramètres!$A$1:$I$89,3,0)*VLOOKUP('Données projet'!$B$11,Paramètres!$A$1:$I$89,5,0)</f>
        <v>180.47249999999991</v>
      </c>
      <c r="BF56" s="13">
        <f t="shared" si="37"/>
        <v>45.427292666837829</v>
      </c>
      <c r="BG56" s="20">
        <f t="shared" si="7"/>
        <v>393.44213889474241</v>
      </c>
      <c r="BH56" s="59">
        <f t="shared" si="8"/>
        <v>650.51751710127564</v>
      </c>
      <c r="BI56" s="59">
        <f ca="1">AVERAGE(OFFSET($BH$3,0,0,'Données projet'!$E$11+1,1))-AVERAGE(OFFSET($H$3,0,0,'Données projet'!$E$11+1,1))</f>
        <v>308.85018589589453</v>
      </c>
      <c r="BJ56" s="59">
        <f t="shared" si="38"/>
        <v>302.59481222418219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49.145267830812891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49.145267830812891</v>
      </c>
      <c r="BT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12.271428571428576</v>
      </c>
      <c r="BY56" s="12">
        <f>IF('Données projet'!$A$114&gt;35,BY55+BX56-CG55,IF(A56&lt;'Données projet'!$A$114,$BV$205^A56,IF(A56='Données projet'!$A$114,'Données projet'!$B$114,BY55+BX56-CG55)))</f>
        <v>253.12714285714293</v>
      </c>
      <c r="BZ56" s="13">
        <f>BY56*VLOOKUP('Données projet'!$B$12,Paramètres!$A$1:$I$89,3,0)*VLOOKUP('Données projet'!$B$12,Paramètres!$A$1:$I$89,5,0)</f>
        <v>244.82457257142866</v>
      </c>
      <c r="CA56" s="13">
        <f t="shared" si="39"/>
        <v>59.476355310220612</v>
      </c>
      <c r="CB56" s="20">
        <f t="shared" si="10"/>
        <v>529.99078272720578</v>
      </c>
      <c r="CC56" s="59">
        <f t="shared" si="11"/>
        <v>787.06616093373896</v>
      </c>
      <c r="CD56" s="59">
        <f ca="1">AVERAGE(OFFSET($CC$3,0,0,'Données projet'!$E$12+1,1))-AVERAGE(OFFSET($H$3,0,0,'Données projet'!$E$12+1,1))</f>
        <v>600.96600099724276</v>
      </c>
      <c r="CE56" s="59">
        <f t="shared" si="40"/>
        <v>315.40159260706264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65.035584278632712</v>
      </c>
      <c r="CL56" s="21">
        <f>EXP(-LN(2)/25)*CL55+(1-EXP(-LN(2)/25))/(LN(2)/25)*Calculateur!CG56*Calculateur!CI56*VLOOKUP('Données projet'!$B$12,Paramètres!$A$1:$I$89,3,0)*0.475*44/12</f>
        <v>0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65.035584278632712</v>
      </c>
      <c r="CO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12.271428571428576</v>
      </c>
      <c r="CT56" s="12">
        <f>IF('Données projet'!$A$140&gt;35,CT55+CS56-DB55,IF(A56&lt;'Données projet'!$A$140,$CQ$205^A56,IF(A56='Données projet'!$A$140,'Données projet'!$B$140,CT55+CS56-DB55)))</f>
        <v>253.12714285714293</v>
      </c>
      <c r="CU56" s="17">
        <f>CT56*VLOOKUP('Données projet'!$B$13,Paramètres!$A$1:$I$89,3,0)*VLOOKUP('Données projet'!$B$13,Paramètres!$A$1:$I$89,5,0)</f>
        <v>240.8757891428572</v>
      </c>
      <c r="CV56" s="13">
        <f t="shared" si="41"/>
        <v>58.627920818237712</v>
      </c>
      <c r="CW56" s="20">
        <f t="shared" si="13"/>
        <v>521.63562818224023</v>
      </c>
      <c r="CX56" s="59">
        <f t="shared" si="14"/>
        <v>778.71100638877351</v>
      </c>
      <c r="CY56" s="59">
        <f ca="1">AVERAGE(OFFSET($CX$3,0,0,'Données projet'!$E$13+1,1))-AVERAGE(OFFSET($H$3,0,0,'Données projet'!$E$13+1,1))</f>
        <v>592.58528889137358</v>
      </c>
      <c r="CZ56" s="59">
        <f t="shared" si="42"/>
        <v>311.31528020403709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63.986623241880572</v>
      </c>
      <c r="DG56" s="21">
        <f>EXP(-LN(2)/25)*DG55+(1-EXP(-LN(2)/25))/(LN(2)/25)*Calculateur!DB56*Calculateur!DD56*VLOOKUP('Données projet'!$B$13,Paramètres!$A$1:$I$89,3,0)*0.475*44/12</f>
        <v>0</v>
      </c>
      <c r="DH56" s="21">
        <f>EXP(-LN(2)/2)*DH55+(1-EXP(-LN(2)/2))/(LN(2)/2)*DB56*DE56*VLOOKUP('Données projet'!$B$13,Paramètres!$A$1:$I$89,3,0)*0.475*44/12</f>
        <v>0</v>
      </c>
      <c r="DI56" s="22">
        <f t="shared" si="15"/>
        <v>63.986623241880572</v>
      </c>
      <c r="DJ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2">
        <f>'Scénario référence'!$B$16*5+'Scénario référence'!$B$17*0+'Scénario référence'!$B$18*5</f>
        <v>5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66">
        <f t="shared" si="1"/>
        <v>183.33333333333334</v>
      </c>
      <c r="I57" s="6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12.271428571428576</v>
      </c>
      <c r="N57" s="13">
        <f>IF('Données projet'!$A$36&gt;35,N56+M57-V56,IF(A57&lt;'Données projet'!$A$36,$K$205^A57,IF(A57='Données projet'!$A$36,'Données projet'!$B$36,N56+M57-V56)))</f>
        <v>265.39857142857153</v>
      </c>
      <c r="O57" s="13">
        <f>N57*VLOOKUP('Données projet'!$B$9,Paramètres!$A$1:$I$89,3,0)*VLOOKUP('Données projet'!$B$9,Paramètres!$A$1:$I$89,5,0)</f>
        <v>240.13262742857151</v>
      </c>
      <c r="P57" s="13">
        <f t="shared" si="33"/>
        <v>58.468065001979483</v>
      </c>
      <c r="Q57" s="20">
        <f t="shared" si="53"/>
        <v>520.06287264987634</v>
      </c>
      <c r="R57" s="59">
        <f t="shared" si="0"/>
        <v>777.76724531721561</v>
      </c>
      <c r="S57" s="59">
        <f ca="1">AVERAGE(OFFSET($R$3,0,0,'Données projet'!$E$9+1,1))-AVERAGE(OFFSET($H$3,0,0,'Données projet'!$E$9+1,1))</f>
        <v>567.42635821507474</v>
      </c>
      <c r="T57" s="59">
        <f t="shared" si="34"/>
        <v>299.04735309930152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59.646709936220297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0</v>
      </c>
      <c r="AC57" s="22">
        <f t="shared" si="3"/>
        <v>59.646709936220297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11</v>
      </c>
      <c r="AI57" s="13">
        <f>IF('Données projet'!$A$62&gt;35,AI56+AH57-AQ56,IF(A57&lt;'Données projet'!$A$62,$AF$205^A57,IF(A57='Données projet'!$A$62,'Données projet'!$B$62,AI56+AH57-AQ56)))</f>
        <v>233.00000000000003</v>
      </c>
      <c r="AJ57" s="13">
        <f>AI57*VLOOKUP('Données projet'!$B$10,Paramètres!$A$1:$I$89,3,0)*VLOOKUP('Données projet'!$B$10,Paramètres!$A$1:$I$89,5,0)</f>
        <v>199.91400000000007</v>
      </c>
      <c r="AK57" s="13">
        <f t="shared" si="35"/>
        <v>49.725267055272241</v>
      </c>
      <c r="AL57" s="20">
        <f t="shared" si="4"/>
        <v>434.78839012126599</v>
      </c>
      <c r="AM57" s="59">
        <f t="shared" si="5"/>
        <v>692.49276278860532</v>
      </c>
      <c r="AN57" s="59">
        <f ca="1">AVERAGE(OFFSET($AM$3,0,0,'Données projet'!$E$10+1,1))-AVERAGE(OFFSET($H$3,0,0,'Données projet'!$E$10+1,1))</f>
        <v>481.23392184981651</v>
      </c>
      <c r="AO57" s="59">
        <f t="shared" si="36"/>
        <v>275.88160405468193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45.110350586011677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45.110350586011677</v>
      </c>
      <c r="AY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9.375</v>
      </c>
      <c r="BD57" s="12">
        <f>IF('Données projet'!$A$88&gt;35,BD56+BC57-BL56,IF(A57&lt;'Données projet'!$A$88,$BA$205^A57,IF(A57='Données projet'!$A$88,'Données projet'!$B$88,BD56+BC57-BL56)))</f>
        <v>240.74999999999989</v>
      </c>
      <c r="BE57" s="13">
        <f>BD57*VLOOKUP('Données projet'!$B$11,Paramètres!$A$1:$I$89,3,0)*VLOOKUP('Données projet'!$B$11,Paramètres!$A$1:$I$89,5,0)</f>
        <v>187.78499999999991</v>
      </c>
      <c r="BF57" s="13">
        <f t="shared" si="37"/>
        <v>47.049914090154054</v>
      </c>
      <c r="BG57" s="20">
        <f t="shared" si="7"/>
        <v>409.0041420403515</v>
      </c>
      <c r="BH57" s="59">
        <f t="shared" si="8"/>
        <v>666.70851470769082</v>
      </c>
      <c r="BI57" s="59">
        <f ca="1">AVERAGE(OFFSET($BH$3,0,0,'Données projet'!$E$11+1,1))-AVERAGE(OFFSET($H$3,0,0,'Données projet'!$E$11+1,1))</f>
        <v>308.85018589589453</v>
      </c>
      <c r="BJ57" s="59">
        <f t="shared" si="38"/>
        <v>302.59481222418219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48.181559104304178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48.181559104304178</v>
      </c>
      <c r="BT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12.271428571428576</v>
      </c>
      <c r="BY57" s="12">
        <f>IF('Données projet'!$A$114&gt;35,BY56+BX57-CG56,IF(A57&lt;'Données projet'!$A$114,$BV$205^A57,IF(A57='Données projet'!$A$114,'Données projet'!$B$114,BY56+BX57-CG56)))</f>
        <v>265.39857142857153</v>
      </c>
      <c r="BZ57" s="13">
        <f>BY57*VLOOKUP('Données projet'!$B$12,Paramètres!$A$1:$I$89,3,0)*VLOOKUP('Données projet'!$B$12,Paramètres!$A$1:$I$89,5,0)</f>
        <v>256.69349828571438</v>
      </c>
      <c r="CA57" s="13">
        <f t="shared" si="39"/>
        <v>62.01704125851262</v>
      </c>
      <c r="CB57" s="20">
        <f t="shared" si="10"/>
        <v>555.08752303952872</v>
      </c>
      <c r="CC57" s="59">
        <f t="shared" si="11"/>
        <v>812.79189570686799</v>
      </c>
      <c r="CD57" s="59">
        <f ca="1">AVERAGE(OFFSET($CC$3,0,0,'Données projet'!$E$12+1,1))-AVERAGE(OFFSET($H$3,0,0,'Données projet'!$E$12+1,1))</f>
        <v>600.96600099724276</v>
      </c>
      <c r="CE57" s="59">
        <f t="shared" si="40"/>
        <v>315.40159260706264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63.760276138718268</v>
      </c>
      <c r="CL57" s="21">
        <f>EXP(-LN(2)/25)*CL56+(1-EXP(-LN(2)/25))/(LN(2)/25)*Calculateur!CG57*Calculateur!CI57*VLOOKUP('Données projet'!$B$12,Paramètres!$A$1:$I$89,3,0)*0.475*44/12</f>
        <v>0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63.760276138718268</v>
      </c>
      <c r="CO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12.271428571428576</v>
      </c>
      <c r="CT57" s="12">
        <f>IF('Données projet'!$A$140&gt;35,CT56+CS57-DB56,IF(A57&lt;'Données projet'!$A$140,$CQ$205^A57,IF(A57='Données projet'!$A$140,'Données projet'!$B$140,CT56+CS57-DB56)))</f>
        <v>265.39857142857153</v>
      </c>
      <c r="CU57" s="17">
        <f>CT57*VLOOKUP('Données projet'!$B$13,Paramètres!$A$1:$I$89,3,0)*VLOOKUP('Données projet'!$B$13,Paramètres!$A$1:$I$89,5,0)</f>
        <v>252.55328057142867</v>
      </c>
      <c r="CV57" s="13">
        <f t="shared" si="41"/>
        <v>61.132363698497379</v>
      </c>
      <c r="CW57" s="20">
        <f t="shared" si="13"/>
        <v>546.33583043678789</v>
      </c>
      <c r="CX57" s="59">
        <f t="shared" si="14"/>
        <v>804.04020310412716</v>
      </c>
      <c r="CY57" s="59">
        <f ca="1">AVERAGE(OFFSET($CX$3,0,0,'Données projet'!$E$13+1,1))-AVERAGE(OFFSET($H$3,0,0,'Données projet'!$E$13+1,1))</f>
        <v>592.58528889137358</v>
      </c>
      <c r="CZ57" s="59">
        <f t="shared" si="42"/>
        <v>311.31528020403709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62.731884588093777</v>
      </c>
      <c r="DG57" s="21">
        <f>EXP(-LN(2)/25)*DG56+(1-EXP(-LN(2)/25))/(LN(2)/25)*Calculateur!DB57*Calculateur!DD57*VLOOKUP('Données projet'!$B$13,Paramètres!$A$1:$I$89,3,0)*0.475*44/12</f>
        <v>0</v>
      </c>
      <c r="DH57" s="21">
        <f>EXP(-LN(2)/2)*DH56+(1-EXP(-LN(2)/2))/(LN(2)/2)*DB57*DE57*VLOOKUP('Données projet'!$B$13,Paramètres!$A$1:$I$89,3,0)*0.475*44/12</f>
        <v>0</v>
      </c>
      <c r="DI57" s="22">
        <f t="shared" si="15"/>
        <v>62.731884588093777</v>
      </c>
      <c r="DJ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2">
        <f>'Scénario référence'!$B$16*5+'Scénario référence'!$B$17*0+'Scénario référence'!$B$18*5</f>
        <v>5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66">
        <f t="shared" si="1"/>
        <v>183.33333333333334</v>
      </c>
      <c r="I58" s="6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>
        <f>VLOOKUP(A58,'Données projet'!$A$35:$I$55,2,0)</f>
        <v>277.67</v>
      </c>
      <c r="L58" s="12">
        <f>VLOOKUP(A58,'Données projet'!$A$35:$I$55,9,0)</f>
        <v>12.271428571428576</v>
      </c>
      <c r="M58" s="12">
        <f t="array" ref="M58">INDEX(L:L,MIN(IF(ISNUMBER(L58:L254),ROW(L58:L254),"")))</f>
        <v>12.271428571428576</v>
      </c>
      <c r="N58" s="13">
        <f>IF('Données projet'!$A$36&gt;35,N57+M58-V57,IF(A58&lt;'Données projet'!$A$36,$K$205^A58,IF(A58='Données projet'!$A$36,'Données projet'!$B$36,N57+M58-V57)))</f>
        <v>277.67000000000013</v>
      </c>
      <c r="O58" s="13">
        <f>N58*VLOOKUP('Données projet'!$B$9,Paramètres!$A$1:$I$89,3,0)*VLOOKUP('Données projet'!$B$9,Paramètres!$A$1:$I$89,5,0)</f>
        <v>251.23581600000009</v>
      </c>
      <c r="P58" s="13">
        <f t="shared" si="33"/>
        <v>60.850496254681879</v>
      </c>
      <c r="Q58" s="20">
        <f t="shared" si="53"/>
        <v>543.55032717690437</v>
      </c>
      <c r="R58" s="59">
        <f t="shared" si="0"/>
        <v>801.87278265737575</v>
      </c>
      <c r="S58" s="59">
        <f ca="1">AVERAGE(OFFSET($R$3,0,0,'Données projet'!$E$9+1,1))-AVERAGE(OFFSET($H$3,0,0,'Données projet'!$E$9+1,1))</f>
        <v>567.42635821507474</v>
      </c>
      <c r="T58" s="59">
        <f t="shared" si="34"/>
        <v>299.04735309930152</v>
      </c>
      <c r="U58" s="15">
        <f>IF(ISNA(VLOOKUP(A58,'Données projet'!$A$35:$I$55,3,0)),0,VLOOKUP(A58,'Données projet'!$A$35:$I$55,3,0))</f>
        <v>4</v>
      </c>
      <c r="V58" s="15">
        <f>IF(ISNA(VLOOKUP(A58,'Données projet'!$A$35:$I$55,4,0)),0,VLOOKUP(A58,'Données projet'!$A$35:$I$55,4,0))</f>
        <v>58.24</v>
      </c>
      <c r="W58" s="16">
        <f>IF(ISNA(VLOOKUP(A58,'Données projet'!$A$35:$I$55,5,0)),0%,VLOOKUP(A58,'Données projet'!$A$35:$I$55,5,0)*VLOOKUP('Données projet'!$B$9,Paramètres!$A$1:$I$89,7,0))</f>
        <v>0.43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83.526024239001245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0</v>
      </c>
      <c r="AC58" s="22">
        <f t="shared" si="3"/>
        <v>83.526024239001245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244</v>
      </c>
      <c r="AG58" s="12">
        <f>VLOOKUP(A58,'Données projet'!$A$61:$I$81,9,0)</f>
        <v>11</v>
      </c>
      <c r="AH58" s="12">
        <f t="array" ref="AH58">INDEX(AG:AG,MIN(IF(ISNUMBER(AG58:AG254),ROW(AG58:AG254),"")))</f>
        <v>11</v>
      </c>
      <c r="AI58" s="13">
        <f>IF('Données projet'!$A$62&gt;35,AI57+AH58-AQ57,IF(A58&lt;'Données projet'!$A$62,$AF$205^A58,IF(A58='Données projet'!$A$62,'Données projet'!$B$62,AI57+AH58-AQ57)))</f>
        <v>244.00000000000003</v>
      </c>
      <c r="AJ58" s="13">
        <f>AI58*VLOOKUP('Données projet'!$B$10,Paramètres!$A$1:$I$89,3,0)*VLOOKUP('Données projet'!$B$10,Paramètres!$A$1:$I$89,5,0)</f>
        <v>209.35200000000003</v>
      </c>
      <c r="AK58" s="13">
        <f t="shared" si="35"/>
        <v>51.79395593509436</v>
      </c>
      <c r="AL58" s="20">
        <f t="shared" si="4"/>
        <v>454.82920658695599</v>
      </c>
      <c r="AM58" s="59">
        <f t="shared" si="5"/>
        <v>713.15166206742742</v>
      </c>
      <c r="AN58" s="59">
        <f ca="1">AVERAGE(OFFSET($AM$3,0,0,'Données projet'!$E$10+1,1))-AVERAGE(OFFSET($H$3,0,0,'Données projet'!$E$10+1,1))</f>
        <v>481.23392184981651</v>
      </c>
      <c r="AO58" s="59">
        <f t="shared" si="36"/>
        <v>275.88160405468193</v>
      </c>
      <c r="AP58" s="15">
        <f>IF(ISNA(VLOOKUP(A58,'Données projet'!$A$61:$I$81,3,0)),0,VLOOKUP(A58,'Données projet'!$A$61:$I$81,3,0))</f>
        <v>7</v>
      </c>
      <c r="AQ58" s="15">
        <f>IF(ISNA(VLOOKUP(A58,'Données projet'!$A$61:$I$81,4,0)),0,VLOOKUP(A58,'Données projet'!$A$61:$I$81,4,0))</f>
        <v>28</v>
      </c>
      <c r="AR58" s="16">
        <f>IF(ISNA(VLOOKUP(A58,'Données projet'!$A$61:$I$81,5,0)),0%,VLOOKUP(A58,'Données projet'!$A$61:$I$81,5,0)*VLOOKUP('Données projet'!$B$10,Paramètres!$A$1:$I$89,7,0))</f>
        <v>0.53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58.30140893650379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58.30140893650379</v>
      </c>
      <c r="AY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9.375</v>
      </c>
      <c r="BD58" s="12">
        <f>IF('Données projet'!$A$88&gt;35,BD57+BC58-BL57,IF(A58&lt;'Données projet'!$A$88,$BA$205^A58,IF(A58='Données projet'!$A$88,'Données projet'!$B$88,BD57+BC58-BL57)))</f>
        <v>250.12499999999989</v>
      </c>
      <c r="BE58" s="13">
        <f>BD58*VLOOKUP('Données projet'!$B$11,Paramètres!$A$1:$I$89,3,0)*VLOOKUP('Données projet'!$B$11,Paramètres!$A$1:$I$89,5,0)</f>
        <v>195.09749999999991</v>
      </c>
      <c r="BF58" s="13">
        <f t="shared" si="37"/>
        <v>48.66519532492579</v>
      </c>
      <c r="BG58" s="20">
        <f t="shared" si="7"/>
        <v>424.55336102424553</v>
      </c>
      <c r="BH58" s="59">
        <f t="shared" si="8"/>
        <v>682.87581650471691</v>
      </c>
      <c r="BI58" s="59">
        <f ca="1">AVERAGE(OFFSET($BH$3,0,0,'Données projet'!$E$11+1,1))-AVERAGE(OFFSET($H$3,0,0,'Données projet'!$E$11+1,1))</f>
        <v>308.85018589589453</v>
      </c>
      <c r="BJ58" s="59">
        <f t="shared" si="38"/>
        <v>302.59481222418219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47.236748118118015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47.236748118118015</v>
      </c>
      <c r="BT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>
        <f>VLOOKUP(A58,'Données projet'!$A$113:$I$133,2,0)</f>
        <v>277.67</v>
      </c>
      <c r="BW58" s="12">
        <f>VLOOKUP(A58,'Données projet'!$A$113:$I$133,9,0)</f>
        <v>12.271428571428576</v>
      </c>
      <c r="BX58" s="12">
        <f t="array" ref="BX58">INDEX(BW:BW,MIN(IF(ISNUMBER(BW58:BW254),ROW(BW58:BW254),"")))</f>
        <v>12.271428571428576</v>
      </c>
      <c r="BY58" s="12">
        <f>IF('Données projet'!$A$114&gt;35,BY57+BX58-CG57,IF(A58&lt;'Données projet'!$A$114,$BV$205^A58,IF(A58='Données projet'!$A$114,'Données projet'!$B$114,BY57+BX58-CG57)))</f>
        <v>277.67000000000013</v>
      </c>
      <c r="BZ58" s="13">
        <f>BY58*VLOOKUP('Données projet'!$B$12,Paramètres!$A$1:$I$89,3,0)*VLOOKUP('Données projet'!$B$12,Paramètres!$A$1:$I$89,5,0)</f>
        <v>268.56242400000014</v>
      </c>
      <c r="CA58" s="13">
        <f t="shared" si="39"/>
        <v>64.544084650309699</v>
      </c>
      <c r="CB58" s="20">
        <f t="shared" si="10"/>
        <v>580.16050256595634</v>
      </c>
      <c r="CC58" s="59">
        <f t="shared" si="11"/>
        <v>838.48295804642771</v>
      </c>
      <c r="CD58" s="59">
        <f ca="1">AVERAGE(OFFSET($CC$3,0,0,'Données projet'!$E$12+1,1))-AVERAGE(OFFSET($H$3,0,0,'Données projet'!$E$12+1,1))</f>
        <v>600.96600099724276</v>
      </c>
      <c r="CE58" s="59">
        <f t="shared" si="40"/>
        <v>315.40159260706264</v>
      </c>
      <c r="CF58" s="15">
        <f>IF(ISNA(VLOOKUP(A58,'Données projet'!$A$113:$I$133,3,0)),0,VLOOKUP(A58,'Données projet'!$A$113:$I$133,3,0))</f>
        <v>4</v>
      </c>
      <c r="CG58" s="15">
        <f>IF(ISNA(VLOOKUP(A58,'Données projet'!$A$113:$I$133,4,0)),0,VLOOKUP(A58,'Données projet'!$A$113:$I$133,4,0))</f>
        <v>58.24</v>
      </c>
      <c r="CH58" s="16">
        <f>IF(ISNA(VLOOKUP(A58,'Données projet'!$A$113:$I$133,5,0)),0%,VLOOKUP(A58,'Données projet'!$A$113:$I$133,5,0)*VLOOKUP('Données projet'!$B$12,Paramètres!$A$1:$I$89,7,0))</f>
        <v>0.43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89.286439703759967</v>
      </c>
      <c r="CL58" s="21">
        <f>EXP(-LN(2)/25)*CL57+(1-EXP(-LN(2)/25))/(LN(2)/25)*Calculateur!CG58*Calculateur!CI58*VLOOKUP('Données projet'!$B$12,Paramètres!$A$1:$I$89,3,0)*0.475*44/12</f>
        <v>0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89.286439703759967</v>
      </c>
      <c r="CO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>
        <f>VLOOKUP(A58,'Données projet'!$A$139:$I$159,2,0)</f>
        <v>277.67</v>
      </c>
      <c r="CR58" s="12">
        <f>VLOOKUP(A58,'Données projet'!$A$139:$I$159,9,0)</f>
        <v>12.271428571428576</v>
      </c>
      <c r="CS58" s="12">
        <f t="array" ref="CS58">INDEX(CR:CR,MIN(IF(ISNUMBER(CR58:CR254),ROW(CR58:CR254),"")))</f>
        <v>12.271428571428576</v>
      </c>
      <c r="CT58" s="12">
        <f>IF('Données projet'!$A$140&gt;35,CT57+CS58-DB57,IF(A58&lt;'Données projet'!$A$140,$CQ$205^A58,IF(A58='Données projet'!$A$140,'Données projet'!$B$140,CT57+CS58-DB57)))</f>
        <v>277.67000000000013</v>
      </c>
      <c r="CU58" s="17">
        <f>CT58*VLOOKUP('Données projet'!$B$13,Paramètres!$A$1:$I$89,3,0)*VLOOKUP('Données projet'!$B$13,Paramètres!$A$1:$I$89,5,0)</f>
        <v>264.23077200000012</v>
      </c>
      <c r="CV58" s="13">
        <f t="shared" si="41"/>
        <v>63.62335863431295</v>
      </c>
      <c r="CW58" s="20">
        <f t="shared" si="13"/>
        <v>571.01261085476187</v>
      </c>
      <c r="CX58" s="59">
        <f t="shared" si="14"/>
        <v>829.33506633523325</v>
      </c>
      <c r="CY58" s="59">
        <f ca="1">AVERAGE(OFFSET($CX$3,0,0,'Données projet'!$E$13+1,1))-AVERAGE(OFFSET($H$3,0,0,'Données projet'!$E$13+1,1))</f>
        <v>592.58528889137358</v>
      </c>
      <c r="CZ58" s="59">
        <f t="shared" si="42"/>
        <v>311.31528020403709</v>
      </c>
      <c r="DA58" s="15">
        <f>IF(ISNA(VLOOKUP(A58,'Données projet'!$A$139:$I$159,3,0)),0,VLOOKUP(A58,'Données projet'!$A$139:$I$159,3,0))</f>
        <v>4</v>
      </c>
      <c r="DB58" s="15">
        <f>IF(ISNA(VLOOKUP(A58,'Données projet'!$A$139:$I$159,4,0)),0,VLOOKUP(A58,'Données projet'!$A$139:$I$159,4,0))</f>
        <v>58.24</v>
      </c>
      <c r="DC58" s="16">
        <f>IF(ISNA(VLOOKUP(A58,'Données projet'!$A$139:$I$159,5,0)),0%,VLOOKUP(A58,'Données projet'!$A$139:$I$159,5,0)*VLOOKUP('Données projet'!$B$13,Paramètres!$A$1:$I$89,7,0))</f>
        <v>0.43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87.84633583757028</v>
      </c>
      <c r="DG58" s="21">
        <f>EXP(-LN(2)/25)*DG57+(1-EXP(-LN(2)/25))/(LN(2)/25)*Calculateur!DB58*Calculateur!DD58*VLOOKUP('Données projet'!$B$13,Paramètres!$A$1:$I$89,3,0)*0.475*44/12</f>
        <v>0</v>
      </c>
      <c r="DH58" s="21">
        <f>EXP(-LN(2)/2)*DH57+(1-EXP(-LN(2)/2))/(LN(2)/2)*DB58*DE58*VLOOKUP('Données projet'!$B$13,Paramètres!$A$1:$I$89,3,0)*0.475*44/12</f>
        <v>0</v>
      </c>
      <c r="DI58" s="22">
        <f t="shared" si="15"/>
        <v>87.84633583757028</v>
      </c>
      <c r="DJ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2">
        <f>'Scénario référence'!$B$16*5+'Scénario référence'!$B$17*0+'Scénario référence'!$B$18*5</f>
        <v>5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66">
        <f t="shared" si="1"/>
        <v>183.33333333333334</v>
      </c>
      <c r="I59" s="6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11.644999999999996</v>
      </c>
      <c r="N59" s="13">
        <f>IF('Données projet'!$A$36&gt;35,N58+M59-V58,IF(A59&lt;'Données projet'!$A$36,$K$205^A59,IF(A59='Données projet'!$A$36,'Données projet'!$B$36,N58+M59-V58)))</f>
        <v>231.0750000000001</v>
      </c>
      <c r="O59" s="13">
        <f>N59*VLOOKUP('Données projet'!$B$9,Paramètres!$A$1:$I$89,3,0)*VLOOKUP('Données projet'!$B$9,Paramètres!$A$1:$I$89,5,0)</f>
        <v>209.07666000000006</v>
      </c>
      <c r="P59" s="13">
        <f t="shared" si="33"/>
        <v>51.733760959596957</v>
      </c>
      <c r="Q59" s="20">
        <f t="shared" si="53"/>
        <v>454.24481650463144</v>
      </c>
      <c r="R59" s="59">
        <f t="shared" si="0"/>
        <v>713.17463244325313</v>
      </c>
      <c r="S59" s="59">
        <f ca="1">AVERAGE(OFFSET($R$3,0,0,'Données projet'!$E$9+1,1))-AVERAGE(OFFSET($H$3,0,0,'Données projet'!$E$9+1,1))</f>
        <v>567.42635821507474</v>
      </c>
      <c r="T59" s="59">
        <f t="shared" si="34"/>
        <v>299.04735309930152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81.888129849518734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0</v>
      </c>
      <c r="AC59" s="22">
        <f t="shared" si="3"/>
        <v>81.888129849518734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10.8</v>
      </c>
      <c r="AI59" s="13">
        <f>IF('Données projet'!$A$62&gt;35,AI58+AH59-AQ58,IF(A59&lt;'Données projet'!$A$62,$AF$205^A59,IF(A59='Données projet'!$A$62,'Données projet'!$B$62,AI58+AH59-AQ58)))</f>
        <v>226.80000000000004</v>
      </c>
      <c r="AJ59" s="13">
        <f>AI59*VLOOKUP('Données projet'!$B$10,Paramètres!$A$1:$I$89,3,0)*VLOOKUP('Données projet'!$B$10,Paramètres!$A$1:$I$89,5,0)</f>
        <v>194.59440000000006</v>
      </c>
      <c r="AK59" s="13">
        <f t="shared" si="35"/>
        <v>48.554292648263456</v>
      </c>
      <c r="AL59" s="20">
        <f t="shared" si="4"/>
        <v>423.48397302905897</v>
      </c>
      <c r="AM59" s="59">
        <f t="shared" si="5"/>
        <v>682.41378896768072</v>
      </c>
      <c r="AN59" s="59">
        <f ca="1">AVERAGE(OFFSET($AM$3,0,0,'Données projet'!$E$10+1,1))-AVERAGE(OFFSET($H$3,0,0,'Données projet'!$E$10+1,1))</f>
        <v>481.23392184981651</v>
      </c>
      <c r="AO59" s="59">
        <f t="shared" si="36"/>
        <v>275.88160405468193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57.158153867607112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57.158153867607112</v>
      </c>
      <c r="AY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9.375</v>
      </c>
      <c r="BD59" s="12">
        <f>IF('Données projet'!$A$88&gt;35,BD58+BC59-BL58,IF(A59&lt;'Données projet'!$A$88,$BA$205^A59,IF(A59='Données projet'!$A$88,'Données projet'!$B$88,BD58+BC59-BL58)))</f>
        <v>259.49999999999989</v>
      </c>
      <c r="BE59" s="13">
        <f>BD59*VLOOKUP('Données projet'!$B$11,Paramètres!$A$1:$I$89,3,0)*VLOOKUP('Données projet'!$B$11,Paramètres!$A$1:$I$89,5,0)</f>
        <v>202.40999999999991</v>
      </c>
      <c r="BF59" s="13">
        <f t="shared" si="37"/>
        <v>50.273442991661817</v>
      </c>
      <c r="BG59" s="20">
        <f t="shared" si="7"/>
        <v>440.09032987714414</v>
      </c>
      <c r="BH59" s="59">
        <f t="shared" si="8"/>
        <v>699.02014581576589</v>
      </c>
      <c r="BI59" s="59">
        <f ca="1">AVERAGE(OFFSET($BH$3,0,0,'Données projet'!$E$11+1,1))-AVERAGE(OFFSET($H$3,0,0,'Données projet'!$E$11+1,1))</f>
        <v>308.85018589589453</v>
      </c>
      <c r="BJ59" s="59">
        <f t="shared" si="38"/>
        <v>302.59481222418219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46.310464299093169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46.310464299093169</v>
      </c>
      <c r="BT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11.644999999999996</v>
      </c>
      <c r="BY59" s="12">
        <f>IF('Données projet'!$A$114&gt;35,BY58+BX59-CG58,IF(A59&lt;'Données projet'!$A$114,$BV$205^A59,IF(A59='Données projet'!$A$114,'Données projet'!$B$114,BY58+BX59-CG58)))</f>
        <v>231.0750000000001</v>
      </c>
      <c r="BZ59" s="13">
        <f>BY59*VLOOKUP('Données projet'!$B$12,Paramètres!$A$1:$I$89,3,0)*VLOOKUP('Données projet'!$B$12,Paramètres!$A$1:$I$89,5,0)</f>
        <v>223.4957400000001</v>
      </c>
      <c r="CA59" s="13">
        <f t="shared" si="39"/>
        <v>54.873969025325692</v>
      </c>
      <c r="CB59" s="20">
        <f t="shared" si="10"/>
        <v>484.82724321910905</v>
      </c>
      <c r="CC59" s="59">
        <f t="shared" si="11"/>
        <v>743.75705915773074</v>
      </c>
      <c r="CD59" s="59">
        <f ca="1">AVERAGE(OFFSET($CC$3,0,0,'Données projet'!$E$12+1,1))-AVERAGE(OFFSET($H$3,0,0,'Données projet'!$E$12+1,1))</f>
        <v>600.96600099724276</v>
      </c>
      <c r="CE59" s="59">
        <f t="shared" si="40"/>
        <v>315.40159260706264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87.535587080520045</v>
      </c>
      <c r="CL59" s="21">
        <f>EXP(-LN(2)/25)*CL58+(1-EXP(-LN(2)/25))/(LN(2)/25)*Calculateur!CG59*Calculateur!CI59*VLOOKUP('Données projet'!$B$12,Paramètres!$A$1:$I$89,3,0)*0.475*44/12</f>
        <v>0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87.535587080520045</v>
      </c>
      <c r="CO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11.644999999999996</v>
      </c>
      <c r="CT59" s="12">
        <f>IF('Données projet'!$A$140&gt;35,CT58+CS59-DB58,IF(A59&lt;'Données projet'!$A$140,$CQ$205^A59,IF(A59='Données projet'!$A$140,'Données projet'!$B$140,CT58+CS59-DB58)))</f>
        <v>231.0750000000001</v>
      </c>
      <c r="CU59" s="17">
        <f>CT59*VLOOKUP('Données projet'!$B$13,Paramètres!$A$1:$I$89,3,0)*VLOOKUP('Données projet'!$B$13,Paramètres!$A$1:$I$89,5,0)</f>
        <v>219.8909700000001</v>
      </c>
      <c r="CV59" s="13">
        <f t="shared" si="41"/>
        <v>54.091187905160375</v>
      </c>
      <c r="CW59" s="20">
        <f t="shared" si="13"/>
        <v>477.18559168482119</v>
      </c>
      <c r="CX59" s="59">
        <f t="shared" si="14"/>
        <v>736.11540762344293</v>
      </c>
      <c r="CY59" s="59">
        <f ca="1">AVERAGE(OFFSET($CX$3,0,0,'Données projet'!$E$13+1,1))-AVERAGE(OFFSET($H$3,0,0,'Données projet'!$E$13+1,1))</f>
        <v>592.58528889137358</v>
      </c>
      <c r="CZ59" s="59">
        <f t="shared" si="42"/>
        <v>311.31528020403709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86.12372277276971</v>
      </c>
      <c r="DG59" s="21">
        <f>EXP(-LN(2)/25)*DG58+(1-EXP(-LN(2)/25))/(LN(2)/25)*Calculateur!DB59*Calculateur!DD59*VLOOKUP('Données projet'!$B$13,Paramètres!$A$1:$I$89,3,0)*0.475*44/12</f>
        <v>0</v>
      </c>
      <c r="DH59" s="21">
        <f>EXP(-LN(2)/2)*DH58+(1-EXP(-LN(2)/2))/(LN(2)/2)*DB59*DE59*VLOOKUP('Données projet'!$B$13,Paramètres!$A$1:$I$89,3,0)*0.475*44/12</f>
        <v>0</v>
      </c>
      <c r="DI59" s="22">
        <f t="shared" si="15"/>
        <v>86.12372277276971</v>
      </c>
      <c r="DJ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2">
        <f>'Scénario référence'!$B$16*5+'Scénario référence'!$B$17*0+'Scénario référence'!$B$18*5</f>
        <v>5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66">
        <f t="shared" si="1"/>
        <v>183.33333333333334</v>
      </c>
      <c r="I60" s="6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11.644999999999996</v>
      </c>
      <c r="N60" s="13">
        <f>IF('Données projet'!$A$36&gt;35,N59+M60-V59,IF(A60&lt;'Données projet'!$A$36,$K$205^A60,IF(A60='Données projet'!$A$36,'Données projet'!$B$36,N59+M60-V59)))</f>
        <v>242.72000000000008</v>
      </c>
      <c r="O60" s="13">
        <f>N60*VLOOKUP('Données projet'!$B$9,Paramètres!$A$1:$I$89,3,0)*VLOOKUP('Données projet'!$B$9,Paramètres!$A$1:$I$89,5,0)</f>
        <v>219.61305600000006</v>
      </c>
      <c r="P60" s="13">
        <f t="shared" si="33"/>
        <v>54.030776739498059</v>
      </c>
      <c r="Q60" s="20">
        <f t="shared" si="53"/>
        <v>476.59634202129263</v>
      </c>
      <c r="R60" s="59">
        <f t="shared" si="0"/>
        <v>736.12298207197034</v>
      </c>
      <c r="S60" s="59">
        <f ca="1">AVERAGE(OFFSET($R$3,0,0,'Données projet'!$E$9+1,1))-AVERAGE(OFFSET($H$3,0,0,'Données projet'!$E$9+1,1))</f>
        <v>567.42635821507474</v>
      </c>
      <c r="T60" s="59">
        <f t="shared" si="34"/>
        <v>299.04735309930152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80.282353569997042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0</v>
      </c>
      <c r="AC60" s="22">
        <f t="shared" si="3"/>
        <v>80.282353569997042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10.8</v>
      </c>
      <c r="AI60" s="13">
        <f>IF('Données projet'!$A$62&gt;35,AI59+AH60-AQ59,IF(A60&lt;'Données projet'!$A$62,$AF$205^A60,IF(A60='Données projet'!$A$62,'Données projet'!$B$62,AI59+AH60-AQ59)))</f>
        <v>237.60000000000005</v>
      </c>
      <c r="AJ60" s="13">
        <f>AI60*VLOOKUP('Données projet'!$B$10,Paramètres!$A$1:$I$89,3,0)*VLOOKUP('Données projet'!$B$10,Paramètres!$A$1:$I$89,5,0)</f>
        <v>203.86080000000007</v>
      </c>
      <c r="AK60" s="13">
        <f t="shared" si="35"/>
        <v>50.591708220421786</v>
      </c>
      <c r="AL60" s="20">
        <f t="shared" si="4"/>
        <v>443.17145181723475</v>
      </c>
      <c r="AM60" s="59">
        <f t="shared" si="5"/>
        <v>702.69809186791247</v>
      </c>
      <c r="AN60" s="59">
        <f ca="1">AVERAGE(OFFSET($AM$3,0,0,'Données projet'!$E$10+1,1))-AVERAGE(OFFSET($H$3,0,0,'Données projet'!$E$10+1,1))</f>
        <v>481.23392184981651</v>
      </c>
      <c r="AO60" s="59">
        <f t="shared" si="36"/>
        <v>275.88160405468193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56.037317333294759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56.037317333294759</v>
      </c>
      <c r="AY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9.375</v>
      </c>
      <c r="BD60" s="12">
        <f>IF('Données projet'!$A$88&gt;35,BD59+BC60-BL59,IF(A60&lt;'Données projet'!$A$88,$BA$205^A60,IF(A60='Données projet'!$A$88,'Données projet'!$B$88,BD59+BC60-BL59)))</f>
        <v>268.87499999999989</v>
      </c>
      <c r="BE60" s="13">
        <f>BD60*VLOOKUP('Données projet'!$B$11,Paramètres!$A$1:$I$89,3,0)*VLOOKUP('Données projet'!$B$11,Paramètres!$A$1:$I$89,5,0)</f>
        <v>209.72249999999991</v>
      </c>
      <c r="BF60" s="13">
        <f t="shared" si="37"/>
        <v>51.874940300502246</v>
      </c>
      <c r="BG60" s="20">
        <f t="shared" si="7"/>
        <v>455.61554185670792</v>
      </c>
      <c r="BH60" s="59">
        <f t="shared" si="8"/>
        <v>715.14218190738563</v>
      </c>
      <c r="BI60" s="59">
        <f ca="1">AVERAGE(OFFSET($BH$3,0,0,'Données projet'!$E$11+1,1))-AVERAGE(OFFSET($H$3,0,0,'Données projet'!$E$11+1,1))</f>
        <v>308.85018589589453</v>
      </c>
      <c r="BJ60" s="59">
        <f t="shared" si="38"/>
        <v>302.59481222418219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45.402344340782058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45.402344340782058</v>
      </c>
      <c r="BT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11.644999999999996</v>
      </c>
      <c r="BY60" s="12">
        <f>IF('Données projet'!$A$114&gt;35,BY59+BX60-CG59,IF(A60&lt;'Données projet'!$A$114,$BV$205^A60,IF(A60='Données projet'!$A$114,'Données projet'!$B$114,BY59+BX60-CG59)))</f>
        <v>242.72000000000008</v>
      </c>
      <c r="BZ60" s="13">
        <f>BY60*VLOOKUP('Données projet'!$B$12,Paramètres!$A$1:$I$89,3,0)*VLOOKUP('Données projet'!$B$12,Paramètres!$A$1:$I$89,5,0)</f>
        <v>234.75878400000011</v>
      </c>
      <c r="CA60" s="13">
        <f t="shared" si="39"/>
        <v>57.310412276676004</v>
      </c>
      <c r="CB60" s="20">
        <f t="shared" si="10"/>
        <v>508.68718351521085</v>
      </c>
      <c r="CC60" s="59">
        <f t="shared" si="11"/>
        <v>768.21382356588856</v>
      </c>
      <c r="CD60" s="59">
        <f ca="1">AVERAGE(OFFSET($CC$3,0,0,'Données projet'!$E$12+1,1))-AVERAGE(OFFSET($H$3,0,0,'Données projet'!$E$12+1,1))</f>
        <v>600.96600099724276</v>
      </c>
      <c r="CE60" s="59">
        <f t="shared" si="40"/>
        <v>315.40159260706264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85.819067609307197</v>
      </c>
      <c r="CL60" s="21">
        <f>EXP(-LN(2)/25)*CL59+(1-EXP(-LN(2)/25))/(LN(2)/25)*Calculateur!CG60*Calculateur!CI60*VLOOKUP('Données projet'!$B$12,Paramètres!$A$1:$I$89,3,0)*0.475*44/12</f>
        <v>0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85.819067609307197</v>
      </c>
      <c r="CO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11.644999999999996</v>
      </c>
      <c r="CT60" s="12">
        <f>IF('Données projet'!$A$140&gt;35,CT59+CS60-DB59,IF(A60&lt;'Données projet'!$A$140,$CQ$205^A60,IF(A60='Données projet'!$A$140,'Données projet'!$B$140,CT59+CS60-DB59)))</f>
        <v>242.72000000000008</v>
      </c>
      <c r="CU60" s="17">
        <f>CT60*VLOOKUP('Données projet'!$B$13,Paramètres!$A$1:$I$89,3,0)*VLOOKUP('Données projet'!$B$13,Paramètres!$A$1:$I$89,5,0)</f>
        <v>230.97235200000011</v>
      </c>
      <c r="CV60" s="13">
        <f t="shared" si="41"/>
        <v>56.492875118057718</v>
      </c>
      <c r="CW60" s="20">
        <f t="shared" si="13"/>
        <v>500.66860389728407</v>
      </c>
      <c r="CX60" s="59">
        <f t="shared" si="14"/>
        <v>760.19524394796179</v>
      </c>
      <c r="CY60" s="59">
        <f ca="1">AVERAGE(OFFSET($CX$3,0,0,'Données projet'!$E$13+1,1))-AVERAGE(OFFSET($H$3,0,0,'Données projet'!$E$13+1,1))</f>
        <v>592.58528889137358</v>
      </c>
      <c r="CZ60" s="59">
        <f t="shared" si="42"/>
        <v>311.31528020403709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84.434889099479648</v>
      </c>
      <c r="DG60" s="21">
        <f>EXP(-LN(2)/25)*DG59+(1-EXP(-LN(2)/25))/(LN(2)/25)*Calculateur!DB60*Calculateur!DD60*VLOOKUP('Données projet'!$B$13,Paramètres!$A$1:$I$89,3,0)*0.475*44/12</f>
        <v>0</v>
      </c>
      <c r="DH60" s="21">
        <f>EXP(-LN(2)/2)*DH59+(1-EXP(-LN(2)/2))/(LN(2)/2)*DB60*DE60*VLOOKUP('Données projet'!$B$13,Paramètres!$A$1:$I$89,3,0)*0.475*44/12</f>
        <v>0</v>
      </c>
      <c r="DI60" s="22">
        <f t="shared" si="15"/>
        <v>84.434889099479648</v>
      </c>
      <c r="DJ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2">
        <f>'Scénario référence'!$B$16*5+'Scénario référence'!$B$17*0+'Scénario référence'!$B$18*5</f>
        <v>5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66">
        <f t="shared" si="1"/>
        <v>183.33333333333334</v>
      </c>
      <c r="I61" s="6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11.644999999999996</v>
      </c>
      <c r="N61" s="13">
        <f>IF('Données projet'!$A$36&gt;35,N60+M61-V60,IF(A61&lt;'Données projet'!$A$36,$K$205^A61,IF(A61='Données projet'!$A$36,'Données projet'!$B$36,N60+M61-V60)))</f>
        <v>254.36500000000007</v>
      </c>
      <c r="O61" s="13">
        <f>N61*VLOOKUP('Données projet'!$B$9,Paramètres!$A$1:$I$89,3,0)*VLOOKUP('Données projet'!$B$9,Paramètres!$A$1:$I$89,5,0)</f>
        <v>230.14945200000005</v>
      </c>
      <c r="P61" s="13">
        <f t="shared" si="33"/>
        <v>56.314995325940238</v>
      </c>
      <c r="Q61" s="20">
        <f t="shared" si="53"/>
        <v>498.9255790926793</v>
      </c>
      <c r="R61" s="59">
        <f t="shared" si="0"/>
        <v>759.03868969136772</v>
      </c>
      <c r="S61" s="59">
        <f ca="1">AVERAGE(OFFSET($R$3,0,0,'Données projet'!$E$9+1,1))-AVERAGE(OFFSET($H$3,0,0,'Données projet'!$E$9+1,1))</f>
        <v>567.42635821507474</v>
      </c>
      <c r="T61" s="59">
        <f t="shared" si="34"/>
        <v>299.04735309930152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78.708065583889947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0</v>
      </c>
      <c r="AC61" s="22">
        <f t="shared" si="3"/>
        <v>78.708065583889947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10.8</v>
      </c>
      <c r="AI61" s="13">
        <f>IF('Données projet'!$A$62&gt;35,AI60+AH61-AQ60,IF(A61&lt;'Données projet'!$A$62,$AF$205^A61,IF(A61='Données projet'!$A$62,'Données projet'!$B$62,AI60+AH61-AQ60)))</f>
        <v>248.40000000000006</v>
      </c>
      <c r="AJ61" s="13">
        <f>AI61*VLOOKUP('Données projet'!$B$10,Paramètres!$A$1:$I$89,3,0)*VLOOKUP('Données projet'!$B$10,Paramètres!$A$1:$I$89,5,0)</f>
        <v>213.12720000000004</v>
      </c>
      <c r="AK61" s="13">
        <f t="shared" si="35"/>
        <v>52.618368568459893</v>
      </c>
      <c r="AL61" s="20">
        <f t="shared" si="4"/>
        <v>462.8401985900677</v>
      </c>
      <c r="AM61" s="59">
        <f t="shared" si="5"/>
        <v>722.95330918875607</v>
      </c>
      <c r="AN61" s="59">
        <f ca="1">AVERAGE(OFFSET($AM$3,0,0,'Données projet'!$E$10+1,1))-AVERAGE(OFFSET($H$3,0,0,'Données projet'!$E$10+1,1))</f>
        <v>481.23392184981651</v>
      </c>
      <c r="AO61" s="59">
        <f t="shared" si="36"/>
        <v>275.88160405468193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54.938459719777491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54.938459719777491</v>
      </c>
      <c r="AY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9.375</v>
      </c>
      <c r="BD61" s="12">
        <f>IF('Données projet'!$A$88&gt;35,BD60+BC61-BL60,IF(A61&lt;'Données projet'!$A$88,$BA$205^A61,IF(A61='Données projet'!$A$88,'Données projet'!$B$88,BD60+BC61-BL60)))</f>
        <v>278.24999999999989</v>
      </c>
      <c r="BE61" s="13">
        <f>BD61*VLOOKUP('Données projet'!$B$11,Paramètres!$A$1:$I$89,3,0)*VLOOKUP('Données projet'!$B$11,Paramètres!$A$1:$I$89,5,0)</f>
        <v>217.03499999999991</v>
      </c>
      <c r="BF61" s="13">
        <f t="shared" si="37"/>
        <v>53.469949591969474</v>
      </c>
      <c r="BG61" s="20">
        <f t="shared" si="7"/>
        <v>471.12945387267996</v>
      </c>
      <c r="BH61" s="59">
        <f t="shared" si="8"/>
        <v>731.24256447136838</v>
      </c>
      <c r="BI61" s="59">
        <f ca="1">AVERAGE(OFFSET($BH$3,0,0,'Données projet'!$E$11+1,1))-AVERAGE(OFFSET($H$3,0,0,'Données projet'!$E$11+1,1))</f>
        <v>308.85018589589453</v>
      </c>
      <c r="BJ61" s="59">
        <f t="shared" si="38"/>
        <v>302.59481222418219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44.512032060954944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44.512032060954944</v>
      </c>
      <c r="BT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11.644999999999996</v>
      </c>
      <c r="BY61" s="12">
        <f>IF('Données projet'!$A$114&gt;35,BY60+BX61-CG60,IF(A61&lt;'Données projet'!$A$114,$BV$205^A61,IF(A61='Données projet'!$A$114,'Données projet'!$B$114,BY60+BX61-CG60)))</f>
        <v>254.36500000000007</v>
      </c>
      <c r="BZ61" s="13">
        <f>BY61*VLOOKUP('Données projet'!$B$12,Paramètres!$A$1:$I$89,3,0)*VLOOKUP('Données projet'!$B$12,Paramètres!$A$1:$I$89,5,0)</f>
        <v>246.02182800000006</v>
      </c>
      <c r="CA61" s="13">
        <f t="shared" si="39"/>
        <v>59.733281552648165</v>
      </c>
      <c r="CB61" s="20">
        <f t="shared" si="10"/>
        <v>532.52348247086229</v>
      </c>
      <c r="CC61" s="59">
        <f t="shared" si="11"/>
        <v>792.63659306955071</v>
      </c>
      <c r="CD61" s="59">
        <f ca="1">AVERAGE(OFFSET($CC$3,0,0,'Données projet'!$E$12+1,1))-AVERAGE(OFFSET($H$3,0,0,'Données projet'!$E$12+1,1))</f>
        <v>600.96600099724276</v>
      </c>
      <c r="CE61" s="59">
        <f t="shared" si="40"/>
        <v>315.40159260706264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84.136208037951334</v>
      </c>
      <c r="CL61" s="21">
        <f>EXP(-LN(2)/25)*CL60+(1-EXP(-LN(2)/25))/(LN(2)/25)*Calculateur!CG61*Calculateur!CI61*VLOOKUP('Données projet'!$B$12,Paramètres!$A$1:$I$89,3,0)*0.475*44/12</f>
        <v>0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84.136208037951334</v>
      </c>
      <c r="CO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11.644999999999996</v>
      </c>
      <c r="CT61" s="12">
        <f>IF('Données projet'!$A$140&gt;35,CT60+CS61-DB60,IF(A61&lt;'Données projet'!$A$140,$CQ$205^A61,IF(A61='Données projet'!$A$140,'Données projet'!$B$140,CT60+CS61-DB60)))</f>
        <v>254.36500000000007</v>
      </c>
      <c r="CU61" s="17">
        <f>CT61*VLOOKUP('Données projet'!$B$13,Paramètres!$A$1:$I$89,3,0)*VLOOKUP('Données projet'!$B$13,Paramètres!$A$1:$I$89,5,0)</f>
        <v>242.05373400000008</v>
      </c>
      <c r="CV61" s="13">
        <f t="shared" si="41"/>
        <v>58.881181989313284</v>
      </c>
      <c r="CW61" s="20">
        <f t="shared" si="13"/>
        <v>524.12831201472079</v>
      </c>
      <c r="CX61" s="59">
        <f t="shared" si="14"/>
        <v>784.24142261340921</v>
      </c>
      <c r="CY61" s="59">
        <f ca="1">AVERAGE(OFFSET($CX$3,0,0,'Données projet'!$E$13+1,1))-AVERAGE(OFFSET($H$3,0,0,'Données projet'!$E$13+1,1))</f>
        <v>592.58528889137358</v>
      </c>
      <c r="CZ61" s="59">
        <f t="shared" si="42"/>
        <v>311.31528020403709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82.779172424435984</v>
      </c>
      <c r="DG61" s="21">
        <f>EXP(-LN(2)/25)*DG60+(1-EXP(-LN(2)/25))/(LN(2)/25)*Calculateur!DB61*Calculateur!DD61*VLOOKUP('Données projet'!$B$13,Paramètres!$A$1:$I$89,3,0)*0.475*44/12</f>
        <v>0</v>
      </c>
      <c r="DH61" s="21">
        <f>EXP(-LN(2)/2)*DH60+(1-EXP(-LN(2)/2))/(LN(2)/2)*DB61*DE61*VLOOKUP('Données projet'!$B$13,Paramètres!$A$1:$I$89,3,0)*0.475*44/12</f>
        <v>0</v>
      </c>
      <c r="DI61" s="22">
        <f t="shared" si="15"/>
        <v>82.779172424435984</v>
      </c>
      <c r="DJ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2">
        <f>'Scénario référence'!$B$16*5+'Scénario référence'!$B$17*0+'Scénario référence'!$B$18*5</f>
        <v>5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66">
        <f t="shared" si="1"/>
        <v>183.33333333333334</v>
      </c>
      <c r="I62" s="6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11.644999999999996</v>
      </c>
      <c r="N62" s="13">
        <f>IF('Données projet'!$A$36&gt;35,N61+M62-V61,IF(A62&lt;'Données projet'!$A$36,$K$205^A62,IF(A62='Données projet'!$A$36,'Données projet'!$B$36,N61+M62-V61)))</f>
        <v>266.01000000000005</v>
      </c>
      <c r="O62" s="13">
        <f>N62*VLOOKUP('Données projet'!$B$9,Paramètres!$A$1:$I$89,3,0)*VLOOKUP('Données projet'!$B$9,Paramètres!$A$1:$I$89,5,0)</f>
        <v>240.68584800000005</v>
      </c>
      <c r="P62" s="13">
        <f t="shared" si="33"/>
        <v>58.587069504016014</v>
      </c>
      <c r="Q62" s="20">
        <f t="shared" si="53"/>
        <v>521.23366465282788</v>
      </c>
      <c r="R62" s="59">
        <f t="shared" si="0"/>
        <v>781.92307184667061</v>
      </c>
      <c r="S62" s="59">
        <f ca="1">AVERAGE(OFFSET($R$3,0,0,'Données projet'!$E$9+1,1))-AVERAGE(OFFSET($H$3,0,0,'Données projet'!$E$9+1,1))</f>
        <v>567.42635821507474</v>
      </c>
      <c r="T62" s="59">
        <f t="shared" si="34"/>
        <v>299.04735309930152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77.164648424969556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0</v>
      </c>
      <c r="AC62" s="22">
        <f t="shared" si="3"/>
        <v>77.164648424969556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10.8</v>
      </c>
      <c r="AI62" s="13">
        <f>IF('Données projet'!$A$62&gt;35,AI61+AH62-AQ61,IF(A62&lt;'Données projet'!$A$62,$AF$205^A62,IF(A62='Données projet'!$A$62,'Données projet'!$B$62,AI61+AH62-AQ61)))</f>
        <v>259.20000000000005</v>
      </c>
      <c r="AJ62" s="13">
        <f>AI62*VLOOKUP('Données projet'!$B$10,Paramètres!$A$1:$I$89,3,0)*VLOOKUP('Données projet'!$B$10,Paramètres!$A$1:$I$89,5,0)</f>
        <v>222.39360000000005</v>
      </c>
      <c r="AK62" s="13">
        <f t="shared" si="35"/>
        <v>54.634794757949287</v>
      </c>
      <c r="AL62" s="20">
        <f t="shared" si="4"/>
        <v>482.49112087009513</v>
      </c>
      <c r="AM62" s="59">
        <f t="shared" si="5"/>
        <v>743.18052806393791</v>
      </c>
      <c r="AN62" s="59">
        <f ca="1">AVERAGE(OFFSET($AM$3,0,0,'Données projet'!$E$10+1,1))-AVERAGE(OFFSET($H$3,0,0,'Données projet'!$E$10+1,1))</f>
        <v>481.23392184981651</v>
      </c>
      <c r="AO62" s="59">
        <f t="shared" si="36"/>
        <v>275.88160405468193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53.86115003382433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53.86115003382433</v>
      </c>
      <c r="AY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9.375</v>
      </c>
      <c r="BD62" s="12">
        <f>IF('Données projet'!$A$88&gt;35,BD61+BC62-BL61,IF(A62&lt;'Données projet'!$A$88,$BA$205^A62,IF(A62='Données projet'!$A$88,'Données projet'!$B$88,BD61+BC62-BL61)))</f>
        <v>287.62499999999989</v>
      </c>
      <c r="BE62" s="13">
        <f>BD62*VLOOKUP('Données projet'!$B$11,Paramètres!$A$1:$I$89,3,0)*VLOOKUP('Données projet'!$B$11,Paramètres!$A$1:$I$89,5,0)</f>
        <v>224.34749999999991</v>
      </c>
      <c r="BF62" s="13">
        <f t="shared" si="37"/>
        <v>55.058714525680429</v>
      </c>
      <c r="BG62" s="20">
        <f t="shared" si="7"/>
        <v>486.63249029889329</v>
      </c>
      <c r="BH62" s="59">
        <f t="shared" si="8"/>
        <v>747.32189749273607</v>
      </c>
      <c r="BI62" s="59">
        <f ca="1">AVERAGE(OFFSET($BH$3,0,0,'Données projet'!$E$11+1,1))-AVERAGE(OFFSET($H$3,0,0,'Données projet'!$E$11+1,1))</f>
        <v>308.85018589589453</v>
      </c>
      <c r="BJ62" s="59">
        <f t="shared" si="38"/>
        <v>302.59481222418219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43.639178261898365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43.639178261898365</v>
      </c>
      <c r="BT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11.644999999999996</v>
      </c>
      <c r="BY62" s="12">
        <f>IF('Données projet'!$A$114&gt;35,BY61+BX62-CG61,IF(A62&lt;'Données projet'!$A$114,$BV$205^A62,IF(A62='Données projet'!$A$114,'Données projet'!$B$114,BY61+BX62-CG61)))</f>
        <v>266.01000000000005</v>
      </c>
      <c r="BZ62" s="13">
        <f>BY62*VLOOKUP('Données projet'!$B$12,Paramètres!$A$1:$I$89,3,0)*VLOOKUP('Données projet'!$B$12,Paramètres!$A$1:$I$89,5,0)</f>
        <v>257.28487200000006</v>
      </c>
      <c r="CA62" s="13">
        <f t="shared" si="39"/>
        <v>62.14326926199616</v>
      </c>
      <c r="CB62" s="20">
        <f t="shared" si="10"/>
        <v>556.33734603131006</v>
      </c>
      <c r="CC62" s="59">
        <f t="shared" si="11"/>
        <v>817.02675322515279</v>
      </c>
      <c r="CD62" s="59">
        <f ca="1">AVERAGE(OFFSET($CC$3,0,0,'Données projet'!$E$12+1,1))-AVERAGE(OFFSET($H$3,0,0,'Données projet'!$E$12+1,1))</f>
        <v>600.96600099724276</v>
      </c>
      <c r="CE62" s="59">
        <f t="shared" si="40"/>
        <v>315.40159260706264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82.486348316346778</v>
      </c>
      <c r="CL62" s="21">
        <f>EXP(-LN(2)/25)*CL61+(1-EXP(-LN(2)/25))/(LN(2)/25)*Calculateur!CG62*Calculateur!CI62*VLOOKUP('Données projet'!$B$12,Paramètres!$A$1:$I$89,3,0)*0.475*44/12</f>
        <v>0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82.486348316346778</v>
      </c>
      <c r="CO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11.644999999999996</v>
      </c>
      <c r="CT62" s="12">
        <f>IF('Données projet'!$A$140&gt;35,CT61+CS62-DB61,IF(A62&lt;'Données projet'!$A$140,$CQ$205^A62,IF(A62='Données projet'!$A$140,'Données projet'!$B$140,CT61+CS62-DB61)))</f>
        <v>266.01000000000005</v>
      </c>
      <c r="CU62" s="17">
        <f>CT62*VLOOKUP('Données projet'!$B$13,Paramètres!$A$1:$I$89,3,0)*VLOOKUP('Données projet'!$B$13,Paramètres!$A$1:$I$89,5,0)</f>
        <v>253.13511600000004</v>
      </c>
      <c r="CV62" s="13">
        <f t="shared" si="41"/>
        <v>61.25679105042024</v>
      </c>
      <c r="CW62" s="20">
        <f t="shared" si="13"/>
        <v>547.56590477948191</v>
      </c>
      <c r="CX62" s="59">
        <f t="shared" si="14"/>
        <v>808.25531197332475</v>
      </c>
      <c r="CY62" s="59">
        <f ca="1">AVERAGE(OFFSET($CX$3,0,0,'Données projet'!$E$13+1,1))-AVERAGE(OFFSET($H$3,0,0,'Données projet'!$E$13+1,1))</f>
        <v>592.58528889137358</v>
      </c>
      <c r="CZ62" s="59">
        <f t="shared" si="42"/>
        <v>311.31528020403709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81.155923343502465</v>
      </c>
      <c r="DG62" s="21">
        <f>EXP(-LN(2)/25)*DG61+(1-EXP(-LN(2)/25))/(LN(2)/25)*Calculateur!DB62*Calculateur!DD62*VLOOKUP('Données projet'!$B$13,Paramètres!$A$1:$I$89,3,0)*0.475*44/12</f>
        <v>0</v>
      </c>
      <c r="DH62" s="21">
        <f>EXP(-LN(2)/2)*DH61+(1-EXP(-LN(2)/2))/(LN(2)/2)*DB62*DE62*VLOOKUP('Données projet'!$B$13,Paramètres!$A$1:$I$89,3,0)*0.475*44/12</f>
        <v>0</v>
      </c>
      <c r="DI62" s="22">
        <f t="shared" si="15"/>
        <v>81.155923343502465</v>
      </c>
      <c r="DJ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2">
        <f>'Scénario référence'!$B$16*5+'Scénario référence'!$B$17*0+'Scénario référence'!$B$18*5</f>
        <v>5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66">
        <f t="shared" si="1"/>
        <v>183.33333333333334</v>
      </c>
      <c r="I63" s="6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11.644999999999996</v>
      </c>
      <c r="N63" s="13">
        <f>IF('Données projet'!$A$36&gt;35,N62+M63-V62,IF(A63&lt;'Données projet'!$A$36,$K$205^A63,IF(A63='Données projet'!$A$36,'Données projet'!$B$36,N62+M63-V62)))</f>
        <v>277.65500000000003</v>
      </c>
      <c r="O63" s="13">
        <f>N63*VLOOKUP('Données projet'!$B$9,Paramètres!$A$1:$I$89,3,0)*VLOOKUP('Données projet'!$B$9,Paramètres!$A$1:$I$89,5,0)</f>
        <v>251.22224400000005</v>
      </c>
      <c r="P63" s="13">
        <f t="shared" si="33"/>
        <v>60.847591673657284</v>
      </c>
      <c r="Q63" s="20">
        <f t="shared" si="53"/>
        <v>543.52163046495309</v>
      </c>
      <c r="R63" s="59">
        <f t="shared" si="0"/>
        <v>804.77733679643052</v>
      </c>
      <c r="S63" s="59">
        <f ca="1">AVERAGE(OFFSET($R$3,0,0,'Données projet'!$E$9+1,1))-AVERAGE(OFFSET($H$3,0,0,'Données projet'!$E$9+1,1))</f>
        <v>567.42635821507474</v>
      </c>
      <c r="T63" s="59">
        <f t="shared" si="34"/>
        <v>299.04735309930152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75.651496735144079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0</v>
      </c>
      <c r="AC63" s="22">
        <f t="shared" si="3"/>
        <v>75.651496735144079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270</v>
      </c>
      <c r="AG63" s="12">
        <f>VLOOKUP(A63,'Données projet'!$A$61:$I$81,9,0)</f>
        <v>10.8</v>
      </c>
      <c r="AH63" s="12">
        <f t="array" ref="AH63">INDEX(AG:AG,MIN(IF(ISNUMBER(AG63:AG259),ROW(AG63:AG259),"")))</f>
        <v>10.8</v>
      </c>
      <c r="AI63" s="13">
        <f>IF('Données projet'!$A$62&gt;35,AI62+AH63-AQ62,IF(A63&lt;'Données projet'!$A$62,$AF$205^A63,IF(A63='Données projet'!$A$62,'Données projet'!$B$62,AI62+AH63-AQ62)))</f>
        <v>270.00000000000006</v>
      </c>
      <c r="AJ63" s="13">
        <f>AI63*VLOOKUP('Données projet'!$B$10,Paramètres!$A$1:$I$89,3,0)*VLOOKUP('Données projet'!$B$10,Paramètres!$A$1:$I$89,5,0)</f>
        <v>231.66000000000011</v>
      </c>
      <c r="AK63" s="13">
        <f t="shared" si="35"/>
        <v>56.641461975682823</v>
      </c>
      <c r="AL63" s="20">
        <f t="shared" si="4"/>
        <v>502.1250462743144</v>
      </c>
      <c r="AM63" s="59">
        <f t="shared" si="5"/>
        <v>763.38075260579194</v>
      </c>
      <c r="AN63" s="59">
        <f ca="1">AVERAGE(OFFSET($AM$3,0,0,'Données projet'!$E$10+1,1))-AVERAGE(OFFSET($H$3,0,0,'Données projet'!$E$10+1,1))</f>
        <v>481.23392184981651</v>
      </c>
      <c r="AO63" s="59">
        <f t="shared" si="36"/>
        <v>275.88160405468193</v>
      </c>
      <c r="AP63" s="15">
        <f>IF(ISNA(VLOOKUP(A63,'Données projet'!$A$61:$I$81,3,0)),0,VLOOKUP(A63,'Données projet'!$A$61:$I$81,3,0))</f>
        <v>8</v>
      </c>
      <c r="AQ63" s="15">
        <f>IF(ISNA(VLOOKUP(A63,'Données projet'!$A$61:$I$81,4,0)),0,VLOOKUP(A63,'Données projet'!$A$61:$I$81,4,0))</f>
        <v>28</v>
      </c>
      <c r="AR63" s="16">
        <f>IF(ISNA(VLOOKUP(A63,'Données projet'!$A$61:$I$81,5,0)),0%,VLOOKUP(A63,'Données projet'!$A$61:$I$81,5,0)*VLOOKUP('Données projet'!$B$10,Paramètres!$A$1:$I$89,7,0))</f>
        <v>0.53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66.880610544605474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66.880610544605474</v>
      </c>
      <c r="AY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297</v>
      </c>
      <c r="BB63" s="12">
        <f>VLOOKUP(A63,'Données projet'!$A$87:$I$107,9,0)</f>
        <v>9.375</v>
      </c>
      <c r="BC63" s="12">
        <f t="array" ref="BC63">INDEX(BB:BB,MIN(IF(ISNUMBER(BB63:BB259),ROW(BB63:BB259),"")))</f>
        <v>9.375</v>
      </c>
      <c r="BD63" s="12">
        <f>IF('Données projet'!$A$88&gt;35,BD62+BC63-BL62,IF(A63&lt;'Données projet'!$A$88,$BA$205^A63,IF(A63='Données projet'!$A$88,'Données projet'!$B$88,BD62+BC63-BL62)))</f>
        <v>296.99999999999989</v>
      </c>
      <c r="BE63" s="13">
        <f>BD63*VLOOKUP('Données projet'!$B$11,Paramètres!$A$1:$I$89,3,0)*VLOOKUP('Données projet'!$B$11,Paramètres!$A$1:$I$89,5,0)</f>
        <v>231.65999999999991</v>
      </c>
      <c r="BF63" s="13">
        <f t="shared" si="37"/>
        <v>56.641461975682766</v>
      </c>
      <c r="BG63" s="20">
        <f t="shared" si="7"/>
        <v>502.125046274314</v>
      </c>
      <c r="BH63" s="59">
        <f t="shared" si="8"/>
        <v>763.38075260579149</v>
      </c>
      <c r="BI63" s="59">
        <f ca="1">AVERAGE(OFFSET($BH$3,0,0,'Données projet'!$E$11+1,1))-AVERAGE(OFFSET($H$3,0,0,'Données projet'!$E$11+1,1))</f>
        <v>308.85018589589453</v>
      </c>
      <c r="BJ63" s="59">
        <f t="shared" si="38"/>
        <v>302.59481222418219</v>
      </c>
      <c r="BK63" s="15">
        <f>IF(ISNA(VLOOKUP(A63,'Données projet'!$A$87:$I$107,3,0)),0,VLOOKUP(A63,'Données projet'!$A$87:$I$107,3,0))</f>
        <v>8</v>
      </c>
      <c r="BL63" s="15">
        <f>IF(ISNA(VLOOKUP(A63,'Données projet'!$A$87:$I$107,4,0)),0,VLOOKUP(A63,'Données projet'!$A$87:$I$107,4,0))</f>
        <v>47</v>
      </c>
      <c r="BM63" s="16">
        <f>IF(ISNA(VLOOKUP(A63,'Données projet'!$A$87:$I$107,5,0)),0%,VLOOKUP(A63,'Données projet'!$A$87:$I$107,5,0)*VLOOKUP('Données projet'!$B$11,Paramètres!$A$1:$I$89,7,0))</f>
        <v>0.43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60.209854562334556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60.209854562334556</v>
      </c>
      <c r="BT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11.644999999999996</v>
      </c>
      <c r="BY63" s="12">
        <f>IF('Données projet'!$A$114&gt;35,BY62+BX63-CG62,IF(A63&lt;'Données projet'!$A$114,$BV$205^A63,IF(A63='Données projet'!$A$114,'Données projet'!$B$114,BY62+BX63-CG62)))</f>
        <v>277.65500000000003</v>
      </c>
      <c r="BZ63" s="13">
        <f>BY63*VLOOKUP('Données projet'!$B$12,Paramètres!$A$1:$I$89,3,0)*VLOOKUP('Données projet'!$B$12,Paramètres!$A$1:$I$89,5,0)</f>
        <v>268.54791600000004</v>
      </c>
      <c r="CA63" s="13">
        <f t="shared" si="39"/>
        <v>64.54100376296995</v>
      </c>
      <c r="CB63" s="20">
        <f t="shared" si="10"/>
        <v>580.12986858717284</v>
      </c>
      <c r="CC63" s="59">
        <f t="shared" si="11"/>
        <v>841.38557491865026</v>
      </c>
      <c r="CD63" s="59">
        <f ca="1">AVERAGE(OFFSET($CC$3,0,0,'Données projet'!$E$12+1,1))-AVERAGE(OFFSET($H$3,0,0,'Données projet'!$E$12+1,1))</f>
        <v>600.96600099724276</v>
      </c>
      <c r="CE63" s="59">
        <f t="shared" si="40"/>
        <v>315.40159260706264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80.868841337567815</v>
      </c>
      <c r="CL63" s="21">
        <f>EXP(-LN(2)/25)*CL62+(1-EXP(-LN(2)/25))/(LN(2)/25)*Calculateur!CG63*Calculateur!CI63*VLOOKUP('Données projet'!$B$12,Paramètres!$A$1:$I$89,3,0)*0.475*44/12</f>
        <v>0</v>
      </c>
      <c r="CM63" s="21">
        <f>EXP(-LN(2)/2)*CM62+(1-EXP(-LN(2)/2))/(LN(2)/2)*CG63*CJ63*VLOOKUP('Données projet'!$B$12,Paramètres!$A$1:$I$89,3,0)*0.475*44/12</f>
        <v>0</v>
      </c>
      <c r="CN63" s="22">
        <f t="shared" si="12"/>
        <v>80.868841337567815</v>
      </c>
      <c r="CO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11.644999999999996</v>
      </c>
      <c r="CT63" s="12">
        <f>IF('Données projet'!$A$140&gt;35,CT62+CS63-DB62,IF(A63&lt;'Données projet'!$A$140,$CQ$205^A63,IF(A63='Données projet'!$A$140,'Données projet'!$B$140,CT62+CS63-DB62)))</f>
        <v>277.65500000000003</v>
      </c>
      <c r="CU63" s="17">
        <f>CT63*VLOOKUP('Données projet'!$B$13,Paramètres!$A$1:$I$89,3,0)*VLOOKUP('Données projet'!$B$13,Paramètres!$A$1:$I$89,5,0)</f>
        <v>264.216498</v>
      </c>
      <c r="CV63" s="13">
        <f t="shared" si="41"/>
        <v>63.620321696052983</v>
      </c>
      <c r="CW63" s="20">
        <f t="shared" si="13"/>
        <v>570.98246097062554</v>
      </c>
      <c r="CX63" s="59">
        <f t="shared" si="14"/>
        <v>832.23816730210297</v>
      </c>
      <c r="CY63" s="59">
        <f ca="1">AVERAGE(OFFSET($CX$3,0,0,'Données projet'!$E$13+1,1))-AVERAGE(OFFSET($H$3,0,0,'Données projet'!$E$13+1,1))</f>
        <v>592.58528889137358</v>
      </c>
      <c r="CZ63" s="59">
        <f t="shared" si="42"/>
        <v>311.31528020403709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79.564505186961881</v>
      </c>
      <c r="DG63" s="21">
        <f>EXP(-LN(2)/25)*DG62+(1-EXP(-LN(2)/25))/(LN(2)/25)*Calculateur!DB63*Calculateur!DD63*VLOOKUP('Données projet'!$B$13,Paramètres!$A$1:$I$89,3,0)*0.475*44/12</f>
        <v>0</v>
      </c>
      <c r="DH63" s="21">
        <f>EXP(-LN(2)/2)*DH62+(1-EXP(-LN(2)/2))/(LN(2)/2)*DB63*DE63*VLOOKUP('Données projet'!$B$13,Paramètres!$A$1:$I$89,3,0)*0.475*44/12</f>
        <v>0</v>
      </c>
      <c r="DI63" s="22">
        <f t="shared" si="15"/>
        <v>79.564505186961881</v>
      </c>
      <c r="DJ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2">
        <f>'Scénario référence'!$B$16*5+'Scénario référence'!$B$17*0+'Scénario référence'!$B$18*5</f>
        <v>5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66">
        <f t="shared" si="1"/>
        <v>183.33333333333334</v>
      </c>
      <c r="I64" s="6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11.644999999999996</v>
      </c>
      <c r="N64" s="13">
        <f>IF('Données projet'!$A$36&gt;35,N63+M64-V63,IF(A64&lt;'Données projet'!$A$36,$K$205^A64,IF(A64='Données projet'!$A$36,'Données projet'!$B$36,N63+M64-V63)))</f>
        <v>289.3</v>
      </c>
      <c r="O64" s="13">
        <f>N64*VLOOKUP('Données projet'!$B$9,Paramètres!$A$1:$I$89,3,0)*VLOOKUP('Données projet'!$B$9,Paramètres!$A$1:$I$89,5,0)</f>
        <v>261.75863999999996</v>
      </c>
      <c r="P64" s="13">
        <f t="shared" si="33"/>
        <v>63.097101732536537</v>
      </c>
      <c r="Q64" s="20">
        <f t="shared" si="53"/>
        <v>565.79041685083439</v>
      </c>
      <c r="R64" s="59">
        <f t="shared" si="0"/>
        <v>827.60259829596373</v>
      </c>
      <c r="S64" s="59">
        <f ca="1">AVERAGE(OFFSET($R$3,0,0,'Données projet'!$E$9+1,1))-AVERAGE(OFFSET($H$3,0,0,'Données projet'!$E$9+1,1))</f>
        <v>567.42635821507474</v>
      </c>
      <c r="T64" s="59">
        <f t="shared" si="34"/>
        <v>299.04735309930152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74.168017027024689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0</v>
      </c>
      <c r="AC64" s="22">
        <f t="shared" si="3"/>
        <v>74.168017027024689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10.4</v>
      </c>
      <c r="AI64" s="13">
        <f>IF('Données projet'!$A$62&gt;35,AI63+AH64-AQ63,IF(A64&lt;'Données projet'!$A$62,$AF$205^A64,IF(A64='Données projet'!$A$62,'Données projet'!$B$62,AI63+AH64-AQ63)))</f>
        <v>252.40000000000003</v>
      </c>
      <c r="AJ64" s="13">
        <f>AI64*VLOOKUP('Données projet'!$B$10,Paramètres!$A$1:$I$89,3,0)*VLOOKUP('Données projet'!$B$10,Paramètres!$A$1:$I$89,5,0)</f>
        <v>216.55920000000003</v>
      </c>
      <c r="AK64" s="13">
        <f t="shared" si="35"/>
        <v>53.366360125240483</v>
      </c>
      <c r="AL64" s="20">
        <f t="shared" si="4"/>
        <v>470.12035055146049</v>
      </c>
      <c r="AM64" s="59">
        <f t="shared" si="5"/>
        <v>731.93253199658989</v>
      </c>
      <c r="AN64" s="59">
        <f ca="1">AVERAGE(OFFSET($AM$3,0,0,'Données projet'!$E$10+1,1))-AVERAGE(OFFSET($H$3,0,0,'Données projet'!$E$10+1,1))</f>
        <v>481.23392184981651</v>
      </c>
      <c r="AO64" s="59">
        <f t="shared" si="36"/>
        <v>275.88160405468193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65.569122564970201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65.569122564970201</v>
      </c>
      <c r="AY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8.6666666666666661</v>
      </c>
      <c r="BD64" s="12">
        <f>IF('Données projet'!$A$88&gt;35,BD63+BC64-BL63,IF(A64&lt;'Données projet'!$A$88,$BA$205^A64,IF(A64='Données projet'!$A$88,'Données projet'!$B$88,BD63+BC64-BL63)))</f>
        <v>258.66666666666657</v>
      </c>
      <c r="BE64" s="13">
        <f>BD64*VLOOKUP('Données projet'!$B$11,Paramètres!$A$1:$I$89,3,0)*VLOOKUP('Données projet'!$B$11,Paramètres!$A$1:$I$89,5,0)</f>
        <v>201.75999999999993</v>
      </c>
      <c r="BF64" s="13">
        <f t="shared" si="37"/>
        <v>50.130765000424169</v>
      </c>
      <c r="BG64" s="20">
        <f t="shared" si="7"/>
        <v>438.70974904240529</v>
      </c>
      <c r="BH64" s="59">
        <f t="shared" si="8"/>
        <v>700.52193048753463</v>
      </c>
      <c r="BI64" s="59">
        <f ca="1">AVERAGE(OFFSET($BH$3,0,0,'Données projet'!$E$11+1,1))-AVERAGE(OFFSET($H$3,0,0,'Données projet'!$E$11+1,1))</f>
        <v>308.85018589589453</v>
      </c>
      <c r="BJ64" s="59">
        <f t="shared" si="38"/>
        <v>302.59481222418219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59.029176038752226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59.029176038752226</v>
      </c>
      <c r="BT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11.644999999999996</v>
      </c>
      <c r="BY64" s="12">
        <f>IF('Données projet'!$A$114&gt;35,BY63+BX64-CG63,IF(A64&lt;'Données projet'!$A$114,$BV$205^A64,IF(A64='Données projet'!$A$114,'Données projet'!$B$114,BY63+BX64-CG63)))</f>
        <v>289.3</v>
      </c>
      <c r="BZ64" s="13">
        <f>BY64*VLOOKUP('Données projet'!$B$12,Paramètres!$A$1:$I$89,3,0)*VLOOKUP('Données projet'!$B$12,Paramètres!$A$1:$I$89,5,0)</f>
        <v>279.81096000000002</v>
      </c>
      <c r="CA64" s="13">
        <f t="shared" si="39"/>
        <v>66.927057724705037</v>
      </c>
      <c r="CB64" s="20">
        <f t="shared" si="10"/>
        <v>603.90204753719468</v>
      </c>
      <c r="CC64" s="59">
        <f t="shared" si="11"/>
        <v>865.71422898232402</v>
      </c>
      <c r="CD64" s="59">
        <f ca="1">AVERAGE(OFFSET($CC$3,0,0,'Données projet'!$E$12+1,1))-AVERAGE(OFFSET($H$3,0,0,'Données projet'!$E$12+1,1))</f>
        <v>600.96600099724276</v>
      </c>
      <c r="CE64" s="59">
        <f t="shared" si="40"/>
        <v>315.40159260706264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79.283052684060877</v>
      </c>
      <c r="CL64" s="21">
        <f>EXP(-LN(2)/25)*CL63+(1-EXP(-LN(2)/25))/(LN(2)/25)*Calculateur!CG64*Calculateur!CI64*VLOOKUP('Données projet'!$B$12,Paramètres!$A$1:$I$89,3,0)*0.475*44/12</f>
        <v>0</v>
      </c>
      <c r="CM64" s="21">
        <f>EXP(-LN(2)/2)*CM63+(1-EXP(-LN(2)/2))/(LN(2)/2)*CG64*CJ64*VLOOKUP('Données projet'!$B$12,Paramètres!$A$1:$I$89,3,0)*0.475*44/12</f>
        <v>0</v>
      </c>
      <c r="CN64" s="22">
        <f t="shared" si="12"/>
        <v>79.283052684060877</v>
      </c>
      <c r="CO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11.644999999999996</v>
      </c>
      <c r="CT64" s="12">
        <f>IF('Données projet'!$A$140&gt;35,CT63+CS64-DB63,IF(A64&lt;'Données projet'!$A$140,$CQ$205^A64,IF(A64='Données projet'!$A$140,'Données projet'!$B$140,CT63+CS64-DB63)))</f>
        <v>289.3</v>
      </c>
      <c r="CU64" s="17">
        <f>CT64*VLOOKUP('Données projet'!$B$13,Paramètres!$A$1:$I$89,3,0)*VLOOKUP('Données projet'!$B$13,Paramètres!$A$1:$I$89,5,0)</f>
        <v>275.29788000000002</v>
      </c>
      <c r="CV64" s="13">
        <f t="shared" si="41"/>
        <v>65.972338426180542</v>
      </c>
      <c r="CW64" s="20">
        <f t="shared" si="13"/>
        <v>594.37896375893115</v>
      </c>
      <c r="CX64" s="59">
        <f t="shared" si="14"/>
        <v>856.19114520406049</v>
      </c>
      <c r="CY64" s="59">
        <f ca="1">AVERAGE(OFFSET($CX$3,0,0,'Données projet'!$E$13+1,1))-AVERAGE(OFFSET($H$3,0,0,'Données projet'!$E$13+1,1))</f>
        <v>592.58528889137358</v>
      </c>
      <c r="CZ64" s="59">
        <f t="shared" si="42"/>
        <v>311.31528020403709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78.004293769801833</v>
      </c>
      <c r="DG64" s="21">
        <f>EXP(-LN(2)/25)*DG63+(1-EXP(-LN(2)/25))/(LN(2)/25)*Calculateur!DB64*Calculateur!DD64*VLOOKUP('Données projet'!$B$13,Paramètres!$A$1:$I$89,3,0)*0.475*44/12</f>
        <v>0</v>
      </c>
      <c r="DH64" s="21">
        <f>EXP(-LN(2)/2)*DH63+(1-EXP(-LN(2)/2))/(LN(2)/2)*DB64*DE64*VLOOKUP('Données projet'!$B$13,Paramètres!$A$1:$I$89,3,0)*0.475*44/12</f>
        <v>0</v>
      </c>
      <c r="DI64" s="22">
        <f t="shared" si="15"/>
        <v>78.004293769801833</v>
      </c>
      <c r="DJ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2">
        <f>'Scénario référence'!$B$16*5+'Scénario référence'!$B$17*0+'Scénario référence'!$B$18*5</f>
        <v>5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66">
        <f t="shared" si="1"/>
        <v>183.33333333333334</v>
      </c>
      <c r="I65" s="6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11.644999999999996</v>
      </c>
      <c r="N65" s="13">
        <f>IF('Données projet'!$A$36&gt;35,N64+M65-V64,IF(A65&lt;'Données projet'!$A$36,$K$205^A65,IF(A65='Données projet'!$A$36,'Données projet'!$B$36,N64+M65-V64)))</f>
        <v>300.94499999999999</v>
      </c>
      <c r="O65" s="13">
        <f>N65*VLOOKUP('Données projet'!$B$9,Paramètres!$A$1:$I$89,3,0)*VLOOKUP('Données projet'!$B$9,Paramètres!$A$1:$I$89,5,0)</f>
        <v>272.29503599999998</v>
      </c>
      <c r="P65" s="13">
        <f t="shared" si="33"/>
        <v>65.336093654015798</v>
      </c>
      <c r="Q65" s="20">
        <f t="shared" si="53"/>
        <v>588.04088414741079</v>
      </c>
      <c r="R65" s="59">
        <f t="shared" si="0"/>
        <v>850.39988710706211</v>
      </c>
      <c r="S65" s="59">
        <f ca="1">AVERAGE(OFFSET($R$3,0,0,'Données projet'!$E$9+1,1))-AVERAGE(OFFSET($H$3,0,0,'Données projet'!$E$9+1,1))</f>
        <v>567.42635821507474</v>
      </c>
      <c r="T65" s="59">
        <f t="shared" si="34"/>
        <v>299.04735309930152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72.713627451148241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0</v>
      </c>
      <c r="AC65" s="22">
        <f t="shared" si="3"/>
        <v>72.713627451148241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10.4</v>
      </c>
      <c r="AI65" s="13">
        <f>IF('Données projet'!$A$62&gt;35,AI64+AH65-AQ64,IF(A65&lt;'Données projet'!$A$62,$AF$205^A65,IF(A65='Données projet'!$A$62,'Données projet'!$B$62,AI64+AH65-AQ64)))</f>
        <v>262.8</v>
      </c>
      <c r="AJ65" s="13">
        <f>AI65*VLOOKUP('Données projet'!$B$10,Paramètres!$A$1:$I$89,3,0)*VLOOKUP('Données projet'!$B$10,Paramètres!$A$1:$I$89,5,0)</f>
        <v>225.48240000000004</v>
      </c>
      <c r="AK65" s="13">
        <f t="shared" si="35"/>
        <v>55.304745901414371</v>
      </c>
      <c r="AL65" s="20">
        <f t="shared" si="4"/>
        <v>489.03761244496349</v>
      </c>
      <c r="AM65" s="59">
        <f t="shared" si="5"/>
        <v>751.39661540461475</v>
      </c>
      <c r="AN65" s="59">
        <f ca="1">AVERAGE(OFFSET($AM$3,0,0,'Données projet'!$E$10+1,1))-AVERAGE(OFFSET($H$3,0,0,'Données projet'!$E$10+1,1))</f>
        <v>481.23392184981651</v>
      </c>
      <c r="AO65" s="59">
        <f t="shared" si="36"/>
        <v>275.88160405468193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64.283352064686895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64.283352064686895</v>
      </c>
      <c r="AY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8.6666666666666661</v>
      </c>
      <c r="BD65" s="12">
        <f>IF('Données projet'!$A$88&gt;35,BD64+BC65-BL64,IF(A65&lt;'Données projet'!$A$88,$BA$205^A65,IF(A65='Données projet'!$A$88,'Données projet'!$B$88,BD64+BC65-BL64)))</f>
        <v>267.33333333333326</v>
      </c>
      <c r="BE65" s="13">
        <f>BD65*VLOOKUP('Données projet'!$B$11,Paramètres!$A$1:$I$89,3,0)*VLOOKUP('Données projet'!$B$11,Paramètres!$A$1:$I$89,5,0)</f>
        <v>208.51999999999995</v>
      </c>
      <c r="BF65" s="13">
        <f t="shared" si="37"/>
        <v>51.612035456318459</v>
      </c>
      <c r="BG65" s="20">
        <f t="shared" si="7"/>
        <v>453.06329508642119</v>
      </c>
      <c r="BH65" s="59">
        <f t="shared" si="8"/>
        <v>715.42229804607246</v>
      </c>
      <c r="BI65" s="59">
        <f ca="1">AVERAGE(OFFSET($BH$3,0,0,'Données projet'!$E$11+1,1))-AVERAGE(OFFSET($H$3,0,0,'Données projet'!$E$11+1,1))</f>
        <v>308.85018589589453</v>
      </c>
      <c r="BJ65" s="59">
        <f t="shared" si="38"/>
        <v>302.59481222418219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57.871649900874552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57.871649900874552</v>
      </c>
      <c r="BT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11.644999999999996</v>
      </c>
      <c r="BY65" s="12">
        <f>IF('Données projet'!$A$114&gt;35,BY64+BX65-CG64,IF(A65&lt;'Données projet'!$A$114,$BV$205^A65,IF(A65='Données projet'!$A$114,'Données projet'!$B$114,BY64+BX65-CG64)))</f>
        <v>300.94499999999999</v>
      </c>
      <c r="BZ65" s="13">
        <f>BY65*VLOOKUP('Données projet'!$B$12,Paramètres!$A$1:$I$89,3,0)*VLOOKUP('Données projet'!$B$12,Paramètres!$A$1:$I$89,5,0)</f>
        <v>291.074004</v>
      </c>
      <c r="CA65" s="13">
        <f t="shared" si="39"/>
        <v>69.301955104448211</v>
      </c>
      <c r="CB65" s="20">
        <f t="shared" si="10"/>
        <v>627.6547954402472</v>
      </c>
      <c r="CC65" s="59">
        <f t="shared" si="11"/>
        <v>890.01379839989852</v>
      </c>
      <c r="CD65" s="59">
        <f ca="1">AVERAGE(OFFSET($CC$3,0,0,'Données projet'!$E$12+1,1))-AVERAGE(OFFSET($H$3,0,0,'Données projet'!$E$12+1,1))</f>
        <v>600.96600099724276</v>
      </c>
      <c r="CE65" s="59">
        <f t="shared" si="40"/>
        <v>315.40159260706264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77.728360378813633</v>
      </c>
      <c r="CL65" s="21">
        <f>EXP(-LN(2)/25)*CL64+(1-EXP(-LN(2)/25))/(LN(2)/25)*Calculateur!CG65*Calculateur!CI65*VLOOKUP('Données projet'!$B$12,Paramètres!$A$1:$I$89,3,0)*0.475*44/12</f>
        <v>0</v>
      </c>
      <c r="CM65" s="21">
        <f>EXP(-LN(2)/2)*CM64+(1-EXP(-LN(2)/2))/(LN(2)/2)*CG65*CJ65*VLOOKUP('Données projet'!$B$12,Paramètres!$A$1:$I$89,3,0)*0.475*44/12</f>
        <v>0</v>
      </c>
      <c r="CN65" s="22">
        <f t="shared" si="12"/>
        <v>77.728360378813633</v>
      </c>
      <c r="CO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11.644999999999996</v>
      </c>
      <c r="CT65" s="12">
        <f>IF('Données projet'!$A$140&gt;35,CT64+CS65-DB64,IF(A65&lt;'Données projet'!$A$140,$CQ$205^A65,IF(A65='Données projet'!$A$140,'Données projet'!$B$140,CT64+CS65-DB64)))</f>
        <v>300.94499999999999</v>
      </c>
      <c r="CU65" s="17">
        <f>CT65*VLOOKUP('Données projet'!$B$13,Paramètres!$A$1:$I$89,3,0)*VLOOKUP('Données projet'!$B$13,Paramètres!$A$1:$I$89,5,0)</f>
        <v>286.37926199999998</v>
      </c>
      <c r="CV65" s="13">
        <f t="shared" si="41"/>
        <v>68.313357723761712</v>
      </c>
      <c r="CW65" s="20">
        <f t="shared" si="13"/>
        <v>617.75631268555162</v>
      </c>
      <c r="CX65" s="59">
        <f t="shared" si="14"/>
        <v>880.11531564520294</v>
      </c>
      <c r="CY65" s="59">
        <f ca="1">AVERAGE(OFFSET($CX$3,0,0,'Données projet'!$E$13+1,1))-AVERAGE(OFFSET($H$3,0,0,'Données projet'!$E$13+1,1))</f>
        <v>592.58528889137358</v>
      </c>
      <c r="CZ65" s="59">
        <f t="shared" si="42"/>
        <v>311.31528020403709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76.474677146897292</v>
      </c>
      <c r="DG65" s="21">
        <f>EXP(-LN(2)/25)*DG64+(1-EXP(-LN(2)/25))/(LN(2)/25)*Calculateur!DB65*Calculateur!DD65*VLOOKUP('Données projet'!$B$13,Paramètres!$A$1:$I$89,3,0)*0.475*44/12</f>
        <v>0</v>
      </c>
      <c r="DH65" s="21">
        <f>EXP(-LN(2)/2)*DH64+(1-EXP(-LN(2)/2))/(LN(2)/2)*DB65*DE65*VLOOKUP('Données projet'!$B$13,Paramètres!$A$1:$I$89,3,0)*0.475*44/12</f>
        <v>0</v>
      </c>
      <c r="DI65" s="22">
        <f t="shared" si="15"/>
        <v>76.474677146897292</v>
      </c>
      <c r="DJ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2">
        <f>'Scénario référence'!$B$16*5+'Scénario référence'!$B$17*0+'Scénario référence'!$B$18*5</f>
        <v>5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66">
        <f t="shared" si="1"/>
        <v>183.33333333333334</v>
      </c>
      <c r="I66" s="6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>
        <f>VLOOKUP(A66,'Données projet'!$A$35:$I$55,2,0)</f>
        <v>312.58999999999997</v>
      </c>
      <c r="L66" s="12">
        <f>VLOOKUP(A66,'Données projet'!$A$35:$I$55,9,0)</f>
        <v>11.644999999999996</v>
      </c>
      <c r="M66" s="12">
        <f t="array" ref="M66">INDEX(L:L,MIN(IF(ISNUMBER(L66:L262),ROW(L66:L262),"")))</f>
        <v>11.644999999999996</v>
      </c>
      <c r="N66" s="13">
        <f>IF('Données projet'!$A$36&gt;35,N65+M66-V65,IF(A66&lt;'Données projet'!$A$36,$K$205^A66,IF(A66='Données projet'!$A$36,'Données projet'!$B$36,N65+M66-V65)))</f>
        <v>312.58999999999997</v>
      </c>
      <c r="O66" s="13">
        <f>N66*VLOOKUP('Données projet'!$B$9,Paramètres!$A$1:$I$89,3,0)*VLOOKUP('Données projet'!$B$9,Paramètres!$A$1:$I$89,5,0)</f>
        <v>282.83143199999995</v>
      </c>
      <c r="P66" s="13">
        <f t="shared" si="33"/>
        <v>67.565021018325751</v>
      </c>
      <c r="Q66" s="20">
        <f t="shared" si="53"/>
        <v>610.2738223402506</v>
      </c>
      <c r="R66" s="59">
        <f t="shared" si="0"/>
        <v>873.17016068365672</v>
      </c>
      <c r="S66" s="59">
        <f ca="1">AVERAGE(OFFSET($R$3,0,0,'Données projet'!$E$9+1,1))-AVERAGE(OFFSET($H$3,0,0,'Données projet'!$E$9+1,1))</f>
        <v>567.42635821507474</v>
      </c>
      <c r="T66" s="59">
        <f t="shared" si="34"/>
        <v>299.04735309930152</v>
      </c>
      <c r="U66" s="15">
        <f>IF(ISNA(VLOOKUP(A66,'Données projet'!$A$35:$I$55,3,0)),0,VLOOKUP(A66,'Données projet'!$A$35:$I$55,3,0))</f>
        <v>5</v>
      </c>
      <c r="V66" s="15">
        <f>IF(ISNA(VLOOKUP(A66,'Données projet'!$A$35:$I$55,4,0)),0,VLOOKUP(A66,'Données projet'!$A$35:$I$55,4,0))</f>
        <v>54.21</v>
      </c>
      <c r="W66" s="16">
        <f>IF(ISNA(VLOOKUP(A66,'Données projet'!$A$35:$I$55,5,0)),0%,VLOOKUP(A66,'Données projet'!$A$35:$I$55,5,0)*VLOOKUP('Données projet'!$B$9,Paramètres!$A$1:$I$89,7,0))</f>
        <v>0.43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94.603409598691442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0</v>
      </c>
      <c r="AC66" s="22">
        <f t="shared" si="3"/>
        <v>94.603409598691442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10.4</v>
      </c>
      <c r="AI66" s="13">
        <f>IF('Données projet'!$A$62&gt;35,AI65+AH66-AQ65,IF(A66&lt;'Données projet'!$A$62,$AF$205^A66,IF(A66='Données projet'!$A$62,'Données projet'!$B$62,AI65+AH66-AQ65)))</f>
        <v>273.2</v>
      </c>
      <c r="AJ66" s="13">
        <f>AI66*VLOOKUP('Données projet'!$B$10,Paramètres!$A$1:$I$89,3,0)*VLOOKUP('Données projet'!$B$10,Paramètres!$A$1:$I$89,5,0)</f>
        <v>234.40560000000005</v>
      </c>
      <c r="AK66" s="13">
        <f t="shared" si="35"/>
        <v>57.234220788626125</v>
      </c>
      <c r="AL66" s="20">
        <f t="shared" si="4"/>
        <v>507.93935454019061</v>
      </c>
      <c r="AM66" s="59">
        <f t="shared" si="5"/>
        <v>770.83569288359672</v>
      </c>
      <c r="AN66" s="59">
        <f ca="1">AVERAGE(OFFSET($AM$3,0,0,'Données projet'!$E$10+1,1))-AVERAGE(OFFSET($H$3,0,0,'Données projet'!$E$10+1,1))</f>
        <v>481.23392184981651</v>
      </c>
      <c r="AO66" s="59">
        <f t="shared" si="36"/>
        <v>275.88160405468193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63.022794739671582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63.022794739671582</v>
      </c>
      <c r="AY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8.6666666666666661</v>
      </c>
      <c r="BD66" s="12">
        <f>IF('Données projet'!$A$88&gt;35,BD65+BC66-BL65,IF(A66&lt;'Données projet'!$A$88,$BA$205^A66,IF(A66='Données projet'!$A$88,'Données projet'!$B$88,BD65+BC66-BL65)))</f>
        <v>275.99999999999994</v>
      </c>
      <c r="BE66" s="13">
        <f>BD66*VLOOKUP('Données projet'!$B$11,Paramètres!$A$1:$I$89,3,0)*VLOOKUP('Données projet'!$B$11,Paramètres!$A$1:$I$89,5,0)</f>
        <v>215.27999999999997</v>
      </c>
      <c r="BF66" s="13">
        <f t="shared" si="37"/>
        <v>53.087725740853138</v>
      </c>
      <c r="BG66" s="20">
        <f t="shared" si="7"/>
        <v>467.40712233198587</v>
      </c>
      <c r="BH66" s="59">
        <f t="shared" si="8"/>
        <v>730.30346067539199</v>
      </c>
      <c r="BI66" s="59">
        <f ca="1">AVERAGE(OFFSET($BH$3,0,0,'Données projet'!$E$11+1,1))-AVERAGE(OFFSET($H$3,0,0,'Données projet'!$E$11+1,1))</f>
        <v>308.85018589589453</v>
      </c>
      <c r="BJ66" s="59">
        <f t="shared" si="38"/>
        <v>302.59481222418219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56.736822144539431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56.736822144539431</v>
      </c>
      <c r="BT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>
        <f>VLOOKUP(A66,'Données projet'!$A$113:$I$133,2,0)</f>
        <v>312.58999999999997</v>
      </c>
      <c r="BW66" s="12">
        <f>VLOOKUP(A66,'Données projet'!$A$113:$I$133,9,0)</f>
        <v>11.644999999999996</v>
      </c>
      <c r="BX66" s="12">
        <f t="array" ref="BX66">INDEX(BW:BW,MIN(IF(ISNUMBER(BW66:BW262),ROW(BW66:BW262),"")))</f>
        <v>11.644999999999996</v>
      </c>
      <c r="BY66" s="12">
        <f>IF('Données projet'!$A$114&gt;35,BY65+BX66-CG65,IF(A66&lt;'Données projet'!$A$114,$BV$205^A66,IF(A66='Données projet'!$A$114,'Données projet'!$B$114,BY65+BX66-CG65)))</f>
        <v>312.58999999999997</v>
      </c>
      <c r="BZ66" s="13">
        <f>BY66*VLOOKUP('Données projet'!$B$12,Paramètres!$A$1:$I$89,3,0)*VLOOKUP('Données projet'!$B$12,Paramètres!$A$1:$I$89,5,0)</f>
        <v>302.33704799999998</v>
      </c>
      <c r="CA66" s="13">
        <f t="shared" si="39"/>
        <v>71.666177014476503</v>
      </c>
      <c r="CB66" s="20">
        <f t="shared" si="10"/>
        <v>651.38895023354644</v>
      </c>
      <c r="CC66" s="59">
        <f t="shared" si="11"/>
        <v>914.28528857695255</v>
      </c>
      <c r="CD66" s="59">
        <f ca="1">AVERAGE(OFFSET($CC$3,0,0,'Données projet'!$E$12+1,1))-AVERAGE(OFFSET($H$3,0,0,'Données projet'!$E$12+1,1))</f>
        <v>600.96600099724276</v>
      </c>
      <c r="CE66" s="59">
        <f t="shared" si="40"/>
        <v>315.40159260706264</v>
      </c>
      <c r="CF66" s="15">
        <f>IF(ISNA(VLOOKUP(A66,'Données projet'!$A$113:$I$133,3,0)),0,VLOOKUP(A66,'Données projet'!$A$113:$I$133,3,0))</f>
        <v>5</v>
      </c>
      <c r="CG66" s="15">
        <f>IF(ISNA(VLOOKUP(A66,'Données projet'!$A$113:$I$133,4,0)),0,VLOOKUP(A66,'Données projet'!$A$113:$I$133,4,0))</f>
        <v>54.21</v>
      </c>
      <c r="CH66" s="16">
        <f>IF(ISNA(VLOOKUP(A66,'Données projet'!$A$113:$I$133,5,0)),0%,VLOOKUP(A66,'Données projet'!$A$113:$I$133,5,0)*VLOOKUP('Données projet'!$B$12,Paramètres!$A$1:$I$89,7,0))</f>
        <v>0.43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101.12778267446326</v>
      </c>
      <c r="CL66" s="21">
        <f>EXP(-LN(2)/25)*CL65+(1-EXP(-LN(2)/25))/(LN(2)/25)*Calculateur!CG66*Calculateur!CI66*VLOOKUP('Données projet'!$B$12,Paramètres!$A$1:$I$89,3,0)*0.475*44/12</f>
        <v>0</v>
      </c>
      <c r="CM66" s="21">
        <f>EXP(-LN(2)/2)*CM65+(1-EXP(-LN(2)/2))/(LN(2)/2)*CG66*CJ66*VLOOKUP('Données projet'!$B$12,Paramètres!$A$1:$I$89,3,0)*0.475*44/12</f>
        <v>0</v>
      </c>
      <c r="CN66" s="22">
        <f t="shared" si="12"/>
        <v>101.12778267446326</v>
      </c>
      <c r="CO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>
        <f>VLOOKUP(A66,'Données projet'!$A$139:$I$159,2,0)</f>
        <v>312.58999999999997</v>
      </c>
      <c r="CR66" s="12">
        <f>VLOOKUP(A66,'Données projet'!$A$139:$I$159,9,0)</f>
        <v>11.644999999999996</v>
      </c>
      <c r="CS66" s="12">
        <f t="array" ref="CS66">INDEX(CR:CR,MIN(IF(ISNUMBER(CR66:CR262),ROW(CR66:CR262),"")))</f>
        <v>11.644999999999996</v>
      </c>
      <c r="CT66" s="12">
        <f>IF('Données projet'!$A$140&gt;35,CT65+CS66-DB65,IF(A66&lt;'Données projet'!$A$140,$CQ$205^A66,IF(A66='Données projet'!$A$140,'Données projet'!$B$140,CT65+CS66-DB65)))</f>
        <v>312.58999999999997</v>
      </c>
      <c r="CU66" s="17">
        <f>CT66*VLOOKUP('Données projet'!$B$13,Paramètres!$A$1:$I$89,3,0)*VLOOKUP('Données projet'!$B$13,Paramètres!$A$1:$I$89,5,0)</f>
        <v>297.46064399999995</v>
      </c>
      <c r="CV66" s="13">
        <f t="shared" si="41"/>
        <v>70.643853837972429</v>
      </c>
      <c r="CW66" s="20">
        <f t="shared" si="13"/>
        <v>641.11533373446855</v>
      </c>
      <c r="CX66" s="59">
        <f t="shared" si="14"/>
        <v>904.01167207787466</v>
      </c>
      <c r="CY66" s="59">
        <f ca="1">AVERAGE(OFFSET($CX$3,0,0,'Données projet'!$E$13+1,1))-AVERAGE(OFFSET($H$3,0,0,'Données projet'!$E$13+1,1))</f>
        <v>592.58528889137358</v>
      </c>
      <c r="CZ66" s="59">
        <f t="shared" si="42"/>
        <v>311.31528020403709</v>
      </c>
      <c r="DA66" s="15">
        <f>IF(ISNA(VLOOKUP(A66,'Données projet'!$A$139:$I$159,3,0)),0,VLOOKUP(A66,'Données projet'!$A$139:$I$159,3,0))</f>
        <v>5</v>
      </c>
      <c r="DB66" s="15">
        <f>IF(ISNA(VLOOKUP(A66,'Données projet'!$A$139:$I$159,4,0)),0,VLOOKUP(A66,'Données projet'!$A$139:$I$159,4,0))</f>
        <v>54.21</v>
      </c>
      <c r="DC66" s="16">
        <f>IF(ISNA(VLOOKUP(A66,'Données projet'!$A$139:$I$159,5,0)),0%,VLOOKUP(A66,'Données projet'!$A$139:$I$159,5,0)*VLOOKUP('Données projet'!$B$13,Paramètres!$A$1:$I$89,7,0))</f>
        <v>0.43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99.496689405520314</v>
      </c>
      <c r="DG66" s="21">
        <f>EXP(-LN(2)/25)*DG65+(1-EXP(-LN(2)/25))/(LN(2)/25)*Calculateur!DB66*Calculateur!DD66*VLOOKUP('Données projet'!$B$13,Paramètres!$A$1:$I$89,3,0)*0.475*44/12</f>
        <v>0</v>
      </c>
      <c r="DH66" s="21">
        <f>EXP(-LN(2)/2)*DH65+(1-EXP(-LN(2)/2))/(LN(2)/2)*DB66*DE66*VLOOKUP('Données projet'!$B$13,Paramètres!$A$1:$I$89,3,0)*0.475*44/12</f>
        <v>0</v>
      </c>
      <c r="DI66" s="22">
        <f t="shared" si="15"/>
        <v>99.496689405520314</v>
      </c>
      <c r="DJ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2">
        <f>'Scénario référence'!$B$16*5+'Scénario référence'!$B$17*0+'Scénario référence'!$B$18*5</f>
        <v>5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66">
        <f t="shared" si="1"/>
        <v>183.33333333333334</v>
      </c>
      <c r="I67" s="6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11.28875</v>
      </c>
      <c r="N67" s="13">
        <f>IF('Données projet'!$A$36&gt;35,N66+M67-V66,IF(A67&lt;'Données projet'!$A$36,$K$205^A67,IF(A67='Données projet'!$A$36,'Données projet'!$B$36,N66+M67-V66)))</f>
        <v>269.66874999999999</v>
      </c>
      <c r="O67" s="13">
        <f>N67*VLOOKUP('Données projet'!$B$9,Paramètres!$A$1:$I$89,3,0)*VLOOKUP('Données projet'!$B$9,Paramètres!$A$1:$I$89,5,0)</f>
        <v>243.996285</v>
      </c>
      <c r="P67" s="13">
        <f t="shared" si="33"/>
        <v>59.298522534643098</v>
      </c>
      <c r="Q67" s="20">
        <f t="shared" ref="Q67:Q98" si="54">(O67+P67)*0.475*44/12</f>
        <v>528.23845645617007</v>
      </c>
      <c r="R67" s="59">
        <f t="shared" ref="R67:R130" si="55">Q67+(I67+J67)*44/12</f>
        <v>791.66280861572477</v>
      </c>
      <c r="S67" s="59">
        <f ca="1">AVERAGE(OFFSET($R$3,0,0,'Données projet'!$E$9+1,1))-AVERAGE(OFFSET($H$3,0,0,'Données projet'!$E$9+1,1))</f>
        <v>567.42635821507474</v>
      </c>
      <c r="T67" s="59">
        <f t="shared" si="34"/>
        <v>299.04735309930152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92.748294438843317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0</v>
      </c>
      <c r="AC67" s="22">
        <f t="shared" si="3"/>
        <v>92.748294438843317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10.4</v>
      </c>
      <c r="AI67" s="13">
        <f>IF('Données projet'!$A$62&gt;35,AI66+AH67-AQ66,IF(A67&lt;'Données projet'!$A$62,$AF$205^A67,IF(A67='Données projet'!$A$62,'Données projet'!$B$62,AI66+AH67-AQ66)))</f>
        <v>283.59999999999997</v>
      </c>
      <c r="AJ67" s="13">
        <f>AI67*VLOOKUP('Données projet'!$B$10,Paramètres!$A$1:$I$89,3,0)*VLOOKUP('Données projet'!$B$10,Paramètres!$A$1:$I$89,5,0)</f>
        <v>243.3288</v>
      </c>
      <c r="AK67" s="13">
        <f t="shared" si="35"/>
        <v>59.155162833418565</v>
      </c>
      <c r="AL67" s="20">
        <f t="shared" si="4"/>
        <v>526.82623526820396</v>
      </c>
      <c r="AM67" s="59">
        <f t="shared" si="5"/>
        <v>790.25058742775877</v>
      </c>
      <c r="AN67" s="59">
        <f ca="1">AVERAGE(OFFSET($AM$3,0,0,'Données projet'!$E$10+1,1))-AVERAGE(OFFSET($H$3,0,0,'Données projet'!$E$10+1,1))</f>
        <v>481.23392184981651</v>
      </c>
      <c r="AO67" s="59">
        <f t="shared" si="36"/>
        <v>275.88160405468193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61.786956174935767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61.786956174935767</v>
      </c>
      <c r="AY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8.6666666666666661</v>
      </c>
      <c r="BD67" s="12">
        <f>IF('Données projet'!$A$88&gt;35,BD66+BC67-BL66,IF(A67&lt;'Données projet'!$A$88,$BA$205^A67,IF(A67='Données projet'!$A$88,'Données projet'!$B$88,BD66+BC67-BL66)))</f>
        <v>284.66666666666663</v>
      </c>
      <c r="BE67" s="13">
        <f>BD67*VLOOKUP('Données projet'!$B$11,Paramètres!$A$1:$I$89,3,0)*VLOOKUP('Données projet'!$B$11,Paramètres!$A$1:$I$89,5,0)</f>
        <v>222.04</v>
      </c>
      <c r="BF67" s="13">
        <f t="shared" si="37"/>
        <v>54.558031180803546</v>
      </c>
      <c r="BG67" s="20">
        <f t="shared" si="7"/>
        <v>481.74157097323285</v>
      </c>
      <c r="BH67" s="59">
        <f t="shared" si="8"/>
        <v>745.16592313278761</v>
      </c>
      <c r="BI67" s="59">
        <f ca="1">AVERAGE(OFFSET($BH$3,0,0,'Données projet'!$E$11+1,1))-AVERAGE(OFFSET($H$3,0,0,'Données projet'!$E$11+1,1))</f>
        <v>308.85018589589453</v>
      </c>
      <c r="BJ67" s="59">
        <f t="shared" si="38"/>
        <v>302.59481222418219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55.62424766832946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55.62424766832946</v>
      </c>
      <c r="BT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11.28875</v>
      </c>
      <c r="BY67" s="12">
        <f>IF('Données projet'!$A$114&gt;35,BY66+BX67-CG66,IF(A67&lt;'Données projet'!$A$114,$BV$205^A67,IF(A67='Données projet'!$A$114,'Données projet'!$B$114,BY66+BX67-CG66)))</f>
        <v>269.66874999999999</v>
      </c>
      <c r="BZ67" s="13">
        <f>BY67*VLOOKUP('Données projet'!$B$12,Paramètres!$A$1:$I$89,3,0)*VLOOKUP('Données projet'!$B$12,Paramètres!$A$1:$I$89,5,0)</f>
        <v>260.82361500000002</v>
      </c>
      <c r="CA67" s="13">
        <f t="shared" si="39"/>
        <v>62.897907062176472</v>
      </c>
      <c r="CB67" s="20">
        <f t="shared" si="10"/>
        <v>563.81498425829068</v>
      </c>
      <c r="CC67" s="59">
        <f t="shared" si="11"/>
        <v>827.23933641784538</v>
      </c>
      <c r="CD67" s="59">
        <f ca="1">AVERAGE(OFFSET($CC$3,0,0,'Données projet'!$E$12+1,1))-AVERAGE(OFFSET($H$3,0,0,'Données projet'!$E$12+1,1))</f>
        <v>600.96600099724276</v>
      </c>
      <c r="CE67" s="59">
        <f t="shared" si="40"/>
        <v>315.40159260706264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99.144728538073892</v>
      </c>
      <c r="CL67" s="21">
        <f>EXP(-LN(2)/25)*CL66+(1-EXP(-LN(2)/25))/(LN(2)/25)*Calculateur!CG67*Calculateur!CI67*VLOOKUP('Données projet'!$B$12,Paramètres!$A$1:$I$89,3,0)*0.475*44/12</f>
        <v>0</v>
      </c>
      <c r="CM67" s="21">
        <f>EXP(-LN(2)/2)*CM66+(1-EXP(-LN(2)/2))/(LN(2)/2)*CG67*CJ67*VLOOKUP('Données projet'!$B$12,Paramètres!$A$1:$I$89,3,0)*0.475*44/12</f>
        <v>0</v>
      </c>
      <c r="CN67" s="22">
        <f t="shared" si="12"/>
        <v>99.144728538073892</v>
      </c>
      <c r="CO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11.28875</v>
      </c>
      <c r="CT67" s="12">
        <f>IF('Données projet'!$A$140&gt;35,CT66+CS67-DB66,IF(A67&lt;'Données projet'!$A$140,$CQ$205^A67,IF(A67='Données projet'!$A$140,'Données projet'!$B$140,CT66+CS67-DB66)))</f>
        <v>269.66874999999999</v>
      </c>
      <c r="CU67" s="17">
        <f>CT67*VLOOKUP('Données projet'!$B$13,Paramètres!$A$1:$I$89,3,0)*VLOOKUP('Données projet'!$B$13,Paramètres!$A$1:$I$89,5,0)</f>
        <v>256.6167825</v>
      </c>
      <c r="CV67" s="13">
        <f t="shared" si="41"/>
        <v>62.000663888032079</v>
      </c>
      <c r="CW67" s="20">
        <f t="shared" si="13"/>
        <v>554.92538579248924</v>
      </c>
      <c r="CX67" s="59">
        <f t="shared" si="14"/>
        <v>818.34973795204405</v>
      </c>
      <c r="CY67" s="59">
        <f ca="1">AVERAGE(OFFSET($CX$3,0,0,'Données projet'!$E$13+1,1))-AVERAGE(OFFSET($H$3,0,0,'Données projet'!$E$13+1,1))</f>
        <v>592.58528889137358</v>
      </c>
      <c r="CZ67" s="59">
        <f t="shared" si="42"/>
        <v>311.31528020403709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97.545620013266259</v>
      </c>
      <c r="DG67" s="21">
        <f>EXP(-LN(2)/25)*DG66+(1-EXP(-LN(2)/25))/(LN(2)/25)*Calculateur!DB67*Calculateur!DD67*VLOOKUP('Données projet'!$B$13,Paramètres!$A$1:$I$89,3,0)*0.475*44/12</f>
        <v>0</v>
      </c>
      <c r="DH67" s="21">
        <f>EXP(-LN(2)/2)*DH66+(1-EXP(-LN(2)/2))/(LN(2)/2)*DB67*DE67*VLOOKUP('Données projet'!$B$13,Paramètres!$A$1:$I$89,3,0)*0.475*44/12</f>
        <v>0</v>
      </c>
      <c r="DI67" s="22">
        <f t="shared" si="15"/>
        <v>97.545620013266259</v>
      </c>
      <c r="DJ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2">
        <f>'Scénario référence'!$B$16*5+'Scénario référence'!$B$17*0+'Scénario référence'!$B$18*5</f>
        <v>5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66">
        <f t="shared" ref="H68:H131" si="56">(B68+E68+F68)*44/12+(C68+D68)*0.475*44/12</f>
        <v>183.33333333333334</v>
      </c>
      <c r="I68" s="6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11.28875</v>
      </c>
      <c r="N68" s="13">
        <f>IF('Données projet'!$A$36&gt;35,N67+M68-V67,IF(A68&lt;'Données projet'!$A$36,$K$205^A68,IF(A68='Données projet'!$A$36,'Données projet'!$B$36,N67+M68-V67)))</f>
        <v>280.95749999999998</v>
      </c>
      <c r="O68" s="13">
        <f>N68*VLOOKUP('Données projet'!$B$9,Paramètres!$A$1:$I$89,3,0)*VLOOKUP('Données projet'!$B$9,Paramètres!$A$1:$I$89,5,0)</f>
        <v>254.21034599999999</v>
      </c>
      <c r="P68" s="13">
        <f t="shared" si="33"/>
        <v>61.486644866788161</v>
      </c>
      <c r="Q68" s="20">
        <f t="shared" si="54"/>
        <v>549.83892575965604</v>
      </c>
      <c r="R68" s="59">
        <f t="shared" si="55"/>
        <v>813.78213187611118</v>
      </c>
      <c r="S68" s="59">
        <f ca="1">AVERAGE(OFFSET($R$3,0,0,'Données projet'!$E$9+1,1))-AVERAGE(OFFSET($H$3,0,0,'Données projet'!$E$9+1,1))</f>
        <v>567.42635821507474</v>
      </c>
      <c r="T68" s="59">
        <f t="shared" si="34"/>
        <v>299.04735309930152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90.929556955771304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90.929556955771304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>
        <f>VLOOKUP(A68,'Données projet'!$A$61:$I$81,2,0)</f>
        <v>294</v>
      </c>
      <c r="AG68" s="12">
        <f>VLOOKUP(A68,'Données projet'!$A$61:$I$81,9,0)</f>
        <v>10.4</v>
      </c>
      <c r="AH68" s="12">
        <f t="array" ref="AH68">INDEX(AG:AG,MIN(IF(ISNUMBER(AG68:AG264),ROW(AG68:AG264),"")))</f>
        <v>10.4</v>
      </c>
      <c r="AI68" s="13">
        <f>IF('Données projet'!$A$62&gt;35,AI67+AH68-AQ67,IF(A68&lt;'Données projet'!$A$62,$AF$205^A68,IF(A68='Données projet'!$A$62,'Données projet'!$B$62,AI67+AH68-AQ67)))</f>
        <v>293.99999999999994</v>
      </c>
      <c r="AJ68" s="13">
        <f>AI68*VLOOKUP('Données projet'!$B$10,Paramètres!$A$1:$I$89,3,0)*VLOOKUP('Données projet'!$B$10,Paramètres!$A$1:$I$89,5,0)</f>
        <v>252.25199999999998</v>
      </c>
      <c r="AK68" s="13">
        <f t="shared" si="35"/>
        <v>61.067920784150822</v>
      </c>
      <c r="AL68" s="20">
        <f t="shared" ref="AL68:AL131" si="58">(AJ68+AK68)*0.475*44/12</f>
        <v>545.69886203239594</v>
      </c>
      <c r="AM68" s="59">
        <f t="shared" ref="AM68:AM131" si="59">AL68+(AD68+AE68)*44/12</f>
        <v>809.64206814885119</v>
      </c>
      <c r="AN68" s="59">
        <f ca="1">AVERAGE(OFFSET($AM$3,0,0,'Données projet'!$E$10+1,1))-AVERAGE(OFFSET($H$3,0,0,'Données projet'!$E$10+1,1))</f>
        <v>481.23392184981651</v>
      </c>
      <c r="AO68" s="59">
        <f t="shared" si="36"/>
        <v>275.88160405468193</v>
      </c>
      <c r="AP68" s="15">
        <f>IF(ISNA(VLOOKUP(A68,'Données projet'!$A$61:$I$81,3,0)),0,VLOOKUP(A68,'Données projet'!$A$61:$I$81,3,0))</f>
        <v>9</v>
      </c>
      <c r="AQ68" s="15">
        <f>IF(ISNA(VLOOKUP(A68,'Données projet'!$A$61:$I$81,4,0)),0,VLOOKUP(A68,'Données projet'!$A$61:$I$81,4,0))</f>
        <v>28</v>
      </c>
      <c r="AR68" s="16">
        <f>IF(ISNA(VLOOKUP(A68,'Données projet'!$A$61:$I$81,5,0)),0%,VLOOKUP(A68,'Données projet'!$A$61:$I$81,5,0)*VLOOKUP('Données projet'!$B$10,Paramètres!$A$1:$I$89,7,0))</f>
        <v>0.53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74.650996461554115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74.650996461554115</v>
      </c>
      <c r="AY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8.6666666666666661</v>
      </c>
      <c r="BD68" s="12">
        <f>IF('Données projet'!$A$88&gt;35,BD67+BC68-BL67,IF(A68&lt;'Données projet'!$A$88,$BA$205^A68,IF(A68='Données projet'!$A$88,'Données projet'!$B$88,BD67+BC68-BL67)))</f>
        <v>293.33333333333331</v>
      </c>
      <c r="BE68" s="13">
        <f>BD68*VLOOKUP('Données projet'!$B$11,Paramètres!$A$1:$I$89,3,0)*VLOOKUP('Données projet'!$B$11,Paramètres!$A$1:$I$89,5,0)</f>
        <v>228.79999999999998</v>
      </c>
      <c r="BF68" s="13">
        <f t="shared" si="37"/>
        <v>56.023134533701196</v>
      </c>
      <c r="BG68" s="20">
        <f t="shared" ref="BG68:BG131" si="61">(BE68+BF68)*0.475*44/12</f>
        <v>496.06695931286293</v>
      </c>
      <c r="BH68" s="59">
        <f t="shared" ref="BH68:BH131" si="62">BG68+(AY68+AZ68)*44/12</f>
        <v>760.01016542931814</v>
      </c>
      <c r="BI68" s="59">
        <f ca="1">AVERAGE(OFFSET($BH$3,0,0,'Données projet'!$E$11+1,1))-AVERAGE(OFFSET($H$3,0,0,'Données projet'!$E$11+1,1))</f>
        <v>308.85018589589453</v>
      </c>
      <c r="BJ68" s="59">
        <f t="shared" si="38"/>
        <v>302.59481222418219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54.533490098994541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54.533490098994541</v>
      </c>
      <c r="BT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11.28875</v>
      </c>
      <c r="BY68" s="12">
        <f>IF('Données projet'!$A$114&gt;35,BY67+BX68-CG67,IF(A68&lt;'Données projet'!$A$114,$BV$205^A68,IF(A68='Données projet'!$A$114,'Données projet'!$B$114,BY67+BX68-CG67)))</f>
        <v>280.95749999999998</v>
      </c>
      <c r="BZ68" s="13">
        <f>BY68*VLOOKUP('Données projet'!$B$12,Paramètres!$A$1:$I$89,3,0)*VLOOKUP('Données projet'!$B$12,Paramètres!$A$1:$I$89,5,0)</f>
        <v>271.74209400000001</v>
      </c>
      <c r="CA68" s="13">
        <f t="shared" si="39"/>
        <v>65.218847099215822</v>
      </c>
      <c r="CB68" s="20">
        <f t="shared" ref="CB68:CB131" si="64">(BZ68+CA68)*0.475*44/12</f>
        <v>586.87363908113412</v>
      </c>
      <c r="CC68" s="59">
        <f t="shared" ref="CC68:CC131" si="65">CB68+(BT68+BU68)*44/12</f>
        <v>850.81684519758937</v>
      </c>
      <c r="CD68" s="59">
        <f ca="1">AVERAGE(OFFSET($CC$3,0,0,'Données projet'!$E$12+1,1))-AVERAGE(OFFSET($H$3,0,0,'Données projet'!$E$12+1,1))</f>
        <v>600.96600099724276</v>
      </c>
      <c r="CE68" s="59">
        <f t="shared" si="40"/>
        <v>315.40159260706264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97.200560883755529</v>
      </c>
      <c r="CL68" s="21">
        <f>EXP(-LN(2)/25)*CL67+(1-EXP(-LN(2)/25))/(LN(2)/25)*Calculateur!CG68*Calculateur!CI68*VLOOKUP('Données projet'!$B$12,Paramètres!$A$1:$I$89,3,0)*0.475*44/12</f>
        <v>0</v>
      </c>
      <c r="CM68" s="21">
        <f>EXP(-LN(2)/2)*CM67+(1-EXP(-LN(2)/2))/(LN(2)/2)*CG68*CJ68*VLOOKUP('Données projet'!$B$12,Paramètres!$A$1:$I$89,3,0)*0.475*44/12</f>
        <v>0</v>
      </c>
      <c r="CN68" s="22">
        <f t="shared" ref="CN68:CN131" si="66">SUM(CK68:CM68)</f>
        <v>97.200560883755529</v>
      </c>
      <c r="CO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11.28875</v>
      </c>
      <c r="CT68" s="12">
        <f>IF('Données projet'!$A$140&gt;35,CT67+CS68-DB67,IF(A68&lt;'Données projet'!$A$140,$CQ$205^A68,IF(A68='Données projet'!$A$140,'Données projet'!$B$140,CT67+CS68-DB67)))</f>
        <v>280.95749999999998</v>
      </c>
      <c r="CU68" s="17">
        <f>CT68*VLOOKUP('Données projet'!$B$13,Paramètres!$A$1:$I$89,3,0)*VLOOKUP('Données projet'!$B$13,Paramètres!$A$1:$I$89,5,0)</f>
        <v>267.35915699999998</v>
      </c>
      <c r="CV68" s="13">
        <f t="shared" si="41"/>
        <v>64.288495548289134</v>
      </c>
      <c r="CW68" s="20">
        <f t="shared" ref="CW68:CW131" si="67">(CU68+CV68)*0.475*44/12</f>
        <v>577.61966152160346</v>
      </c>
      <c r="CX68" s="59">
        <f t="shared" ref="CX68:CX131" si="68">CW68+(CO68+CP68)*44/12</f>
        <v>841.56286763805861</v>
      </c>
      <c r="CY68" s="59">
        <f ca="1">AVERAGE(OFFSET($CX$3,0,0,'Données projet'!$E$13+1,1))-AVERAGE(OFFSET($H$3,0,0,'Données projet'!$E$13+1,1))</f>
        <v>592.58528889137358</v>
      </c>
      <c r="CZ68" s="59">
        <f t="shared" si="42"/>
        <v>311.31528020403709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95.632809901759472</v>
      </c>
      <c r="DG68" s="21">
        <f>EXP(-LN(2)/25)*DG67+(1-EXP(-LN(2)/25))/(LN(2)/25)*Calculateur!DB68*Calculateur!DD68*VLOOKUP('Données projet'!$B$13,Paramètres!$A$1:$I$89,3,0)*0.475*44/12</f>
        <v>0</v>
      </c>
      <c r="DH68" s="21">
        <f>EXP(-LN(2)/2)*DH67+(1-EXP(-LN(2)/2))/(LN(2)/2)*DB68*DE68*VLOOKUP('Données projet'!$B$13,Paramètres!$A$1:$I$89,3,0)*0.475*44/12</f>
        <v>0</v>
      </c>
      <c r="DI68" s="22">
        <f t="shared" ref="DI68:DI131" si="69">SUM(DF68:DH68)</f>
        <v>95.632809901759472</v>
      </c>
      <c r="DJ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2">
        <f>'Scénario référence'!$B$16*5+'Scénario référence'!$B$17*0+'Scénario référence'!$B$18*5</f>
        <v>5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66">
        <f t="shared" si="56"/>
        <v>183.33333333333334</v>
      </c>
      <c r="I69" s="6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11.28875</v>
      </c>
      <c r="N69" s="13">
        <f>IF('Données projet'!$A$36&gt;35,N68+M69-V68,IF(A69&lt;'Données projet'!$A$36,$K$205^A69,IF(A69='Données projet'!$A$36,'Données projet'!$B$36,N68+M69-V68)))</f>
        <v>292.24624999999997</v>
      </c>
      <c r="O69" s="13">
        <f>N69*VLOOKUP('Données projet'!$B$9,Paramètres!$A$1:$I$89,3,0)*VLOOKUP('Données projet'!$B$9,Paramètres!$A$1:$I$89,5,0)</f>
        <v>264.42440699999997</v>
      </c>
      <c r="P69" s="13">
        <f t="shared" ref="P69:P132" si="87">EXP(-1.0587+0.8836*LN(O69)+0.284)</f>
        <v>63.664554558165378</v>
      </c>
      <c r="Q69" s="20">
        <f t="shared" si="54"/>
        <v>571.42160804713797</v>
      </c>
      <c r="R69" s="59">
        <f t="shared" si="55"/>
        <v>835.87466716432505</v>
      </c>
      <c r="S69" s="59">
        <f ca="1">AVERAGE(OFFSET($R$3,0,0,'Données projet'!$E$9+1,1))-AVERAGE(OFFSET($H$3,0,0,'Données projet'!$E$9+1,1))</f>
        <v>567.42635821507474</v>
      </c>
      <c r="T69" s="59">
        <f t="shared" ref="T69:T132" si="88">$T$3</f>
        <v>299.04735309930152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89.146483805421994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89.146483805421994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10</v>
      </c>
      <c r="AI69" s="13">
        <f>IF('Données projet'!$A$62&gt;35,AI68+AH69-AQ68,IF(A69&lt;'Données projet'!$A$62,$AF$205^A69,IF(A69='Données projet'!$A$62,'Données projet'!$B$62,AI68+AH69-AQ68)))</f>
        <v>275.99999999999994</v>
      </c>
      <c r="AJ69" s="13">
        <f>AI69*VLOOKUP('Données projet'!$B$10,Paramètres!$A$1:$I$89,3,0)*VLOOKUP('Données projet'!$B$10,Paramètres!$A$1:$I$89,5,0)</f>
        <v>236.80799999999999</v>
      </c>
      <c r="AK69" s="13">
        <f t="shared" ref="AK69:AK132" si="89">EXP(-1.0587+0.8836*LN(AJ69)+0.284)</f>
        <v>57.752221878398714</v>
      </c>
      <c r="AL69" s="20">
        <f t="shared" si="58"/>
        <v>513.02571977154435</v>
      </c>
      <c r="AM69" s="59">
        <f t="shared" si="59"/>
        <v>777.47877888873143</v>
      </c>
      <c r="AN69" s="59">
        <f ca="1">AVERAGE(OFFSET($AM$3,0,0,'Données projet'!$E$10+1,1))-AVERAGE(OFFSET($H$3,0,0,'Données projet'!$E$10+1,1))</f>
        <v>481.23392184981651</v>
      </c>
      <c r="AO69" s="59">
        <f t="shared" ref="AO69:AO132" si="90">$AO$3</f>
        <v>275.88160405468193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73.187135953554915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73.187135953554915</v>
      </c>
      <c r="AY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8.6666666666666661</v>
      </c>
      <c r="BD69" s="12">
        <f>IF('Données projet'!$A$88&gt;35,BD68+BC69-BL68,IF(A69&lt;'Données projet'!$A$88,$BA$205^A69,IF(A69='Données projet'!$A$88,'Données projet'!$B$88,BD68+BC69-BL68)))</f>
        <v>302</v>
      </c>
      <c r="BE69" s="13">
        <f>BD69*VLOOKUP('Données projet'!$B$11,Paramètres!$A$1:$I$89,3,0)*VLOOKUP('Données projet'!$B$11,Paramètres!$A$1:$I$89,5,0)</f>
        <v>235.56</v>
      </c>
      <c r="BF69" s="13">
        <f t="shared" ref="BF69:BF132" si="91">EXP(-1.0587+0.8836*LN(BE69)+0.284)</f>
        <v>57.483207143847721</v>
      </c>
      <c r="BG69" s="20">
        <f t="shared" si="61"/>
        <v>510.38358577553481</v>
      </c>
      <c r="BH69" s="59">
        <f t="shared" si="62"/>
        <v>774.83664489272189</v>
      </c>
      <c r="BI69" s="59">
        <f ca="1">AVERAGE(OFFSET($BH$3,0,0,'Données projet'!$E$11+1,1))-AVERAGE(OFFSET($H$3,0,0,'Données projet'!$E$11+1,1))</f>
        <v>308.85018589589453</v>
      </c>
      <c r="BJ69" s="59">
        <f t="shared" ref="BJ69:BJ132" si="92">$BJ$3</f>
        <v>302.59481222418219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53.464121620297853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53.464121620297853</v>
      </c>
      <c r="BT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11.28875</v>
      </c>
      <c r="BY69" s="12">
        <f>IF('Données projet'!$A$114&gt;35,BY68+BX69-CG68,IF(A69&lt;'Données projet'!$A$114,$BV$205^A69,IF(A69='Données projet'!$A$114,'Données projet'!$B$114,BY68+BX69-CG68)))</f>
        <v>292.24624999999997</v>
      </c>
      <c r="BZ69" s="13">
        <f>BY69*VLOOKUP('Données projet'!$B$12,Paramètres!$A$1:$I$89,3,0)*VLOOKUP('Données projet'!$B$12,Paramètres!$A$1:$I$89,5,0)</f>
        <v>282.660573</v>
      </c>
      <c r="CA69" s="13">
        <f t="shared" ref="CA69:CA132" si="93">EXP(-1.0587+0.8836*LN(BZ69)+0.284)</f>
        <v>67.528954594356733</v>
      </c>
      <c r="CB69" s="20">
        <f t="shared" si="64"/>
        <v>609.91342722683794</v>
      </c>
      <c r="CC69" s="59">
        <f t="shared" si="65"/>
        <v>874.36648634402502</v>
      </c>
      <c r="CD69" s="59">
        <f ca="1">AVERAGE(OFFSET($CC$3,0,0,'Données projet'!$E$12+1,1))-AVERAGE(OFFSET($H$3,0,0,'Données projet'!$E$12+1,1))</f>
        <v>600.96600099724276</v>
      </c>
      <c r="CE69" s="59">
        <f t="shared" ref="CE69:CE132" si="94">$CE$3</f>
        <v>315.40159260706264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95.294517171313174</v>
      </c>
      <c r="CL69" s="21">
        <f>EXP(-LN(2)/25)*CL68+(1-EXP(-LN(2)/25))/(LN(2)/25)*Calculateur!CG69*Calculateur!CI69*VLOOKUP('Données projet'!$B$12,Paramètres!$A$1:$I$89,3,0)*0.475*44/12</f>
        <v>0</v>
      </c>
      <c r="CM69" s="21">
        <f>EXP(-LN(2)/2)*CM68+(1-EXP(-LN(2)/2))/(LN(2)/2)*CG69*CJ69*VLOOKUP('Données projet'!$B$12,Paramètres!$A$1:$I$89,3,0)*0.475*44/12</f>
        <v>0</v>
      </c>
      <c r="CN69" s="22">
        <f t="shared" si="66"/>
        <v>95.294517171313174</v>
      </c>
      <c r="CO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11.28875</v>
      </c>
      <c r="CT69" s="12">
        <f>IF('Données projet'!$A$140&gt;35,CT68+CS69-DB68,IF(A69&lt;'Données projet'!$A$140,$CQ$205^A69,IF(A69='Données projet'!$A$140,'Données projet'!$B$140,CT68+CS69-DB68)))</f>
        <v>292.24624999999997</v>
      </c>
      <c r="CU69" s="17">
        <f>CT69*VLOOKUP('Données projet'!$B$13,Paramètres!$A$1:$I$89,3,0)*VLOOKUP('Données projet'!$B$13,Paramètres!$A$1:$I$89,5,0)</f>
        <v>278.10153149999996</v>
      </c>
      <c r="CV69" s="13">
        <f t="shared" ref="CV69:CV132" si="95">EXP(-1.0587+0.8836*LN(CU69)+0.284)</f>
        <v>66.565649193638038</v>
      </c>
      <c r="CW69" s="20">
        <f t="shared" si="67"/>
        <v>600.29533970808609</v>
      </c>
      <c r="CX69" s="59">
        <f t="shared" si="68"/>
        <v>864.74839882527317</v>
      </c>
      <c r="CY69" s="59">
        <f ca="1">AVERAGE(OFFSET($CX$3,0,0,'Données projet'!$E$13+1,1))-AVERAGE(OFFSET($H$3,0,0,'Données projet'!$E$13+1,1))</f>
        <v>592.58528889137358</v>
      </c>
      <c r="CZ69" s="59">
        <f t="shared" ref="CZ69:CZ132" si="96">$CZ$3</f>
        <v>311.31528020403709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93.757508829840376</v>
      </c>
      <c r="DG69" s="21">
        <f>EXP(-LN(2)/25)*DG68+(1-EXP(-LN(2)/25))/(LN(2)/25)*Calculateur!DB69*Calculateur!DD69*VLOOKUP('Données projet'!$B$13,Paramètres!$A$1:$I$89,3,0)*0.475*44/12</f>
        <v>0</v>
      </c>
      <c r="DH69" s="21">
        <f>EXP(-LN(2)/2)*DH68+(1-EXP(-LN(2)/2))/(LN(2)/2)*DB69*DE69*VLOOKUP('Données projet'!$B$13,Paramètres!$A$1:$I$89,3,0)*0.475*44/12</f>
        <v>0</v>
      </c>
      <c r="DI69" s="22">
        <f t="shared" si="69"/>
        <v>93.757508829840376</v>
      </c>
      <c r="DJ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2">
        <f>'Scénario référence'!$B$16*5+'Scénario référence'!$B$17*0+'Scénario référence'!$B$18*5</f>
        <v>5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66">
        <f t="shared" si="56"/>
        <v>183.33333333333334</v>
      </c>
      <c r="I70" s="6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11.28875</v>
      </c>
      <c r="N70" s="13">
        <f>IF('Données projet'!$A$36&gt;35,N69+M70-V69,IF(A70&lt;'Données projet'!$A$36,$K$205^A70,IF(A70='Données projet'!$A$36,'Données projet'!$B$36,N69+M70-V69)))</f>
        <v>303.53499999999997</v>
      </c>
      <c r="O70" s="13">
        <f>N70*VLOOKUP('Données projet'!$B$9,Paramètres!$A$1:$I$89,3,0)*VLOOKUP('Données projet'!$B$9,Paramètres!$A$1:$I$89,5,0)</f>
        <v>274.63846799999993</v>
      </c>
      <c r="P70" s="13">
        <f t="shared" si="87"/>
        <v>65.832691250400728</v>
      </c>
      <c r="Q70" s="20">
        <f t="shared" si="54"/>
        <v>592.98726902778117</v>
      </c>
      <c r="R70" s="59">
        <f t="shared" si="55"/>
        <v>857.94133633599813</v>
      </c>
      <c r="S70" s="59">
        <f ca="1">AVERAGE(OFFSET($R$3,0,0,'Données projet'!$E$9+1,1))-AVERAGE(OFFSET($H$3,0,0,'Données projet'!$E$9+1,1))</f>
        <v>567.42635821507474</v>
      </c>
      <c r="T70" s="59">
        <f t="shared" si="88"/>
        <v>299.04735309930152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87.398375631983811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87.398375631983811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10</v>
      </c>
      <c r="AI70" s="13">
        <f>IF('Données projet'!$A$62&gt;35,AI69+AH70-AQ69,IF(A70&lt;'Données projet'!$A$62,$AF$205^A70,IF(A70='Données projet'!$A$62,'Données projet'!$B$62,AI69+AH70-AQ69)))</f>
        <v>285.99999999999994</v>
      </c>
      <c r="AJ70" s="13">
        <f>AI70*VLOOKUP('Données projet'!$B$10,Paramètres!$A$1:$I$89,3,0)*VLOOKUP('Données projet'!$B$10,Paramètres!$A$1:$I$89,5,0)</f>
        <v>245.38799999999998</v>
      </c>
      <c r="AK70" s="13">
        <f t="shared" si="89"/>
        <v>59.597282764919569</v>
      </c>
      <c r="AL70" s="20">
        <f t="shared" si="58"/>
        <v>531.18270081556818</v>
      </c>
      <c r="AM70" s="59">
        <f t="shared" si="59"/>
        <v>796.13676812378503</v>
      </c>
      <c r="AN70" s="59">
        <f ca="1">AVERAGE(OFFSET($AM$3,0,0,'Données projet'!$E$10+1,1))-AVERAGE(OFFSET($H$3,0,0,'Données projet'!$E$10+1,1))</f>
        <v>481.23392184981651</v>
      </c>
      <c r="AO70" s="59">
        <f t="shared" si="90"/>
        <v>275.88160405468193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71.751980857250828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71.751980857250828</v>
      </c>
      <c r="AY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8.6666666666666661</v>
      </c>
      <c r="BD70" s="12">
        <f>IF('Données projet'!$A$88&gt;35,BD69+BC70-BL69,IF(A70&lt;'Données projet'!$A$88,$BA$205^A70,IF(A70='Données projet'!$A$88,'Données projet'!$B$88,BD69+BC70-BL69)))</f>
        <v>310.66666666666669</v>
      </c>
      <c r="BE70" s="13">
        <f>BD70*VLOOKUP('Données projet'!$B$11,Paramètres!$A$1:$I$89,3,0)*VLOOKUP('Données projet'!$B$11,Paramètres!$A$1:$I$89,5,0)</f>
        <v>242.32000000000002</v>
      </c>
      <c r="BF70" s="13">
        <f t="shared" si="91"/>
        <v>58.938409961900859</v>
      </c>
      <c r="BG70" s="20">
        <f t="shared" si="61"/>
        <v>524.69173068364398</v>
      </c>
      <c r="BH70" s="59">
        <f t="shared" si="62"/>
        <v>789.64579799186095</v>
      </c>
      <c r="BI70" s="59">
        <f ca="1">AVERAGE(OFFSET($BH$3,0,0,'Données projet'!$E$11+1,1))-AVERAGE(OFFSET($H$3,0,0,'Données projet'!$E$11+1,1))</f>
        <v>308.85018589589453</v>
      </c>
      <c r="BJ70" s="59">
        <f t="shared" si="92"/>
        <v>302.59481222418219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52.415722805218039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52.415722805218039</v>
      </c>
      <c r="BT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11.28875</v>
      </c>
      <c r="BY70" s="12">
        <f>IF('Données projet'!$A$114&gt;35,BY69+BX70-CG69,IF(A70&lt;'Données projet'!$A$114,$BV$205^A70,IF(A70='Données projet'!$A$114,'Données projet'!$B$114,BY69+BX70-CG69)))</f>
        <v>303.53499999999997</v>
      </c>
      <c r="BZ70" s="13">
        <f>BY70*VLOOKUP('Données projet'!$B$12,Paramètres!$A$1:$I$89,3,0)*VLOOKUP('Données projet'!$B$12,Paramètres!$A$1:$I$89,5,0)</f>
        <v>293.57905199999993</v>
      </c>
      <c r="CA70" s="13">
        <f t="shared" si="93"/>
        <v>69.828695875206279</v>
      </c>
      <c r="CB70" s="20">
        <f t="shared" si="64"/>
        <v>632.93516088265085</v>
      </c>
      <c r="CC70" s="59">
        <f t="shared" si="65"/>
        <v>897.8892281908677</v>
      </c>
      <c r="CD70" s="59">
        <f ca="1">AVERAGE(OFFSET($CC$3,0,0,'Données projet'!$E$12+1,1))-AVERAGE(OFFSET($H$3,0,0,'Données projet'!$E$12+1,1))</f>
        <v>600.96600099724276</v>
      </c>
      <c r="CE70" s="59">
        <f t="shared" si="94"/>
        <v>315.40159260706264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93.425849813499937</v>
      </c>
      <c r="CL70" s="21">
        <f>EXP(-LN(2)/25)*CL69+(1-EXP(-LN(2)/25))/(LN(2)/25)*Calculateur!CG70*Calculateur!CI70*VLOOKUP('Données projet'!$B$12,Paramètres!$A$1:$I$89,3,0)*0.475*44/12</f>
        <v>0</v>
      </c>
      <c r="CM70" s="21">
        <f>EXP(-LN(2)/2)*CM69+(1-EXP(-LN(2)/2))/(LN(2)/2)*CG70*CJ70*VLOOKUP('Données projet'!$B$12,Paramètres!$A$1:$I$89,3,0)*0.475*44/12</f>
        <v>0</v>
      </c>
      <c r="CN70" s="22">
        <f t="shared" si="66"/>
        <v>93.425849813499937</v>
      </c>
      <c r="CO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11.28875</v>
      </c>
      <c r="CT70" s="12">
        <f>IF('Données projet'!$A$140&gt;35,CT69+CS70-DB69,IF(A70&lt;'Données projet'!$A$140,$CQ$205^A70,IF(A70='Données projet'!$A$140,'Données projet'!$B$140,CT69+CS70-DB69)))</f>
        <v>303.53499999999997</v>
      </c>
      <c r="CU70" s="17">
        <f>CT70*VLOOKUP('Données projet'!$B$13,Paramètres!$A$1:$I$89,3,0)*VLOOKUP('Données projet'!$B$13,Paramètres!$A$1:$I$89,5,0)</f>
        <v>288.84390599999995</v>
      </c>
      <c r="CV70" s="13">
        <f t="shared" si="95"/>
        <v>68.832584499489144</v>
      </c>
      <c r="CW70" s="20">
        <f t="shared" si="67"/>
        <v>622.95322095327685</v>
      </c>
      <c r="CX70" s="59">
        <f t="shared" si="68"/>
        <v>887.9072882614937</v>
      </c>
      <c r="CY70" s="59">
        <f ca="1">AVERAGE(OFFSET($CX$3,0,0,'Données projet'!$E$13+1,1))-AVERAGE(OFFSET($H$3,0,0,'Données projet'!$E$13+1,1))</f>
        <v>592.58528889137358</v>
      </c>
      <c r="CZ70" s="59">
        <f t="shared" si="96"/>
        <v>311.31528020403709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91.918981268120902</v>
      </c>
      <c r="DG70" s="21">
        <f>EXP(-LN(2)/25)*DG69+(1-EXP(-LN(2)/25))/(LN(2)/25)*Calculateur!DB70*Calculateur!DD70*VLOOKUP('Données projet'!$B$13,Paramètres!$A$1:$I$89,3,0)*0.475*44/12</f>
        <v>0</v>
      </c>
      <c r="DH70" s="21">
        <f>EXP(-LN(2)/2)*DH69+(1-EXP(-LN(2)/2))/(LN(2)/2)*DB70*DE70*VLOOKUP('Données projet'!$B$13,Paramètres!$A$1:$I$89,3,0)*0.475*44/12</f>
        <v>0</v>
      </c>
      <c r="DI70" s="22">
        <f t="shared" si="69"/>
        <v>91.918981268120902</v>
      </c>
      <c r="DJ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2">
        <f>'Scénario référence'!$B$16*5+'Scénario référence'!$B$17*0+'Scénario référence'!$B$18*5</f>
        <v>5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66">
        <f t="shared" si="56"/>
        <v>183.33333333333334</v>
      </c>
      <c r="I71" s="6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11.28875</v>
      </c>
      <c r="N71" s="13">
        <f>IF('Données projet'!$A$36&gt;35,N70+M71-V70,IF(A71&lt;'Données projet'!$A$36,$K$205^A71,IF(A71='Données projet'!$A$36,'Données projet'!$B$36,N70+M71-V70)))</f>
        <v>314.82374999999996</v>
      </c>
      <c r="O71" s="13">
        <f>N71*VLOOKUP('Données projet'!$B$9,Paramètres!$A$1:$I$89,3,0)*VLOOKUP('Données projet'!$B$9,Paramètres!$A$1:$I$89,5,0)</f>
        <v>284.85252899999995</v>
      </c>
      <c r="P71" s="13">
        <f t="shared" si="87"/>
        <v>67.991460031008771</v>
      </c>
      <c r="Q71" s="20">
        <f t="shared" si="54"/>
        <v>614.53661422900689</v>
      </c>
      <c r="R71" s="59">
        <f t="shared" si="55"/>
        <v>879.98299835622572</v>
      </c>
      <c r="S71" s="59">
        <f ca="1">AVERAGE(OFFSET($R$3,0,0,'Données projet'!$E$9+1,1))-AVERAGE(OFFSET($H$3,0,0,'Données projet'!$E$9+1,1))</f>
        <v>567.42635821507474</v>
      </c>
      <c r="T71" s="59">
        <f t="shared" si="88"/>
        <v>299.04735309930152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85.684546793586037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85.684546793586037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10</v>
      </c>
      <c r="AI71" s="13">
        <f>IF('Données projet'!$A$62&gt;35,AI70+AH71-AQ70,IF(A71&lt;'Données projet'!$A$62,$AF$205^A71,IF(A71='Données projet'!$A$62,'Données projet'!$B$62,AI70+AH71-AQ70)))</f>
        <v>295.99999999999994</v>
      </c>
      <c r="AJ71" s="13">
        <f>AI71*VLOOKUP('Données projet'!$B$10,Paramètres!$A$1:$I$89,3,0)*VLOOKUP('Données projet'!$B$10,Paramètres!$A$1:$I$89,5,0)</f>
        <v>253.96799999999999</v>
      </c>
      <c r="AK71" s="13">
        <f t="shared" si="89"/>
        <v>61.434848029666512</v>
      </c>
      <c r="AL71" s="20">
        <f t="shared" si="58"/>
        <v>549.32662698500246</v>
      </c>
      <c r="AM71" s="59">
        <f t="shared" si="59"/>
        <v>814.7730111122213</v>
      </c>
      <c r="AN71" s="59">
        <f ca="1">AVERAGE(OFFSET($AM$3,0,0,'Données projet'!$E$10+1,1))-AVERAGE(OFFSET($H$3,0,0,'Données projet'!$E$10+1,1))</f>
        <v>481.23392184981651</v>
      </c>
      <c r="AO71" s="59">
        <f t="shared" si="90"/>
        <v>275.88160405468193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70.344968277027093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70.344968277027093</v>
      </c>
      <c r="AY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8.6666666666666661</v>
      </c>
      <c r="BD71" s="12">
        <f>IF('Données projet'!$A$88&gt;35,BD70+BC71-BL70,IF(A71&lt;'Données projet'!$A$88,$BA$205^A71,IF(A71='Données projet'!$A$88,'Données projet'!$B$88,BD70+BC71-BL70)))</f>
        <v>319.33333333333337</v>
      </c>
      <c r="BE71" s="13">
        <f>BD71*VLOOKUP('Données projet'!$B$11,Paramètres!$A$1:$I$89,3,0)*VLOOKUP('Données projet'!$B$11,Paramètres!$A$1:$I$89,5,0)</f>
        <v>249.08000000000004</v>
      </c>
      <c r="BF71" s="13">
        <f t="shared" si="91"/>
        <v>60.388894447487807</v>
      </c>
      <c r="BG71" s="20">
        <f t="shared" si="61"/>
        <v>538.99165782937473</v>
      </c>
      <c r="BH71" s="59">
        <f t="shared" si="62"/>
        <v>804.43804195659357</v>
      </c>
      <c r="BI71" s="59">
        <f ca="1">AVERAGE(OFFSET($BH$3,0,0,'Données projet'!$E$11+1,1))-AVERAGE(OFFSET($H$3,0,0,'Données projet'!$E$11+1,1))</f>
        <v>308.85018589589453</v>
      </c>
      <c r="BJ71" s="59">
        <f t="shared" si="92"/>
        <v>302.59481222418219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51.387882451441804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51.387882451441804</v>
      </c>
      <c r="BT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11.28875</v>
      </c>
      <c r="BY71" s="12">
        <f>IF('Données projet'!$A$114&gt;35,BY70+BX71-CG70,IF(A71&lt;'Données projet'!$A$114,$BV$205^A71,IF(A71='Données projet'!$A$114,'Données projet'!$B$114,BY70+BX71-CG70)))</f>
        <v>314.82374999999996</v>
      </c>
      <c r="BZ71" s="13">
        <f>BY71*VLOOKUP('Données projet'!$B$12,Paramètres!$A$1:$I$89,3,0)*VLOOKUP('Données projet'!$B$12,Paramètres!$A$1:$I$89,5,0)</f>
        <v>304.49753099999998</v>
      </c>
      <c r="CA71" s="13">
        <f t="shared" si="93"/>
        <v>72.118500617847047</v>
      </c>
      <c r="CB71" s="20">
        <f t="shared" si="64"/>
        <v>655.9395884010836</v>
      </c>
      <c r="CC71" s="59">
        <f t="shared" si="65"/>
        <v>921.38597252830243</v>
      </c>
      <c r="CD71" s="59">
        <f ca="1">AVERAGE(OFFSET($CC$3,0,0,'Données projet'!$E$12+1,1))-AVERAGE(OFFSET($H$3,0,0,'Données projet'!$E$12+1,1))</f>
        <v>600.96600099724276</v>
      </c>
      <c r="CE71" s="59">
        <f t="shared" si="94"/>
        <v>315.40159260706264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91.593825882798868</v>
      </c>
      <c r="CL71" s="21">
        <f>EXP(-LN(2)/25)*CL70+(1-EXP(-LN(2)/25))/(LN(2)/25)*Calculateur!CG71*Calculateur!CI71*VLOOKUP('Données projet'!$B$12,Paramètres!$A$1:$I$89,3,0)*0.475*44/12</f>
        <v>0</v>
      </c>
      <c r="CM71" s="21">
        <f>EXP(-LN(2)/2)*CM70+(1-EXP(-LN(2)/2))/(LN(2)/2)*CG71*CJ71*VLOOKUP('Données projet'!$B$12,Paramètres!$A$1:$I$89,3,0)*0.475*44/12</f>
        <v>0</v>
      </c>
      <c r="CN71" s="22">
        <f t="shared" si="66"/>
        <v>91.593825882798868</v>
      </c>
      <c r="CO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11.28875</v>
      </c>
      <c r="CT71" s="12">
        <f>IF('Données projet'!$A$140&gt;35,CT70+CS71-DB70,IF(A71&lt;'Données projet'!$A$140,$CQ$205^A71,IF(A71='Données projet'!$A$140,'Données projet'!$B$140,CT70+CS71-DB70)))</f>
        <v>314.82374999999996</v>
      </c>
      <c r="CU71" s="17">
        <f>CT71*VLOOKUP('Données projet'!$B$13,Paramètres!$A$1:$I$89,3,0)*VLOOKUP('Données projet'!$B$13,Paramètres!$A$1:$I$89,5,0)</f>
        <v>299.58628049999993</v>
      </c>
      <c r="CV71" s="13">
        <f t="shared" si="95"/>
        <v>71.089725012564571</v>
      </c>
      <c r="CW71" s="20">
        <f t="shared" si="67"/>
        <v>645.59404293438308</v>
      </c>
      <c r="CX71" s="59">
        <f t="shared" si="68"/>
        <v>911.04042706160192</v>
      </c>
      <c r="CY71" s="59">
        <f ca="1">AVERAGE(OFFSET($CX$3,0,0,'Données projet'!$E$13+1,1))-AVERAGE(OFFSET($H$3,0,0,'Données projet'!$E$13+1,1))</f>
        <v>592.58528889137358</v>
      </c>
      <c r="CZ71" s="59">
        <f t="shared" si="96"/>
        <v>311.31528020403709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90.116506110495664</v>
      </c>
      <c r="DG71" s="21">
        <f>EXP(-LN(2)/25)*DG70+(1-EXP(-LN(2)/25))/(LN(2)/25)*Calculateur!DB71*Calculateur!DD71*VLOOKUP('Données projet'!$B$13,Paramètres!$A$1:$I$89,3,0)*0.475*44/12</f>
        <v>0</v>
      </c>
      <c r="DH71" s="21">
        <f>EXP(-LN(2)/2)*DH70+(1-EXP(-LN(2)/2))/(LN(2)/2)*DB71*DE71*VLOOKUP('Données projet'!$B$13,Paramètres!$A$1:$I$89,3,0)*0.475*44/12</f>
        <v>0</v>
      </c>
      <c r="DI71" s="22">
        <f t="shared" si="69"/>
        <v>90.116506110495664</v>
      </c>
      <c r="DJ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2">
        <f>'Scénario référence'!$B$16*5+'Scénario référence'!$B$17*0+'Scénario référence'!$B$18*5</f>
        <v>5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66">
        <f t="shared" si="56"/>
        <v>183.33333333333334</v>
      </c>
      <c r="I72" s="6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11.28875</v>
      </c>
      <c r="N72" s="13">
        <f>IF('Données projet'!$A$36&gt;35,N71+M72-V71,IF(A72&lt;'Données projet'!$A$36,$K$205^A72,IF(A72='Données projet'!$A$36,'Données projet'!$B$36,N71+M72-V71)))</f>
        <v>326.11249999999995</v>
      </c>
      <c r="O72" s="13">
        <f>N72*VLOOKUP('Données projet'!$B$9,Paramètres!$A$1:$I$89,3,0)*VLOOKUP('Données projet'!$B$9,Paramètres!$A$1:$I$89,5,0)</f>
        <v>295.06658999999991</v>
      </c>
      <c r="P72" s="13">
        <f t="shared" si="87"/>
        <v>70.141235290018514</v>
      </c>
      <c r="Q72" s="20">
        <f t="shared" si="54"/>
        <v>636.07029571344879</v>
      </c>
      <c r="R72" s="59">
        <f t="shared" si="55"/>
        <v>902.00045606351534</v>
      </c>
      <c r="S72" s="59">
        <f ca="1">AVERAGE(OFFSET($R$3,0,0,'Données projet'!$E$9+1,1))-AVERAGE(OFFSET($H$3,0,0,'Données projet'!$E$9+1,1))</f>
        <v>567.42635821507474</v>
      </c>
      <c r="T72" s="59">
        <f t="shared" si="88"/>
        <v>299.04735309930152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84.004325093376877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84.004325093376877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10</v>
      </c>
      <c r="AI72" s="13">
        <f>IF('Données projet'!$A$62&gt;35,AI71+AH72-AQ71,IF(A72&lt;'Données projet'!$A$62,$AF$205^A72,IF(A72='Données projet'!$A$62,'Données projet'!$B$62,AI71+AH72-AQ71)))</f>
        <v>305.99999999999994</v>
      </c>
      <c r="AJ72" s="13">
        <f>AI72*VLOOKUP('Données projet'!$B$10,Paramètres!$A$1:$I$89,3,0)*VLOOKUP('Données projet'!$B$10,Paramètres!$A$1:$I$89,5,0)</f>
        <v>262.548</v>
      </c>
      <c r="AK72" s="13">
        <f t="shared" si="89"/>
        <v>63.265199933079444</v>
      </c>
      <c r="AL72" s="20">
        <f t="shared" si="58"/>
        <v>567.45798988344666</v>
      </c>
      <c r="AM72" s="59">
        <f t="shared" si="59"/>
        <v>833.38815023351322</v>
      </c>
      <c r="AN72" s="59">
        <f ca="1">AVERAGE(OFFSET($AM$3,0,0,'Données projet'!$E$10+1,1))-AVERAGE(OFFSET($H$3,0,0,'Données projet'!$E$10+1,1))</f>
        <v>481.23392184981651</v>
      </c>
      <c r="AO72" s="59">
        <f t="shared" si="90"/>
        <v>275.88160405468193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68.965546355308604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68.965546355308604</v>
      </c>
      <c r="AY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>
        <f>VLOOKUP(A72,'Données projet'!$A$87:$I$107,2,0)</f>
        <v>328</v>
      </c>
      <c r="BB72" s="12">
        <f>VLOOKUP(A72,'Données projet'!$A$87:$I$107,9,0)</f>
        <v>8.6666666666666661</v>
      </c>
      <c r="BC72" s="12">
        <f t="array" ref="BC72">INDEX(BB:BB,MIN(IF(ISNUMBER(BB72:BB268),ROW(BB72:BB268),"")))</f>
        <v>8.6666666666666661</v>
      </c>
      <c r="BD72" s="12">
        <f>IF('Données projet'!$A$88&gt;35,BD71+BC72-BL71,IF(A72&lt;'Données projet'!$A$88,$BA$205^A72,IF(A72='Données projet'!$A$88,'Données projet'!$B$88,BD71+BC72-BL71)))</f>
        <v>328.00000000000006</v>
      </c>
      <c r="BE72" s="13">
        <f>BD72*VLOOKUP('Données projet'!$B$11,Paramètres!$A$1:$I$89,3,0)*VLOOKUP('Données projet'!$B$11,Paramètres!$A$1:$I$89,5,0)</f>
        <v>255.84000000000006</v>
      </c>
      <c r="BF72" s="13">
        <f t="shared" si="91"/>
        <v>61.834803371075836</v>
      </c>
      <c r="BG72" s="20">
        <f t="shared" si="61"/>
        <v>553.28361587129041</v>
      </c>
      <c r="BH72" s="59">
        <f t="shared" si="62"/>
        <v>819.21377622135697</v>
      </c>
      <c r="BI72" s="59">
        <f ca="1">AVERAGE(OFFSET($BH$3,0,0,'Données projet'!$E$11+1,1))-AVERAGE(OFFSET($H$3,0,0,'Données projet'!$E$11+1,1))</f>
        <v>308.85018589589453</v>
      </c>
      <c r="BJ72" s="59">
        <f t="shared" si="92"/>
        <v>302.59481222418219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50.380197420082411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50.380197420082411</v>
      </c>
      <c r="BT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11.28875</v>
      </c>
      <c r="BY72" s="12">
        <f>IF('Données projet'!$A$114&gt;35,BY71+BX72-CG71,IF(A72&lt;'Données projet'!$A$114,$BV$205^A72,IF(A72='Données projet'!$A$114,'Données projet'!$B$114,BY71+BX72-CG71)))</f>
        <v>326.11249999999995</v>
      </c>
      <c r="BZ72" s="13">
        <f>BY72*VLOOKUP('Données projet'!$B$12,Paramètres!$A$1:$I$89,3,0)*VLOOKUP('Données projet'!$B$12,Paramètres!$A$1:$I$89,5,0)</f>
        <v>315.41600999999997</v>
      </c>
      <c r="CA72" s="13">
        <f t="shared" si="93"/>
        <v>74.39876593755659</v>
      </c>
      <c r="CB72" s="20">
        <f t="shared" si="64"/>
        <v>678.92740142457762</v>
      </c>
      <c r="CC72" s="59">
        <f t="shared" si="65"/>
        <v>944.85756177464418</v>
      </c>
      <c r="CD72" s="59">
        <f ca="1">AVERAGE(OFFSET($CC$3,0,0,'Données projet'!$E$12+1,1))-AVERAGE(OFFSET($H$3,0,0,'Données projet'!$E$12+1,1))</f>
        <v>600.96600099724276</v>
      </c>
      <c r="CE72" s="59">
        <f t="shared" si="94"/>
        <v>315.40159260706264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89.797726823954591</v>
      </c>
      <c r="CL72" s="21">
        <f>EXP(-LN(2)/25)*CL71+(1-EXP(-LN(2)/25))/(LN(2)/25)*Calculateur!CG72*Calculateur!CI72*VLOOKUP('Données projet'!$B$12,Paramètres!$A$1:$I$89,3,0)*0.475*44/12</f>
        <v>0</v>
      </c>
      <c r="CM72" s="21">
        <f>EXP(-LN(2)/2)*CM71+(1-EXP(-LN(2)/2))/(LN(2)/2)*CG72*CJ72*VLOOKUP('Données projet'!$B$12,Paramètres!$A$1:$I$89,3,0)*0.475*44/12</f>
        <v>0</v>
      </c>
      <c r="CN72" s="22">
        <f t="shared" si="66"/>
        <v>89.797726823954591</v>
      </c>
      <c r="CO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11.28875</v>
      </c>
      <c r="CT72" s="12">
        <f>IF('Données projet'!$A$140&gt;35,CT71+CS72-DB71,IF(A72&lt;'Données projet'!$A$140,$CQ$205^A72,IF(A72='Données projet'!$A$140,'Données projet'!$B$140,CT71+CS72-DB71)))</f>
        <v>326.11249999999995</v>
      </c>
      <c r="CU72" s="17">
        <f>CT72*VLOOKUP('Données projet'!$B$13,Paramètres!$A$1:$I$89,3,0)*VLOOKUP('Données projet'!$B$13,Paramètres!$A$1:$I$89,5,0)</f>
        <v>310.32865499999991</v>
      </c>
      <c r="CV72" s="13">
        <f t="shared" si="95"/>
        <v>73.337462183263924</v>
      </c>
      <c r="CW72" s="20">
        <f t="shared" si="67"/>
        <v>668.21848742751774</v>
      </c>
      <c r="CX72" s="59">
        <f t="shared" si="68"/>
        <v>934.1486477775843</v>
      </c>
      <c r="CY72" s="59">
        <f ca="1">AVERAGE(OFFSET($CX$3,0,0,'Données projet'!$E$13+1,1))-AVERAGE(OFFSET($H$3,0,0,'Données projet'!$E$13+1,1))</f>
        <v>592.58528889137358</v>
      </c>
      <c r="CZ72" s="59">
        <f t="shared" si="96"/>
        <v>311.31528020403709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88.349376391310159</v>
      </c>
      <c r="DG72" s="21">
        <f>EXP(-LN(2)/25)*DG71+(1-EXP(-LN(2)/25))/(LN(2)/25)*Calculateur!DB72*Calculateur!DD72*VLOOKUP('Données projet'!$B$13,Paramètres!$A$1:$I$89,3,0)*0.475*44/12</f>
        <v>0</v>
      </c>
      <c r="DH72" s="21">
        <f>EXP(-LN(2)/2)*DH71+(1-EXP(-LN(2)/2))/(LN(2)/2)*DB72*DE72*VLOOKUP('Données projet'!$B$13,Paramètres!$A$1:$I$89,3,0)*0.475*44/12</f>
        <v>0</v>
      </c>
      <c r="DI72" s="22">
        <f t="shared" si="69"/>
        <v>88.349376391310159</v>
      </c>
      <c r="DJ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2">
        <f>'Scénario référence'!$B$16*5+'Scénario référence'!$B$17*0+'Scénario référence'!$B$18*5</f>
        <v>5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66">
        <f t="shared" si="56"/>
        <v>183.33333333333334</v>
      </c>
      <c r="I73" s="6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11.28875</v>
      </c>
      <c r="N73" s="13">
        <f>IF('Données projet'!$A$36&gt;35,N72+M73-V72,IF(A73&lt;'Données projet'!$A$36,$K$205^A73,IF(A73='Données projet'!$A$36,'Données projet'!$B$36,N72+M73-V72)))</f>
        <v>337.40124999999995</v>
      </c>
      <c r="O73" s="13">
        <f>N73*VLOOKUP('Données projet'!$B$9,Paramètres!$A$1:$I$89,3,0)*VLOOKUP('Données projet'!$B$9,Paramètres!$A$1:$I$89,5,0)</f>
        <v>305.28065099999998</v>
      </c>
      <c r="P73" s="13">
        <f t="shared" si="87"/>
        <v>72.282364027590162</v>
      </c>
      <c r="Q73" s="20">
        <f t="shared" si="54"/>
        <v>657.58891783971956</v>
      </c>
      <c r="R73" s="59">
        <f t="shared" si="55"/>
        <v>923.9944619767291</v>
      </c>
      <c r="S73" s="59">
        <f ca="1">AVERAGE(OFFSET($R$3,0,0,'Données projet'!$E$9+1,1))-AVERAGE(OFFSET($H$3,0,0,'Données projet'!$E$9+1,1))</f>
        <v>567.42635821507474</v>
      </c>
      <c r="T73" s="59">
        <f t="shared" si="88"/>
        <v>299.04735309930152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82.357051515874772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82.357051515874772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316</v>
      </c>
      <c r="AG73" s="12">
        <f>VLOOKUP(A73,'Données projet'!$A$61:$I$81,9,0)</f>
        <v>10</v>
      </c>
      <c r="AH73" s="12">
        <f t="array" ref="AH73">INDEX(AG:AG,MIN(IF(ISNUMBER(AG73:AG269),ROW(AG73:AG269),"")))</f>
        <v>10</v>
      </c>
      <c r="AI73" s="13">
        <f>IF('Données projet'!$A$62&gt;35,AI72+AH73-AQ72,IF(A73&lt;'Données projet'!$A$62,$AF$205^A73,IF(A73='Données projet'!$A$62,'Données projet'!$B$62,AI72+AH73-AQ72)))</f>
        <v>315.99999999999994</v>
      </c>
      <c r="AJ73" s="13">
        <f>AI73*VLOOKUP('Données projet'!$B$10,Paramètres!$A$1:$I$89,3,0)*VLOOKUP('Données projet'!$B$10,Paramètres!$A$1:$I$89,5,0)</f>
        <v>271.12799999999999</v>
      </c>
      <c r="AK73" s="13">
        <f t="shared" si="89"/>
        <v>65.088601240045278</v>
      </c>
      <c r="AL73" s="20">
        <f t="shared" si="58"/>
        <v>585.57724715974553</v>
      </c>
      <c r="AM73" s="59">
        <f t="shared" si="59"/>
        <v>851.98279129675507</v>
      </c>
      <c r="AN73" s="59">
        <f ca="1">AVERAGE(OFFSET($AM$3,0,0,'Données projet'!$E$10+1,1))-AVERAGE(OFFSET($H$3,0,0,'Données projet'!$E$10+1,1))</f>
        <v>481.23392184981651</v>
      </c>
      <c r="AO73" s="59">
        <f t="shared" si="90"/>
        <v>275.88160405468193</v>
      </c>
      <c r="AP73" s="15">
        <f>IF(ISNA(VLOOKUP(A73,'Données projet'!$A$61:$I$81,3,0)),0,VLOOKUP(A73,'Données projet'!$A$61:$I$81,3,0))</f>
        <v>10</v>
      </c>
      <c r="AQ73" s="15">
        <f>IF(ISNA(VLOOKUP(A73,'Données projet'!$A$61:$I$81,4,0)),0,VLOOKUP(A73,'Données projet'!$A$61:$I$81,4,0))</f>
        <v>28</v>
      </c>
      <c r="AR73" s="16">
        <f>IF(ISNA(VLOOKUP(A73,'Données projet'!$A$61:$I$81,5,0)),0%,VLOOKUP(A73,'Données projet'!$A$61:$I$81,5,0)*VLOOKUP('Données projet'!$B$10,Paramètres!$A$1:$I$89,7,0))</f>
        <v>0.53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81.688818866997508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81.688818866997508</v>
      </c>
      <c r="AY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328.00000000000006</v>
      </c>
      <c r="BE73" s="13">
        <f>BD73*VLOOKUP('Données projet'!$B$11,Paramètres!$A$1:$I$89,3,0)*VLOOKUP('Données projet'!$B$11,Paramètres!$A$1:$I$89,5,0)</f>
        <v>255.84000000000006</v>
      </c>
      <c r="BF73" s="13">
        <f t="shared" si="91"/>
        <v>61.834803371075836</v>
      </c>
      <c r="BG73" s="20">
        <f t="shared" si="61"/>
        <v>553.28361587129041</v>
      </c>
      <c r="BH73" s="59">
        <f t="shared" si="62"/>
        <v>819.68916000829995</v>
      </c>
      <c r="BI73" s="59">
        <f ca="1">AVERAGE(OFFSET($BH$3,0,0,'Données projet'!$E$11+1,1))-AVERAGE(OFFSET($H$3,0,0,'Données projet'!$E$11+1,1))</f>
        <v>308.85018589589453</v>
      </c>
      <c r="BJ73" s="59">
        <f t="shared" si="92"/>
        <v>302.59481222418219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49.392272477560795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49.392272477560795</v>
      </c>
      <c r="BT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11.28875</v>
      </c>
      <c r="BY73" s="12">
        <f>IF('Données projet'!$A$114&gt;35,BY72+BX73-CG72,IF(A73&lt;'Données projet'!$A$114,$BV$205^A73,IF(A73='Données projet'!$A$114,'Données projet'!$B$114,BY72+BX73-CG72)))</f>
        <v>337.40124999999995</v>
      </c>
      <c r="BZ73" s="13">
        <f>BY73*VLOOKUP('Données projet'!$B$12,Paramètres!$A$1:$I$89,3,0)*VLOOKUP('Données projet'!$B$12,Paramètres!$A$1:$I$89,5,0)</f>
        <v>326.33448899999996</v>
      </c>
      <c r="CA73" s="13">
        <f t="shared" si="93"/>
        <v>76.669859897195522</v>
      </c>
      <c r="CB73" s="20">
        <f t="shared" si="64"/>
        <v>701.89924099594873</v>
      </c>
      <c r="CC73" s="59">
        <f t="shared" si="65"/>
        <v>968.30478513295816</v>
      </c>
      <c r="CD73" s="59">
        <f ca="1">AVERAGE(OFFSET($CC$3,0,0,'Données projet'!$E$12+1,1))-AVERAGE(OFFSET($H$3,0,0,'Données projet'!$E$12+1,1))</f>
        <v>600.96600099724276</v>
      </c>
      <c r="CE73" s="59">
        <f t="shared" si="94"/>
        <v>315.40159260706264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88.036848172142001</v>
      </c>
      <c r="CL73" s="21">
        <f>EXP(-LN(2)/25)*CL72+(1-EXP(-LN(2)/25))/(LN(2)/25)*Calculateur!CG73*Calculateur!CI73*VLOOKUP('Données projet'!$B$12,Paramètres!$A$1:$I$89,3,0)*0.475*44/12</f>
        <v>0</v>
      </c>
      <c r="CM73" s="21">
        <f>EXP(-LN(2)/2)*CM72+(1-EXP(-LN(2)/2))/(LN(2)/2)*CG73*CJ73*VLOOKUP('Données projet'!$B$12,Paramètres!$A$1:$I$89,3,0)*0.475*44/12</f>
        <v>0</v>
      </c>
      <c r="CN73" s="22">
        <f t="shared" si="66"/>
        <v>88.036848172142001</v>
      </c>
      <c r="CO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11.28875</v>
      </c>
      <c r="CT73" s="12">
        <f>IF('Données projet'!$A$140&gt;35,CT72+CS73-DB72,IF(A73&lt;'Données projet'!$A$140,$CQ$205^A73,IF(A73='Données projet'!$A$140,'Données projet'!$B$140,CT72+CS73-DB72)))</f>
        <v>337.40124999999995</v>
      </c>
      <c r="CU73" s="17">
        <f>CT73*VLOOKUP('Données projet'!$B$13,Paramètres!$A$1:$I$89,3,0)*VLOOKUP('Données projet'!$B$13,Paramètres!$A$1:$I$89,5,0)</f>
        <v>321.07102949999995</v>
      </c>
      <c r="CV73" s="13">
        <f t="shared" si="95"/>
        <v>75.576158824004594</v>
      </c>
      <c r="CW73" s="20">
        <f t="shared" si="67"/>
        <v>690.82718633097465</v>
      </c>
      <c r="CX73" s="59">
        <f t="shared" si="68"/>
        <v>957.23273046798408</v>
      </c>
      <c r="CY73" s="59">
        <f ca="1">AVERAGE(OFFSET($CX$3,0,0,'Données projet'!$E$13+1,1))-AVERAGE(OFFSET($H$3,0,0,'Données projet'!$E$13+1,1))</f>
        <v>592.58528889137358</v>
      </c>
      <c r="CZ73" s="59">
        <f t="shared" si="96"/>
        <v>311.31528020403709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86.616899008075194</v>
      </c>
      <c r="DG73" s="21">
        <f>EXP(-LN(2)/25)*DG72+(1-EXP(-LN(2)/25))/(LN(2)/25)*Calculateur!DB73*Calculateur!DD73*VLOOKUP('Données projet'!$B$13,Paramètres!$A$1:$I$89,3,0)*0.475*44/12</f>
        <v>0</v>
      </c>
      <c r="DH73" s="21">
        <f>EXP(-LN(2)/2)*DH72+(1-EXP(-LN(2)/2))/(LN(2)/2)*DB73*DE73*VLOOKUP('Données projet'!$B$13,Paramètres!$A$1:$I$89,3,0)*0.475*44/12</f>
        <v>0</v>
      </c>
      <c r="DI73" s="22">
        <f t="shared" si="69"/>
        <v>86.616899008075194</v>
      </c>
      <c r="DJ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2">
        <f>'Scénario référence'!$B$16*5+'Scénario référence'!$B$17*0+'Scénario référence'!$B$18*5</f>
        <v>5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66">
        <f t="shared" si="56"/>
        <v>183.33333333333334</v>
      </c>
      <c r="I74" s="6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>
        <f>VLOOKUP(A74,'Données projet'!$A$35:$I$55,2,0)</f>
        <v>348.69</v>
      </c>
      <c r="L74" s="12">
        <f>VLOOKUP(A74,'Données projet'!$A$35:$I$55,9,0)</f>
        <v>11.28875</v>
      </c>
      <c r="M74" s="12">
        <f t="array" ref="M74">INDEX(L:L,MIN(IF(ISNUMBER(L74:L270),ROW(L74:L270),"")))</f>
        <v>11.28875</v>
      </c>
      <c r="N74" s="13">
        <f>IF('Données projet'!$A$36&gt;35,N73+M74-V73,IF(A74&lt;'Données projet'!$A$36,$K$205^A74,IF(A74='Données projet'!$A$36,'Données projet'!$B$36,N73+M74-V73)))</f>
        <v>348.68999999999994</v>
      </c>
      <c r="O74" s="13">
        <f>N74*VLOOKUP('Données projet'!$B$9,Paramètres!$A$1:$I$89,3,0)*VLOOKUP('Données projet'!$B$9,Paramètres!$A$1:$I$89,5,0)</f>
        <v>315.49471199999994</v>
      </c>
      <c r="P74" s="13">
        <f t="shared" si="87"/>
        <v>74.415168706532612</v>
      </c>
      <c r="Q74" s="20">
        <f t="shared" si="54"/>
        <v>679.09304223054414</v>
      </c>
      <c r="R74" s="59">
        <f t="shared" si="55"/>
        <v>945.96572330859203</v>
      </c>
      <c r="S74" s="59">
        <f ca="1">AVERAGE(OFFSET($R$3,0,0,'Données projet'!$E$9+1,1))-AVERAGE(OFFSET($H$3,0,0,'Données projet'!$E$9+1,1))</f>
        <v>567.42635821507474</v>
      </c>
      <c r="T74" s="59">
        <f t="shared" si="88"/>
        <v>299.04735309930152</v>
      </c>
      <c r="U74" s="15">
        <f>IF(ISNA(VLOOKUP(A74,'Données projet'!$A$35:$I$55,3,0)),0,VLOOKUP(A74,'Données projet'!$A$35:$I$55,3,0))</f>
        <v>6</v>
      </c>
      <c r="V74" s="15">
        <f>IF(ISNA(VLOOKUP(A74,'Données projet'!$A$35:$I$55,4,0)),0,VLOOKUP(A74,'Données projet'!$A$35:$I$55,4,0))</f>
        <v>52.07</v>
      </c>
      <c r="W74" s="16">
        <f>IF(ISNA(VLOOKUP(A74,'Données projet'!$A$35:$I$55,5,0)),0%,VLOOKUP(A74,'Données projet'!$A$35:$I$55,5,0)*VLOOKUP('Données projet'!$B$9,Paramètres!$A$1:$I$89,7,0))</f>
        <v>0.43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103.13732072204741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103.13732072204741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9.4</v>
      </c>
      <c r="AI74" s="13">
        <f>IF('Données projet'!$A$62&gt;35,AI73+AH74-AQ73,IF(A74&lt;'Données projet'!$A$62,$AF$205^A74,IF(A74='Données projet'!$A$62,'Données projet'!$B$62,AI73+AH74-AQ73)))</f>
        <v>297.39999999999992</v>
      </c>
      <c r="AJ74" s="13">
        <f>AI74*VLOOKUP('Données projet'!$B$10,Paramètres!$A$1:$I$89,3,0)*VLOOKUP('Données projet'!$B$10,Paramètres!$A$1:$I$89,5,0)</f>
        <v>255.16919999999996</v>
      </c>
      <c r="AK74" s="13">
        <f t="shared" si="89"/>
        <v>61.691525331424884</v>
      </c>
      <c r="AL74" s="20">
        <f t="shared" si="58"/>
        <v>551.86576328556498</v>
      </c>
      <c r="AM74" s="59">
        <f t="shared" si="59"/>
        <v>818.73844436361287</v>
      </c>
      <c r="AN74" s="59">
        <f ca="1">AVERAGE(OFFSET($AM$3,0,0,'Données projet'!$E$10+1,1))-AVERAGE(OFFSET($H$3,0,0,'Données projet'!$E$10+1,1))</f>
        <v>481.23392184981651</v>
      </c>
      <c r="AO74" s="59">
        <f t="shared" si="90"/>
        <v>275.88160405468193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80.086950954275366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80.086950954275366</v>
      </c>
      <c r="AY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328.00000000000006</v>
      </c>
      <c r="BE74" s="13">
        <f>BD74*VLOOKUP('Données projet'!$B$11,Paramètres!$A$1:$I$89,3,0)*VLOOKUP('Données projet'!$B$11,Paramètres!$A$1:$I$89,5,0)</f>
        <v>255.84000000000006</v>
      </c>
      <c r="BF74" s="13">
        <f t="shared" si="91"/>
        <v>61.834803371075836</v>
      </c>
      <c r="BG74" s="20">
        <f t="shared" si="61"/>
        <v>553.28361587129041</v>
      </c>
      <c r="BH74" s="59">
        <f t="shared" si="62"/>
        <v>820.15629694933841</v>
      </c>
      <c r="BI74" s="59">
        <f ca="1">AVERAGE(OFFSET($BH$3,0,0,'Données projet'!$E$11+1,1))-AVERAGE(OFFSET($H$3,0,0,'Données projet'!$E$11+1,1))</f>
        <v>308.85018589589453</v>
      </c>
      <c r="BJ74" s="59">
        <f t="shared" si="92"/>
        <v>302.59481222418219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48.423720140587314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48.423720140587314</v>
      </c>
      <c r="BT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>
        <f>VLOOKUP(A74,'Données projet'!$A$113:$I$133,2,0)</f>
        <v>348.69</v>
      </c>
      <c r="BW74" s="12">
        <f>VLOOKUP(A74,'Données projet'!$A$113:$I$133,9,0)</f>
        <v>11.28875</v>
      </c>
      <c r="BX74" s="12">
        <f t="array" ref="BX74">INDEX(BW:BW,MIN(IF(ISNUMBER(BW74:BW270),ROW(BW74:BW270),"")))</f>
        <v>11.28875</v>
      </c>
      <c r="BY74" s="12">
        <f>IF('Données projet'!$A$114&gt;35,BY73+BX74-CG73,IF(A74&lt;'Données projet'!$A$114,$BV$205^A74,IF(A74='Données projet'!$A$114,'Données projet'!$B$114,BY73+BX74-CG73)))</f>
        <v>348.68999999999994</v>
      </c>
      <c r="BZ74" s="13">
        <f>BY74*VLOOKUP('Données projet'!$B$12,Paramètres!$A$1:$I$89,3,0)*VLOOKUP('Données projet'!$B$12,Paramètres!$A$1:$I$89,5,0)</f>
        <v>337.25296799999995</v>
      </c>
      <c r="CA74" s="13">
        <f t="shared" si="93"/>
        <v>78.932124532870404</v>
      </c>
      <c r="CB74" s="20">
        <f t="shared" si="64"/>
        <v>724.85570282808249</v>
      </c>
      <c r="CC74" s="59">
        <f t="shared" si="65"/>
        <v>991.72838390613038</v>
      </c>
      <c r="CD74" s="59">
        <f ca="1">AVERAGE(OFFSET($CC$3,0,0,'Données projet'!$E$12+1,1))-AVERAGE(OFFSET($H$3,0,0,'Données projet'!$E$12+1,1))</f>
        <v>600.96600099724276</v>
      </c>
      <c r="CE74" s="59">
        <f t="shared" si="94"/>
        <v>315.40159260706264</v>
      </c>
      <c r="CF74" s="15">
        <f>IF(ISNA(VLOOKUP(A74,'Données projet'!$A$113:$I$133,3,0)),0,VLOOKUP(A74,'Données projet'!$A$113:$I$133,3,0))</f>
        <v>6</v>
      </c>
      <c r="CG74" s="15">
        <f>IF(ISNA(VLOOKUP(A74,'Données projet'!$A$113:$I$133,4,0)),0,VLOOKUP(A74,'Données projet'!$A$113:$I$133,4,0))</f>
        <v>52.07</v>
      </c>
      <c r="CH74" s="16">
        <f>IF(ISNA(VLOOKUP(A74,'Données projet'!$A$113:$I$133,5,0)),0%,VLOOKUP(A74,'Données projet'!$A$113:$I$133,5,0)*VLOOKUP('Données projet'!$B$12,Paramètres!$A$1:$I$89,7,0))</f>
        <v>0.43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110.25023939253343</v>
      </c>
      <c r="CL74" s="21">
        <f>EXP(-LN(2)/25)*CL73+(1-EXP(-LN(2)/25))/(LN(2)/25)*Calculateur!CG74*Calculateur!CI74*VLOOKUP('Données projet'!$B$12,Paramètres!$A$1:$I$89,3,0)*0.475*44/12</f>
        <v>0</v>
      </c>
      <c r="CM74" s="21">
        <f>EXP(-LN(2)/2)*CM73+(1-EXP(-LN(2)/2))/(LN(2)/2)*CG74*CJ74*VLOOKUP('Données projet'!$B$12,Paramètres!$A$1:$I$89,3,0)*0.475*44/12</f>
        <v>0</v>
      </c>
      <c r="CN74" s="22">
        <f t="shared" si="66"/>
        <v>110.25023939253343</v>
      </c>
      <c r="CO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>
        <f>VLOOKUP(A74,'Données projet'!$A$139:$I$159,2,0)</f>
        <v>348.69</v>
      </c>
      <c r="CR74" s="12">
        <f>VLOOKUP(A74,'Données projet'!$A$139:$I$159,9,0)</f>
        <v>11.28875</v>
      </c>
      <c r="CS74" s="12">
        <f t="array" ref="CS74">INDEX(CR:CR,MIN(IF(ISNUMBER(CR74:CR270),ROW(CR74:CR270),"")))</f>
        <v>11.28875</v>
      </c>
      <c r="CT74" s="12">
        <f>IF('Données projet'!$A$140&gt;35,CT73+CS74-DB73,IF(A74&lt;'Données projet'!$A$140,$CQ$205^A74,IF(A74='Données projet'!$A$140,'Données projet'!$B$140,CT73+CS74-DB73)))</f>
        <v>348.68999999999994</v>
      </c>
      <c r="CU74" s="17">
        <f>CT74*VLOOKUP('Données projet'!$B$13,Paramètres!$A$1:$I$89,3,0)*VLOOKUP('Données projet'!$B$13,Paramètres!$A$1:$I$89,5,0)</f>
        <v>331.81340399999993</v>
      </c>
      <c r="CV74" s="13">
        <f t="shared" si="95"/>
        <v>77.806152091723376</v>
      </c>
      <c r="CW74" s="20">
        <f t="shared" si="67"/>
        <v>713.42072685975143</v>
      </c>
      <c r="CX74" s="59">
        <f t="shared" si="68"/>
        <v>980.29340793779943</v>
      </c>
      <c r="CY74" s="59">
        <f ca="1">AVERAGE(OFFSET($CX$3,0,0,'Données projet'!$E$13+1,1))-AVERAGE(OFFSET($H$3,0,0,'Données projet'!$E$13+1,1))</f>
        <v>592.58528889137358</v>
      </c>
      <c r="CZ74" s="59">
        <f t="shared" si="96"/>
        <v>311.31528020403709</v>
      </c>
      <c r="DA74" s="15">
        <f>IF(ISNA(VLOOKUP(A74,'Données projet'!$A$139:$I$159,3,0)),0,VLOOKUP(A74,'Données projet'!$A$139:$I$159,3,0))</f>
        <v>6</v>
      </c>
      <c r="DB74" s="15">
        <f>IF(ISNA(VLOOKUP(A74,'Données projet'!$A$139:$I$159,4,0)),0,VLOOKUP(A74,'Données projet'!$A$139:$I$159,4,0))</f>
        <v>52.07</v>
      </c>
      <c r="DC74" s="16">
        <f>IF(ISNA(VLOOKUP(A74,'Données projet'!$A$139:$I$159,5,0)),0%,VLOOKUP(A74,'Données projet'!$A$139:$I$159,5,0)*VLOOKUP('Données projet'!$B$13,Paramètres!$A$1:$I$89,7,0))</f>
        <v>0.43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108.47200972491193</v>
      </c>
      <c r="DG74" s="21">
        <f>EXP(-LN(2)/25)*DG73+(1-EXP(-LN(2)/25))/(LN(2)/25)*Calculateur!DB74*Calculateur!DD74*VLOOKUP('Données projet'!$B$13,Paramètres!$A$1:$I$89,3,0)*0.475*44/12</f>
        <v>0</v>
      </c>
      <c r="DH74" s="21">
        <f>EXP(-LN(2)/2)*DH73+(1-EXP(-LN(2)/2))/(LN(2)/2)*DB74*DE74*VLOOKUP('Données projet'!$B$13,Paramètres!$A$1:$I$89,3,0)*0.475*44/12</f>
        <v>0</v>
      </c>
      <c r="DI74" s="22">
        <f t="shared" si="69"/>
        <v>108.47200972491193</v>
      </c>
      <c r="DJ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2">
        <f>'Scénario référence'!$B$16*5+'Scénario référence'!$B$17*0+'Scénario référence'!$B$18*5</f>
        <v>5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66">
        <f t="shared" si="56"/>
        <v>183.33333333333334</v>
      </c>
      <c r="I75" s="6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11.009999999999998</v>
      </c>
      <c r="N75" s="13">
        <f>IF('Données projet'!$A$36&gt;35,N74+M75-V74,IF(A75&lt;'Données projet'!$A$36,$K$205^A75,IF(A75='Données projet'!$A$36,'Données projet'!$B$36,N74+M75-V74)))</f>
        <v>307.62999999999994</v>
      </c>
      <c r="O75" s="13">
        <f>N75*VLOOKUP('Données projet'!$B$9,Paramètres!$A$1:$I$89,3,0)*VLOOKUP('Données projet'!$B$9,Paramètres!$A$1:$I$89,5,0)</f>
        <v>278.34362399999992</v>
      </c>
      <c r="P75" s="13">
        <f t="shared" si="87"/>
        <v>66.616848235919079</v>
      </c>
      <c r="Q75" s="20">
        <f t="shared" si="54"/>
        <v>600.80615581089216</v>
      </c>
      <c r="R75" s="59">
        <f t="shared" si="55"/>
        <v>868.13787004841333</v>
      </c>
      <c r="S75" s="59">
        <f ca="1">AVERAGE(OFFSET($R$3,0,0,'Données projet'!$E$9+1,1))-AVERAGE(OFFSET($H$3,0,0,'Données projet'!$E$9+1,1))</f>
        <v>567.42635821507474</v>
      </c>
      <c r="T75" s="59">
        <f t="shared" si="88"/>
        <v>299.04735309930152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101.11486077024209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101.11486077024209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9.4</v>
      </c>
      <c r="AI75" s="13">
        <f>IF('Données projet'!$A$62&gt;35,AI74+AH75-AQ74,IF(A75&lt;'Données projet'!$A$62,$AF$205^A75,IF(A75='Données projet'!$A$62,'Données projet'!$B$62,AI74+AH75-AQ74)))</f>
        <v>306.7999999999999</v>
      </c>
      <c r="AJ75" s="13">
        <f>AI75*VLOOKUP('Données projet'!$B$10,Paramètres!$A$1:$I$89,3,0)*VLOOKUP('Données projet'!$B$10,Paramètres!$A$1:$I$89,5,0)</f>
        <v>263.23439999999994</v>
      </c>
      <c r="AK75" s="13">
        <f t="shared" si="89"/>
        <v>63.411324464279403</v>
      </c>
      <c r="AL75" s="20">
        <f t="shared" si="58"/>
        <v>568.90797010861979</v>
      </c>
      <c r="AM75" s="59">
        <f t="shared" si="59"/>
        <v>836.23968434614085</v>
      </c>
      <c r="AN75" s="59">
        <f ca="1">AVERAGE(OFFSET($AM$3,0,0,'Données projet'!$E$10+1,1))-AVERAGE(OFFSET($H$3,0,0,'Données projet'!$E$10+1,1))</f>
        <v>481.23392184981651</v>
      </c>
      <c r="AO75" s="59">
        <f t="shared" si="90"/>
        <v>275.88160405468193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78.516494694278748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78.516494694278748</v>
      </c>
      <c r="AY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328.00000000000006</v>
      </c>
      <c r="BE75" s="13">
        <f>BD75*VLOOKUP('Données projet'!$B$11,Paramètres!$A$1:$I$89,3,0)*VLOOKUP('Données projet'!$B$11,Paramètres!$A$1:$I$89,5,0)</f>
        <v>255.84000000000006</v>
      </c>
      <c r="BF75" s="13">
        <f t="shared" si="91"/>
        <v>61.834803371075836</v>
      </c>
      <c r="BG75" s="20">
        <f t="shared" si="61"/>
        <v>553.28361587129041</v>
      </c>
      <c r="BH75" s="59">
        <f t="shared" si="62"/>
        <v>820.61533010881158</v>
      </c>
      <c r="BI75" s="59">
        <f ca="1">AVERAGE(OFFSET($BH$3,0,0,'Données projet'!$E$11+1,1))-AVERAGE(OFFSET($H$3,0,0,'Données projet'!$E$11+1,1))</f>
        <v>308.85018589589453</v>
      </c>
      <c r="BJ75" s="59">
        <f t="shared" si="92"/>
        <v>302.59481222418219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47.47416052418329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47.47416052418329</v>
      </c>
      <c r="BT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11.009999999999998</v>
      </c>
      <c r="BY75" s="12">
        <f>IF('Données projet'!$A$114&gt;35,BY74+BX75-CG74,IF(A75&lt;'Données projet'!$A$114,$BV$205^A75,IF(A75='Données projet'!$A$114,'Données projet'!$B$114,BY74+BX75-CG74)))</f>
        <v>307.62999999999994</v>
      </c>
      <c r="BZ75" s="13">
        <f>BY75*VLOOKUP('Données projet'!$B$12,Paramètres!$A$1:$I$89,3,0)*VLOOKUP('Données projet'!$B$12,Paramètres!$A$1:$I$89,5,0)</f>
        <v>297.53973599999995</v>
      </c>
      <c r="CA75" s="13">
        <f t="shared" si="93"/>
        <v>70.66045071645857</v>
      </c>
      <c r="CB75" s="20">
        <f t="shared" si="64"/>
        <v>641.28199186449854</v>
      </c>
      <c r="CC75" s="59">
        <f t="shared" si="65"/>
        <v>908.61370610201971</v>
      </c>
      <c r="CD75" s="59">
        <f ca="1">AVERAGE(OFFSET($CC$3,0,0,'Données projet'!$E$12+1,1))-AVERAGE(OFFSET($H$3,0,0,'Données projet'!$E$12+1,1))</f>
        <v>600.96600099724276</v>
      </c>
      <c r="CE75" s="59">
        <f t="shared" si="94"/>
        <v>315.40159260706264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108.08829944405188</v>
      </c>
      <c r="CL75" s="21">
        <f>EXP(-LN(2)/25)*CL74+(1-EXP(-LN(2)/25))/(LN(2)/25)*Calculateur!CG75*Calculateur!CI75*VLOOKUP('Données projet'!$B$12,Paramètres!$A$1:$I$89,3,0)*0.475*44/12</f>
        <v>0</v>
      </c>
      <c r="CM75" s="21">
        <f>EXP(-LN(2)/2)*CM74+(1-EXP(-LN(2)/2))/(LN(2)/2)*CG75*CJ75*VLOOKUP('Données projet'!$B$12,Paramètres!$A$1:$I$89,3,0)*0.475*44/12</f>
        <v>0</v>
      </c>
      <c r="CN75" s="22">
        <f t="shared" si="66"/>
        <v>108.08829944405188</v>
      </c>
      <c r="CO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11.009999999999998</v>
      </c>
      <c r="CT75" s="12">
        <f>IF('Données projet'!$A$140&gt;35,CT74+CS75-DB74,IF(A75&lt;'Données projet'!$A$140,$CQ$205^A75,IF(A75='Données projet'!$A$140,'Données projet'!$B$140,CT74+CS75-DB74)))</f>
        <v>307.62999999999994</v>
      </c>
      <c r="CU75" s="17">
        <f>CT75*VLOOKUP('Données projet'!$B$13,Paramètres!$A$1:$I$89,3,0)*VLOOKUP('Données projet'!$B$13,Paramètres!$A$1:$I$89,5,0)</f>
        <v>292.74070799999993</v>
      </c>
      <c r="CV75" s="13">
        <f t="shared" si="95"/>
        <v>69.652474298028039</v>
      </c>
      <c r="CW75" s="20">
        <f t="shared" si="67"/>
        <v>631.16812583573198</v>
      </c>
      <c r="CX75" s="59">
        <f t="shared" si="68"/>
        <v>898.49984007325315</v>
      </c>
      <c r="CY75" s="59">
        <f ca="1">AVERAGE(OFFSET($CX$3,0,0,'Données projet'!$E$13+1,1))-AVERAGE(OFFSET($H$3,0,0,'Données projet'!$E$13+1,1))</f>
        <v>592.58528889137358</v>
      </c>
      <c r="CZ75" s="59">
        <f t="shared" si="96"/>
        <v>311.31528020403709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106.34493977559944</v>
      </c>
      <c r="DG75" s="21">
        <f>EXP(-LN(2)/25)*DG74+(1-EXP(-LN(2)/25))/(LN(2)/25)*Calculateur!DB75*Calculateur!DD75*VLOOKUP('Données projet'!$B$13,Paramètres!$A$1:$I$89,3,0)*0.475*44/12</f>
        <v>0</v>
      </c>
      <c r="DH75" s="21">
        <f>EXP(-LN(2)/2)*DH74+(1-EXP(-LN(2)/2))/(LN(2)/2)*DB75*DE75*VLOOKUP('Données projet'!$B$13,Paramètres!$A$1:$I$89,3,0)*0.475*44/12</f>
        <v>0</v>
      </c>
      <c r="DI75" s="22">
        <f t="shared" si="69"/>
        <v>106.34493977559944</v>
      </c>
      <c r="DJ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2">
        <f>'Scénario référence'!$B$16*5+'Scénario référence'!$B$17*0+'Scénario référence'!$B$18*5</f>
        <v>5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66">
        <f t="shared" si="56"/>
        <v>183.33333333333334</v>
      </c>
      <c r="I76" s="6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11.009999999999998</v>
      </c>
      <c r="N76" s="13">
        <f>IF('Données projet'!$A$36&gt;35,N75+M76-V75,IF(A76&lt;'Données projet'!$A$36,$K$205^A76,IF(A76='Données projet'!$A$36,'Données projet'!$B$36,N75+M76-V75)))</f>
        <v>318.63999999999993</v>
      </c>
      <c r="O76" s="13">
        <f>N76*VLOOKUP('Données projet'!$B$9,Paramètres!$A$1:$I$89,3,0)*VLOOKUP('Données projet'!$B$9,Paramètres!$A$1:$I$89,5,0)</f>
        <v>288.30547199999995</v>
      </c>
      <c r="P76" s="13">
        <f t="shared" si="87"/>
        <v>68.719196733788849</v>
      </c>
      <c r="Q76" s="20">
        <f t="shared" si="54"/>
        <v>621.81796471134874</v>
      </c>
      <c r="R76" s="59">
        <f t="shared" si="55"/>
        <v>889.60074890927058</v>
      </c>
      <c r="S76" s="59">
        <f ca="1">AVERAGE(OFFSET($R$3,0,0,'Données projet'!$E$9+1,1))-AVERAGE(OFFSET($H$3,0,0,'Données projet'!$E$9+1,1))</f>
        <v>567.42635821507474</v>
      </c>
      <c r="T76" s="59">
        <f t="shared" si="88"/>
        <v>299.04735309930152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99.13206002451291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99.13206002451291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9.4</v>
      </c>
      <c r="AI76" s="13">
        <f>IF('Données projet'!$A$62&gt;35,AI75+AH76-AQ75,IF(A76&lt;'Données projet'!$A$62,$AF$205^A76,IF(A76='Données projet'!$A$62,'Données projet'!$B$62,AI75+AH76-AQ75)))</f>
        <v>316.19999999999987</v>
      </c>
      <c r="AJ76" s="13">
        <f>AI76*VLOOKUP('Données projet'!$B$10,Paramètres!$A$1:$I$89,3,0)*VLOOKUP('Données projet'!$B$10,Paramètres!$A$1:$I$89,5,0)</f>
        <v>271.29959999999994</v>
      </c>
      <c r="AK76" s="13">
        <f t="shared" si="89"/>
        <v>65.125000081857877</v>
      </c>
      <c r="AL76" s="20">
        <f t="shared" si="58"/>
        <v>585.93951180923568</v>
      </c>
      <c r="AM76" s="59">
        <f t="shared" si="59"/>
        <v>853.72229600715741</v>
      </c>
      <c r="AN76" s="59">
        <f ca="1">AVERAGE(OFFSET($AM$3,0,0,'Données projet'!$E$10+1,1))-AVERAGE(OFFSET($H$3,0,0,'Données projet'!$E$10+1,1))</f>
        <v>481.23392184981651</v>
      </c>
      <c r="AO76" s="59">
        <f t="shared" si="90"/>
        <v>275.88160405468193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76.976834123656928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76.976834123656928</v>
      </c>
      <c r="AY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328.00000000000006</v>
      </c>
      <c r="BE76" s="13">
        <f>BD76*VLOOKUP('Données projet'!$B$11,Paramètres!$A$1:$I$89,3,0)*VLOOKUP('Données projet'!$B$11,Paramètres!$A$1:$I$89,5,0)</f>
        <v>255.84000000000006</v>
      </c>
      <c r="BF76" s="13">
        <f t="shared" si="91"/>
        <v>61.834803371075836</v>
      </c>
      <c r="BG76" s="20">
        <f t="shared" si="61"/>
        <v>553.28361587129041</v>
      </c>
      <c r="BH76" s="59">
        <f t="shared" si="62"/>
        <v>821.06640006921225</v>
      </c>
      <c r="BI76" s="59">
        <f ca="1">AVERAGE(OFFSET($BH$3,0,0,'Données projet'!$E$11+1,1))-AVERAGE(OFFSET($H$3,0,0,'Données projet'!$E$11+1,1))</f>
        <v>308.85018589589453</v>
      </c>
      <c r="BJ76" s="59">
        <f t="shared" si="92"/>
        <v>302.59481222418219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46.543221192682772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46.543221192682772</v>
      </c>
      <c r="BT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11.009999999999998</v>
      </c>
      <c r="BY76" s="12">
        <f>IF('Données projet'!$A$114&gt;35,BY75+BX76-CG75,IF(A76&lt;'Données projet'!$A$114,$BV$205^A76,IF(A76='Données projet'!$A$114,'Données projet'!$B$114,BY75+BX76-CG75)))</f>
        <v>318.63999999999993</v>
      </c>
      <c r="BZ76" s="13">
        <f>BY76*VLOOKUP('Données projet'!$B$12,Paramètres!$A$1:$I$89,3,0)*VLOOKUP('Données projet'!$B$12,Paramètres!$A$1:$I$89,5,0)</f>
        <v>308.18860799999993</v>
      </c>
      <c r="CA76" s="13">
        <f t="shared" si="93"/>
        <v>72.890410499251857</v>
      </c>
      <c r="CB76" s="20">
        <f t="shared" si="64"/>
        <v>663.71262388619687</v>
      </c>
      <c r="CC76" s="59">
        <f t="shared" si="65"/>
        <v>931.49540808411871</v>
      </c>
      <c r="CD76" s="59">
        <f ca="1">AVERAGE(OFFSET($CC$3,0,0,'Données projet'!$E$12+1,1))-AVERAGE(OFFSET($H$3,0,0,'Données projet'!$E$12+1,1))</f>
        <v>600.96600099724276</v>
      </c>
      <c r="CE76" s="59">
        <f t="shared" si="94"/>
        <v>315.40159260706264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105.9687538193069</v>
      </c>
      <c r="CL76" s="21">
        <f>EXP(-LN(2)/25)*CL75+(1-EXP(-LN(2)/25))/(LN(2)/25)*Calculateur!CG76*Calculateur!CI76*VLOOKUP('Données projet'!$B$12,Paramètres!$A$1:$I$89,3,0)*0.475*44/12</f>
        <v>0</v>
      </c>
      <c r="CM76" s="21">
        <f>EXP(-LN(2)/2)*CM75+(1-EXP(-LN(2)/2))/(LN(2)/2)*CG76*CJ76*VLOOKUP('Données projet'!$B$12,Paramètres!$A$1:$I$89,3,0)*0.475*44/12</f>
        <v>0</v>
      </c>
      <c r="CN76" s="22">
        <f t="shared" si="66"/>
        <v>105.9687538193069</v>
      </c>
      <c r="CO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11.009999999999998</v>
      </c>
      <c r="CT76" s="12">
        <f>IF('Données projet'!$A$140&gt;35,CT75+CS76-DB75,IF(A76&lt;'Données projet'!$A$140,$CQ$205^A76,IF(A76='Données projet'!$A$140,'Données projet'!$B$140,CT75+CS76-DB75)))</f>
        <v>318.63999999999993</v>
      </c>
      <c r="CU76" s="17">
        <f>CT76*VLOOKUP('Données projet'!$B$13,Paramètres!$A$1:$I$89,3,0)*VLOOKUP('Données projet'!$B$13,Paramètres!$A$1:$I$89,5,0)</f>
        <v>303.21782399999995</v>
      </c>
      <c r="CV76" s="13">
        <f t="shared" si="95"/>
        <v>71.850623543918246</v>
      </c>
      <c r="CW76" s="20">
        <f t="shared" si="67"/>
        <v>653.24421280565741</v>
      </c>
      <c r="CX76" s="59">
        <f t="shared" si="68"/>
        <v>921.02699700357925</v>
      </c>
      <c r="CY76" s="59">
        <f ca="1">AVERAGE(OFFSET($CX$3,0,0,'Données projet'!$E$13+1,1))-AVERAGE(OFFSET($H$3,0,0,'Données projet'!$E$13+1,1))</f>
        <v>592.58528889137358</v>
      </c>
      <c r="CZ76" s="59">
        <f t="shared" si="96"/>
        <v>311.31528020403709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104.25958037060842</v>
      </c>
      <c r="DG76" s="21">
        <f>EXP(-LN(2)/25)*DG75+(1-EXP(-LN(2)/25))/(LN(2)/25)*Calculateur!DB76*Calculateur!DD76*VLOOKUP('Données projet'!$B$13,Paramètres!$A$1:$I$89,3,0)*0.475*44/12</f>
        <v>0</v>
      </c>
      <c r="DH76" s="21">
        <f>EXP(-LN(2)/2)*DH75+(1-EXP(-LN(2)/2))/(LN(2)/2)*DB76*DE76*VLOOKUP('Données projet'!$B$13,Paramètres!$A$1:$I$89,3,0)*0.475*44/12</f>
        <v>0</v>
      </c>
      <c r="DI76" s="22">
        <f t="shared" si="69"/>
        <v>104.25958037060842</v>
      </c>
      <c r="DJ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2">
        <f>'Scénario référence'!$B$16*5+'Scénario référence'!$B$17*0+'Scénario référence'!$B$18*5</f>
        <v>5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66">
        <f t="shared" si="56"/>
        <v>183.33333333333334</v>
      </c>
      <c r="I77" s="6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11.009999999999998</v>
      </c>
      <c r="N77" s="13">
        <f>IF('Données projet'!$A$36&gt;35,N76+M77-V76,IF(A77&lt;'Données projet'!$A$36,$K$205^A77,IF(A77='Données projet'!$A$36,'Données projet'!$B$36,N76+M77-V76)))</f>
        <v>329.64999999999992</v>
      </c>
      <c r="O77" s="13">
        <f>N77*VLOOKUP('Données projet'!$B$9,Paramètres!$A$1:$I$89,3,0)*VLOOKUP('Données projet'!$B$9,Paramètres!$A$1:$I$89,5,0)</f>
        <v>298.26731999999993</v>
      </c>
      <c r="P77" s="13">
        <f t="shared" si="87"/>
        <v>70.813104833271126</v>
      </c>
      <c r="Q77" s="20">
        <f t="shared" si="54"/>
        <v>642.81507325128052</v>
      </c>
      <c r="R77" s="59">
        <f t="shared" si="55"/>
        <v>911.04110235423138</v>
      </c>
      <c r="S77" s="59">
        <f ca="1">AVERAGE(OFFSET($R$3,0,0,'Données projet'!$E$9+1,1))-AVERAGE(OFFSET($H$3,0,0,'Données projet'!$E$9+1,1))</f>
        <v>567.42635821507474</v>
      </c>
      <c r="T77" s="59">
        <f t="shared" si="88"/>
        <v>299.04735309930152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97.188140792018444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97.188140792018444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9.4</v>
      </c>
      <c r="AI77" s="13">
        <f>IF('Données projet'!$A$62&gt;35,AI76+AH77-AQ76,IF(A77&lt;'Données projet'!$A$62,$AF$205^A77,IF(A77='Données projet'!$A$62,'Données projet'!$B$62,AI76+AH77-AQ76)))</f>
        <v>325.59999999999985</v>
      </c>
      <c r="AJ77" s="13">
        <f>AI77*VLOOKUP('Données projet'!$B$10,Paramètres!$A$1:$I$89,3,0)*VLOOKUP('Données projet'!$B$10,Paramètres!$A$1:$I$89,5,0)</f>
        <v>279.36479999999989</v>
      </c>
      <c r="AK77" s="13">
        <f t="shared" si="89"/>
        <v>66.832755122992182</v>
      </c>
      <c r="AL77" s="20">
        <f t="shared" si="58"/>
        <v>602.96074183921121</v>
      </c>
      <c r="AM77" s="59">
        <f t="shared" si="59"/>
        <v>871.18677094216207</v>
      </c>
      <c r="AN77" s="59">
        <f ca="1">AVERAGE(OFFSET($AM$3,0,0,'Données projet'!$E$10+1,1))-AVERAGE(OFFSET($H$3,0,0,'Données projet'!$E$10+1,1))</f>
        <v>481.23392184981651</v>
      </c>
      <c r="AO77" s="59">
        <f t="shared" si="90"/>
        <v>275.88160405468193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75.467365357724788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75.467365357724788</v>
      </c>
      <c r="AY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328.00000000000006</v>
      </c>
      <c r="BE77" s="13">
        <f>BD77*VLOOKUP('Données projet'!$B$11,Paramètres!$A$1:$I$89,3,0)*VLOOKUP('Données projet'!$B$11,Paramètres!$A$1:$I$89,5,0)</f>
        <v>255.84000000000006</v>
      </c>
      <c r="BF77" s="13">
        <f t="shared" si="91"/>
        <v>61.834803371075836</v>
      </c>
      <c r="BG77" s="20">
        <f t="shared" si="61"/>
        <v>553.28361587129041</v>
      </c>
      <c r="BH77" s="59">
        <f t="shared" si="62"/>
        <v>821.50964497424127</v>
      </c>
      <c r="BI77" s="59">
        <f ca="1">AVERAGE(OFFSET($BH$3,0,0,'Données projet'!$E$11+1,1))-AVERAGE(OFFSET($H$3,0,0,'Données projet'!$E$11+1,1))</f>
        <v>308.85018589589453</v>
      </c>
      <c r="BJ77" s="59">
        <f t="shared" si="92"/>
        <v>302.59481222418219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45.630537013656053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45.630537013656053</v>
      </c>
      <c r="BT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11.009999999999998</v>
      </c>
      <c r="BY77" s="12">
        <f>IF('Données projet'!$A$114&gt;35,BY76+BX77-CG76,IF(A77&lt;'Données projet'!$A$114,$BV$205^A77,IF(A77='Données projet'!$A$114,'Données projet'!$B$114,BY76+BX77-CG76)))</f>
        <v>329.64999999999992</v>
      </c>
      <c r="BZ77" s="13">
        <f>BY77*VLOOKUP('Données projet'!$B$12,Paramètres!$A$1:$I$89,3,0)*VLOOKUP('Données projet'!$B$12,Paramètres!$A$1:$I$89,5,0)</f>
        <v>318.83747999999991</v>
      </c>
      <c r="CA77" s="13">
        <f t="shared" si="93"/>
        <v>75.111417556569961</v>
      </c>
      <c r="CB77" s="20">
        <f t="shared" si="64"/>
        <v>686.12766324435916</v>
      </c>
      <c r="CC77" s="59">
        <f t="shared" si="65"/>
        <v>954.35369234731002</v>
      </c>
      <c r="CD77" s="59">
        <f ca="1">AVERAGE(OFFSET($CC$3,0,0,'Données projet'!$E$12+1,1))-AVERAGE(OFFSET($H$3,0,0,'Données projet'!$E$12+1,1))</f>
        <v>600.96600099724276</v>
      </c>
      <c r="CE77" s="59">
        <f t="shared" si="94"/>
        <v>315.40159260706264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103.89077119146799</v>
      </c>
      <c r="CL77" s="21">
        <f>EXP(-LN(2)/25)*CL76+(1-EXP(-LN(2)/25))/(LN(2)/25)*Calculateur!CG77*Calculateur!CI77*VLOOKUP('Données projet'!$B$12,Paramètres!$A$1:$I$89,3,0)*0.475*44/12</f>
        <v>0</v>
      </c>
      <c r="CM77" s="21">
        <f>EXP(-LN(2)/2)*CM76+(1-EXP(-LN(2)/2))/(LN(2)/2)*CG77*CJ77*VLOOKUP('Données projet'!$B$12,Paramètres!$A$1:$I$89,3,0)*0.475*44/12</f>
        <v>0</v>
      </c>
      <c r="CN77" s="22">
        <f t="shared" si="66"/>
        <v>103.89077119146799</v>
      </c>
      <c r="CO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11.009999999999998</v>
      </c>
      <c r="CT77" s="12">
        <f>IF('Données projet'!$A$140&gt;35,CT76+CS77-DB76,IF(A77&lt;'Données projet'!$A$140,$CQ$205^A77,IF(A77='Données projet'!$A$140,'Données projet'!$B$140,CT76+CS77-DB76)))</f>
        <v>329.64999999999992</v>
      </c>
      <c r="CU77" s="17">
        <f>CT77*VLOOKUP('Données projet'!$B$13,Paramètres!$A$1:$I$89,3,0)*VLOOKUP('Données projet'!$B$13,Paramètres!$A$1:$I$89,5,0)</f>
        <v>313.69493999999992</v>
      </c>
      <c r="CV77" s="13">
        <f t="shared" si="95"/>
        <v>74.03994777560689</v>
      </c>
      <c r="CW77" s="20">
        <f t="shared" si="67"/>
        <v>675.3049295425152</v>
      </c>
      <c r="CX77" s="59">
        <f t="shared" si="68"/>
        <v>943.53095864546606</v>
      </c>
      <c r="CY77" s="59">
        <f ca="1">AVERAGE(OFFSET($CX$3,0,0,'Données projet'!$E$13+1,1))-AVERAGE(OFFSET($H$3,0,0,'Données projet'!$E$13+1,1))</f>
        <v>592.58528889137358</v>
      </c>
      <c r="CZ77" s="59">
        <f t="shared" si="96"/>
        <v>311.31528020403709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102.21511359160561</v>
      </c>
      <c r="DG77" s="21">
        <f>EXP(-LN(2)/25)*DG76+(1-EXP(-LN(2)/25))/(LN(2)/25)*Calculateur!DB77*Calculateur!DD77*VLOOKUP('Données projet'!$B$13,Paramètres!$A$1:$I$89,3,0)*0.475*44/12</f>
        <v>0</v>
      </c>
      <c r="DH77" s="21">
        <f>EXP(-LN(2)/2)*DH76+(1-EXP(-LN(2)/2))/(LN(2)/2)*DB77*DE77*VLOOKUP('Données projet'!$B$13,Paramètres!$A$1:$I$89,3,0)*0.475*44/12</f>
        <v>0</v>
      </c>
      <c r="DI77" s="22">
        <f t="shared" si="69"/>
        <v>102.21511359160561</v>
      </c>
      <c r="DJ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2">
        <f>'Scénario référence'!$B$16*5+'Scénario référence'!$B$17*0+'Scénario référence'!$B$18*5</f>
        <v>5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66">
        <f t="shared" si="56"/>
        <v>183.33333333333334</v>
      </c>
      <c r="I78" s="6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11.009999999999998</v>
      </c>
      <c r="N78" s="13">
        <f>IF('Données projet'!$A$36&gt;35,N77+M78-V77,IF(A78&lt;'Données projet'!$A$36,$K$205^A78,IF(A78='Données projet'!$A$36,'Données projet'!$B$36,N77+M78-V77)))</f>
        <v>340.65999999999991</v>
      </c>
      <c r="O78" s="13">
        <f>N78*VLOOKUP('Données projet'!$B$9,Paramètres!$A$1:$I$89,3,0)*VLOOKUP('Données projet'!$B$9,Paramètres!$A$1:$I$89,5,0)</f>
        <v>308.2291679999999</v>
      </c>
      <c r="P78" s="13">
        <f t="shared" si="87"/>
        <v>72.898886756758046</v>
      </c>
      <c r="Q78" s="20">
        <f t="shared" si="54"/>
        <v>663.79802870135336</v>
      </c>
      <c r="R78" s="59">
        <f t="shared" si="55"/>
        <v>932.4596134011781</v>
      </c>
      <c r="S78" s="59">
        <f ca="1">AVERAGE(OFFSET($R$3,0,0,'Données projet'!$E$9+1,1))-AVERAGE(OFFSET($H$3,0,0,'Données projet'!$E$9+1,1))</f>
        <v>567.42635821507474</v>
      </c>
      <c r="T78" s="59">
        <f t="shared" si="88"/>
        <v>299.04735309930152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95.282340629999538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95.282340629999538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>
        <f>VLOOKUP(A78,'Données projet'!$A$61:$I$81,2,0)</f>
        <v>335</v>
      </c>
      <c r="AG78" s="12">
        <f>VLOOKUP(A78,'Données projet'!$A$61:$I$81,9,0)</f>
        <v>9.4</v>
      </c>
      <c r="AH78" s="12">
        <f t="array" ref="AH78">INDEX(AG:AG,MIN(IF(ISNUMBER(AG78:AG274),ROW(AG78:AG274),"")))</f>
        <v>9.4</v>
      </c>
      <c r="AI78" s="13">
        <f>IF('Données projet'!$A$62&gt;35,AI77+AH78-AQ77,IF(A78&lt;'Données projet'!$A$62,$AF$205^A78,IF(A78='Données projet'!$A$62,'Données projet'!$B$62,AI77+AH78-AQ77)))</f>
        <v>334.99999999999983</v>
      </c>
      <c r="AJ78" s="13">
        <f>AI78*VLOOKUP('Données projet'!$B$10,Paramètres!$A$1:$I$89,3,0)*VLOOKUP('Données projet'!$B$10,Paramètres!$A$1:$I$89,5,0)</f>
        <v>287.42999999999989</v>
      </c>
      <c r="AK78" s="13">
        <f t="shared" si="89"/>
        <v>68.534780142555746</v>
      </c>
      <c r="AL78" s="20">
        <f t="shared" si="58"/>
        <v>619.97199208161771</v>
      </c>
      <c r="AM78" s="59">
        <f t="shared" si="59"/>
        <v>888.63357678144257</v>
      </c>
      <c r="AN78" s="59">
        <f ca="1">AVERAGE(OFFSET($AM$3,0,0,'Données projet'!$E$10+1,1))-AVERAGE(OFFSET($H$3,0,0,'Données projet'!$E$10+1,1))</f>
        <v>481.23392184981651</v>
      </c>
      <c r="AO78" s="59">
        <f t="shared" si="90"/>
        <v>275.88160405468193</v>
      </c>
      <c r="AP78" s="15">
        <f>IF(ISNA(VLOOKUP(A78,'Données projet'!$A$61:$I$81,3,0)),0,VLOOKUP(A78,'Données projet'!$A$61:$I$81,3,0))</f>
        <v>11</v>
      </c>
      <c r="AQ78" s="15">
        <f>IF(ISNA(VLOOKUP(A78,'Données projet'!$A$61:$I$81,4,0)),0,VLOOKUP(A78,'Données projet'!$A$61:$I$81,4,0))</f>
        <v>28</v>
      </c>
      <c r="AR78" s="16">
        <f>IF(ISNA(VLOOKUP(A78,'Données projet'!$A$61:$I$81,5,0)),0%,VLOOKUP(A78,'Données projet'!$A$61:$I$81,5,0)*VLOOKUP('Données projet'!$B$10,Paramètres!$A$1:$I$89,7,0))</f>
        <v>0.53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88.063141164494326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88.063141164494326</v>
      </c>
      <c r="AY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328.00000000000006</v>
      </c>
      <c r="BE78" s="13">
        <f>BD78*VLOOKUP('Données projet'!$B$11,Paramètres!$A$1:$I$89,3,0)*VLOOKUP('Données projet'!$B$11,Paramètres!$A$1:$I$89,5,0)</f>
        <v>255.84000000000006</v>
      </c>
      <c r="BF78" s="13">
        <f t="shared" si="91"/>
        <v>61.834803371075836</v>
      </c>
      <c r="BG78" s="20">
        <f t="shared" si="61"/>
        <v>553.28361587129041</v>
      </c>
      <c r="BH78" s="59">
        <f t="shared" si="62"/>
        <v>821.94520057111527</v>
      </c>
      <c r="BI78" s="59">
        <f ca="1">AVERAGE(OFFSET($BH$3,0,0,'Données projet'!$E$11+1,1))-AVERAGE(OFFSET($H$3,0,0,'Données projet'!$E$11+1,1))</f>
        <v>308.85018589589453</v>
      </c>
      <c r="BJ78" s="59">
        <f t="shared" si="92"/>
        <v>302.59481222418219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44.735750014697665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44.735750014697665</v>
      </c>
      <c r="BT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11.009999999999998</v>
      </c>
      <c r="BY78" s="12">
        <f>IF('Données projet'!$A$114&gt;35,BY77+BX78-CG77,IF(A78&lt;'Données projet'!$A$114,$BV$205^A78,IF(A78='Données projet'!$A$114,'Données projet'!$B$114,BY77+BX78-CG77)))</f>
        <v>340.65999999999991</v>
      </c>
      <c r="BZ78" s="13">
        <f>BY78*VLOOKUP('Données projet'!$B$12,Paramètres!$A$1:$I$89,3,0)*VLOOKUP('Données projet'!$B$12,Paramètres!$A$1:$I$89,5,0)</f>
        <v>329.48635199999995</v>
      </c>
      <c r="CA78" s="13">
        <f t="shared" si="93"/>
        <v>77.323805183914374</v>
      </c>
      <c r="CB78" s="20">
        <f t="shared" si="64"/>
        <v>708.52769042865077</v>
      </c>
      <c r="CC78" s="59">
        <f t="shared" si="65"/>
        <v>977.18927512847563</v>
      </c>
      <c r="CD78" s="59">
        <f ca="1">AVERAGE(OFFSET($CC$3,0,0,'Données projet'!$E$12+1,1))-AVERAGE(OFFSET($H$3,0,0,'Données projet'!$E$12+1,1))</f>
        <v>600.96600099724276</v>
      </c>
      <c r="CE78" s="59">
        <f t="shared" si="94"/>
        <v>315.40159260706264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101.85353653551675</v>
      </c>
      <c r="CL78" s="21">
        <f>EXP(-LN(2)/25)*CL77+(1-EXP(-LN(2)/25))/(LN(2)/25)*Calculateur!CG78*Calculateur!CI78*VLOOKUP('Données projet'!$B$12,Paramètres!$A$1:$I$89,3,0)*0.475*44/12</f>
        <v>0</v>
      </c>
      <c r="CM78" s="21">
        <f>EXP(-LN(2)/2)*CM77+(1-EXP(-LN(2)/2))/(LN(2)/2)*CG78*CJ78*VLOOKUP('Données projet'!$B$12,Paramètres!$A$1:$I$89,3,0)*0.475*44/12</f>
        <v>0</v>
      </c>
      <c r="CN78" s="22">
        <f t="shared" si="66"/>
        <v>101.85353653551675</v>
      </c>
      <c r="CO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11.009999999999998</v>
      </c>
      <c r="CT78" s="12">
        <f>IF('Données projet'!$A$140&gt;35,CT77+CS78-DB77,IF(A78&lt;'Données projet'!$A$140,$CQ$205^A78,IF(A78='Données projet'!$A$140,'Données projet'!$B$140,CT77+CS78-DB77)))</f>
        <v>340.65999999999991</v>
      </c>
      <c r="CU78" s="17">
        <f>CT78*VLOOKUP('Données projet'!$B$13,Paramètres!$A$1:$I$89,3,0)*VLOOKUP('Données projet'!$B$13,Paramètres!$A$1:$I$89,5,0)</f>
        <v>324.17205599999994</v>
      </c>
      <c r="CV78" s="13">
        <f t="shared" si="95"/>
        <v>76.220775534111311</v>
      </c>
      <c r="CW78" s="20">
        <f t="shared" si="67"/>
        <v>697.3508482552437</v>
      </c>
      <c r="CX78" s="59">
        <f t="shared" si="68"/>
        <v>966.01243295506856</v>
      </c>
      <c r="CY78" s="59">
        <f ca="1">AVERAGE(OFFSET($CX$3,0,0,'Données projet'!$E$13+1,1))-AVERAGE(OFFSET($H$3,0,0,'Données projet'!$E$13+1,1))</f>
        <v>592.58528889137358</v>
      </c>
      <c r="CZ78" s="59">
        <f t="shared" si="96"/>
        <v>311.31528020403709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100.21073755913746</v>
      </c>
      <c r="DG78" s="21">
        <f>EXP(-LN(2)/25)*DG77+(1-EXP(-LN(2)/25))/(LN(2)/25)*Calculateur!DB78*Calculateur!DD78*VLOOKUP('Données projet'!$B$13,Paramètres!$A$1:$I$89,3,0)*0.475*44/12</f>
        <v>0</v>
      </c>
      <c r="DH78" s="21">
        <f>EXP(-LN(2)/2)*DH77+(1-EXP(-LN(2)/2))/(LN(2)/2)*DB78*DE78*VLOOKUP('Données projet'!$B$13,Paramètres!$A$1:$I$89,3,0)*0.475*44/12</f>
        <v>0</v>
      </c>
      <c r="DI78" s="22">
        <f t="shared" si="69"/>
        <v>100.21073755913746</v>
      </c>
      <c r="DJ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2">
        <f>'Scénario référence'!$B$16*5+'Scénario référence'!$B$17*0+'Scénario référence'!$B$18*5</f>
        <v>5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66">
        <f t="shared" si="56"/>
        <v>183.33333333333334</v>
      </c>
      <c r="I79" s="6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11.009999999999998</v>
      </c>
      <c r="N79" s="13">
        <f>IF('Données projet'!$A$36&gt;35,N78+M79-V78,IF(A79&lt;'Données projet'!$A$36,$K$205^A79,IF(A79='Données projet'!$A$36,'Données projet'!$B$36,N78+M79-V78)))</f>
        <v>351.6699999999999</v>
      </c>
      <c r="O79" s="13">
        <f>N79*VLOOKUP('Données projet'!$B$9,Paramètres!$A$1:$I$89,3,0)*VLOOKUP('Données projet'!$B$9,Paramètres!$A$1:$I$89,5,0)</f>
        <v>318.19101599999988</v>
      </c>
      <c r="P79" s="13">
        <f t="shared" si="87"/>
        <v>74.976835262469876</v>
      </c>
      <c r="Q79" s="20">
        <f t="shared" si="54"/>
        <v>684.76734094880146</v>
      </c>
      <c r="R79" s="59">
        <f t="shared" si="55"/>
        <v>953.85692532965095</v>
      </c>
      <c r="S79" s="59">
        <f ca="1">AVERAGE(OFFSET($R$3,0,0,'Données projet'!$E$9+1,1))-AVERAGE(OFFSET($H$3,0,0,'Données projet'!$E$9+1,1))</f>
        <v>567.42635821507474</v>
      </c>
      <c r="T79" s="59">
        <f t="shared" si="88"/>
        <v>299.04735309930152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93.413912046734509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93.413912046734509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8.8000000000000007</v>
      </c>
      <c r="AI79" s="13">
        <f>IF('Données projet'!$A$62&gt;35,AI78+AH79-AQ78,IF(A79&lt;'Données projet'!$A$62,$AF$205^A79,IF(A79='Données projet'!$A$62,'Données projet'!$B$62,AI78+AH79-AQ78)))</f>
        <v>315.79999999999984</v>
      </c>
      <c r="AJ79" s="13">
        <f>AI79*VLOOKUP('Données projet'!$B$10,Paramètres!$A$1:$I$89,3,0)*VLOOKUP('Données projet'!$B$10,Paramètres!$A$1:$I$89,5,0)</f>
        <v>270.95639999999986</v>
      </c>
      <c r="AK79" s="13">
        <f t="shared" si="89"/>
        <v>65.052199716598722</v>
      </c>
      <c r="AL79" s="20">
        <f t="shared" si="58"/>
        <v>585.21497783974257</v>
      </c>
      <c r="AM79" s="59">
        <f t="shared" si="59"/>
        <v>854.30456222059206</v>
      </c>
      <c r="AN79" s="59">
        <f ca="1">AVERAGE(OFFSET($AM$3,0,0,'Données projet'!$E$10+1,1))-AVERAGE(OFFSET($H$3,0,0,'Données projet'!$E$10+1,1))</f>
        <v>481.23392184981651</v>
      </c>
      <c r="AO79" s="59">
        <f t="shared" si="90"/>
        <v>275.88160405468193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86.33627667947097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86.33627667947097</v>
      </c>
      <c r="AY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328.00000000000006</v>
      </c>
      <c r="BE79" s="13">
        <f>BD79*VLOOKUP('Données projet'!$B$11,Paramètres!$A$1:$I$89,3,0)*VLOOKUP('Données projet'!$B$11,Paramètres!$A$1:$I$89,5,0)</f>
        <v>255.84000000000006</v>
      </c>
      <c r="BF79" s="13">
        <f t="shared" si="91"/>
        <v>61.834803371075836</v>
      </c>
      <c r="BG79" s="20">
        <f t="shared" si="61"/>
        <v>553.28361587129041</v>
      </c>
      <c r="BH79" s="59">
        <f t="shared" si="62"/>
        <v>822.3732002521399</v>
      </c>
      <c r="BI79" s="59">
        <f ca="1">AVERAGE(OFFSET($BH$3,0,0,'Données projet'!$E$11+1,1))-AVERAGE(OFFSET($H$3,0,0,'Données projet'!$E$11+1,1))</f>
        <v>308.85018589589453</v>
      </c>
      <c r="BJ79" s="59">
        <f t="shared" si="92"/>
        <v>302.59481222418219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43.858509243022674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43.858509243022674</v>
      </c>
      <c r="BT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11.009999999999998</v>
      </c>
      <c r="BY79" s="12">
        <f>IF('Données projet'!$A$114&gt;35,BY78+BX79-CG78,IF(A79&lt;'Données projet'!$A$114,$BV$205^A79,IF(A79='Données projet'!$A$114,'Données projet'!$B$114,BY78+BX79-CG78)))</f>
        <v>351.6699999999999</v>
      </c>
      <c r="BZ79" s="13">
        <f>BY79*VLOOKUP('Données projet'!$B$12,Paramètres!$A$1:$I$89,3,0)*VLOOKUP('Données projet'!$B$12,Paramètres!$A$1:$I$89,5,0)</f>
        <v>340.13522399999988</v>
      </c>
      <c r="CA79" s="13">
        <f t="shared" si="93"/>
        <v>79.527883909752617</v>
      </c>
      <c r="CB79" s="20">
        <f t="shared" si="64"/>
        <v>730.91324627615222</v>
      </c>
      <c r="CC79" s="59">
        <f t="shared" si="65"/>
        <v>1000.0028306570016</v>
      </c>
      <c r="CD79" s="59">
        <f ca="1">AVERAGE(OFFSET($CC$3,0,0,'Données projet'!$E$12+1,1))-AVERAGE(OFFSET($H$3,0,0,'Données projet'!$E$12+1,1))</f>
        <v>600.96600099724276</v>
      </c>
      <c r="CE79" s="59">
        <f t="shared" si="94"/>
        <v>315.40159260706264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99.856250808578267</v>
      </c>
      <c r="CL79" s="21">
        <f>EXP(-LN(2)/25)*CL78+(1-EXP(-LN(2)/25))/(LN(2)/25)*Calculateur!CG79*Calculateur!CI79*VLOOKUP('Données projet'!$B$12,Paramètres!$A$1:$I$89,3,0)*0.475*44/12</f>
        <v>0</v>
      </c>
      <c r="CM79" s="21">
        <f>EXP(-LN(2)/2)*CM78+(1-EXP(-LN(2)/2))/(LN(2)/2)*CG79*CJ79*VLOOKUP('Données projet'!$B$12,Paramètres!$A$1:$I$89,3,0)*0.475*44/12</f>
        <v>0</v>
      </c>
      <c r="CN79" s="22">
        <f t="shared" si="66"/>
        <v>99.856250808578267</v>
      </c>
      <c r="CO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11.009999999999998</v>
      </c>
      <c r="CT79" s="12">
        <f>IF('Données projet'!$A$140&gt;35,CT78+CS79-DB78,IF(A79&lt;'Données projet'!$A$140,$CQ$205^A79,IF(A79='Données projet'!$A$140,'Données projet'!$B$140,CT78+CS79-DB78)))</f>
        <v>351.6699999999999</v>
      </c>
      <c r="CU79" s="17">
        <f>CT79*VLOOKUP('Données projet'!$B$13,Paramètres!$A$1:$I$89,3,0)*VLOOKUP('Données projet'!$B$13,Paramètres!$A$1:$I$89,5,0)</f>
        <v>334.64917199999991</v>
      </c>
      <c r="CV79" s="13">
        <f t="shared" si="95"/>
        <v>78.393412918187892</v>
      </c>
      <c r="CW79" s="20">
        <f t="shared" si="67"/>
        <v>719.38250206584371</v>
      </c>
      <c r="CX79" s="59">
        <f t="shared" si="68"/>
        <v>988.47208644669308</v>
      </c>
      <c r="CY79" s="59">
        <f ca="1">AVERAGE(OFFSET($CX$3,0,0,'Données projet'!$E$13+1,1))-AVERAGE(OFFSET($H$3,0,0,'Données projet'!$E$13+1,1))</f>
        <v>592.58528889137358</v>
      </c>
      <c r="CZ79" s="59">
        <f t="shared" si="96"/>
        <v>311.31528020403709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98.245666118117342</v>
      </c>
      <c r="DG79" s="21">
        <f>EXP(-LN(2)/25)*DG78+(1-EXP(-LN(2)/25))/(LN(2)/25)*Calculateur!DB79*Calculateur!DD79*VLOOKUP('Données projet'!$B$13,Paramètres!$A$1:$I$89,3,0)*0.475*44/12</f>
        <v>0</v>
      </c>
      <c r="DH79" s="21">
        <f>EXP(-LN(2)/2)*DH78+(1-EXP(-LN(2)/2))/(LN(2)/2)*DB79*DE79*VLOOKUP('Données projet'!$B$13,Paramètres!$A$1:$I$89,3,0)*0.475*44/12</f>
        <v>0</v>
      </c>
      <c r="DI79" s="22">
        <f t="shared" si="69"/>
        <v>98.245666118117342</v>
      </c>
      <c r="DJ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2">
        <f>'Scénario référence'!$B$16*5+'Scénario référence'!$B$17*0+'Scénario référence'!$B$18*5</f>
        <v>5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66">
        <f t="shared" si="56"/>
        <v>183.33333333333334</v>
      </c>
      <c r="I80" s="6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11.009999999999998</v>
      </c>
      <c r="N80" s="13">
        <f>IF('Données projet'!$A$36&gt;35,N79+M80-V79,IF(A80&lt;'Données projet'!$A$36,$K$205^A80,IF(A80='Données projet'!$A$36,'Données projet'!$B$36,N79+M80-V79)))</f>
        <v>362.67999999999989</v>
      </c>
      <c r="O80" s="13">
        <f>N80*VLOOKUP('Données projet'!$B$9,Paramètres!$A$1:$I$89,3,0)*VLOOKUP('Données projet'!$B$9,Paramètres!$A$1:$I$89,5,0)</f>
        <v>328.15286399999985</v>
      </c>
      <c r="P80" s="13">
        <f t="shared" si="87"/>
        <v>77.047223736242046</v>
      </c>
      <c r="Q80" s="20">
        <f t="shared" si="54"/>
        <v>705.72348614062139</v>
      </c>
      <c r="R80" s="59">
        <f t="shared" si="55"/>
        <v>975.23364536489362</v>
      </c>
      <c r="S80" s="59">
        <f ca="1">AVERAGE(OFFSET($R$3,0,0,'Données projet'!$E$9+1,1))-AVERAGE(OFFSET($H$3,0,0,'Données projet'!$E$9+1,1))</f>
        <v>567.42635821507474</v>
      </c>
      <c r="T80" s="59">
        <f t="shared" si="88"/>
        <v>299.04735309930152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91.582122208358399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91.582122208358399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8.8000000000000007</v>
      </c>
      <c r="AI80" s="13">
        <f>IF('Données projet'!$A$62&gt;35,AI79+AH80-AQ79,IF(A80&lt;'Données projet'!$A$62,$AF$205^A80,IF(A80='Données projet'!$A$62,'Données projet'!$B$62,AI79+AH80-AQ79)))</f>
        <v>324.59999999999985</v>
      </c>
      <c r="AJ80" s="13">
        <f>AI80*VLOOKUP('Données projet'!$B$10,Paramètres!$A$1:$I$89,3,0)*VLOOKUP('Données projet'!$B$10,Paramètres!$A$1:$I$89,5,0)</f>
        <v>278.50679999999994</v>
      </c>
      <c r="AK80" s="13">
        <f t="shared" si="89"/>
        <v>66.651354661909949</v>
      </c>
      <c r="AL80" s="20">
        <f t="shared" si="58"/>
        <v>601.15045270282633</v>
      </c>
      <c r="AM80" s="59">
        <f t="shared" si="59"/>
        <v>870.66061192709867</v>
      </c>
      <c r="AN80" s="59">
        <f ca="1">AVERAGE(OFFSET($AM$3,0,0,'Données projet'!$E$10+1,1))-AVERAGE(OFFSET($H$3,0,0,'Données projet'!$E$10+1,1))</f>
        <v>481.23392184981651</v>
      </c>
      <c r="AO80" s="59">
        <f t="shared" si="90"/>
        <v>275.88160405468193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84.643274953715576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84.643274953715576</v>
      </c>
      <c r="AY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328.00000000000006</v>
      </c>
      <c r="BE80" s="13">
        <f>BD80*VLOOKUP('Données projet'!$B$11,Paramètres!$A$1:$I$89,3,0)*VLOOKUP('Données projet'!$B$11,Paramètres!$A$1:$I$89,5,0)</f>
        <v>255.84000000000006</v>
      </c>
      <c r="BF80" s="13">
        <f t="shared" si="91"/>
        <v>61.834803371075836</v>
      </c>
      <c r="BG80" s="20">
        <f t="shared" si="61"/>
        <v>553.28361587129041</v>
      </c>
      <c r="BH80" s="59">
        <f t="shared" si="62"/>
        <v>822.79377509556275</v>
      </c>
      <c r="BI80" s="59">
        <f ca="1">AVERAGE(OFFSET($BH$3,0,0,'Données projet'!$E$11+1,1))-AVERAGE(OFFSET($H$3,0,0,'Données projet'!$E$11+1,1))</f>
        <v>308.85018589589453</v>
      </c>
      <c r="BJ80" s="59">
        <f t="shared" si="92"/>
        <v>302.59481222418219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42.998470627816189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42.998470627816189</v>
      </c>
      <c r="BT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11.009999999999998</v>
      </c>
      <c r="BY80" s="12">
        <f>IF('Données projet'!$A$114&gt;35,BY79+BX80-CG79,IF(A80&lt;'Données projet'!$A$114,$BV$205^A80,IF(A80='Données projet'!$A$114,'Données projet'!$B$114,BY79+BX80-CG79)))</f>
        <v>362.67999999999989</v>
      </c>
      <c r="BZ80" s="13">
        <f>BY80*VLOOKUP('Données projet'!$B$12,Paramètres!$A$1:$I$89,3,0)*VLOOKUP('Données projet'!$B$12,Paramètres!$A$1:$I$89,5,0)</f>
        <v>350.78409599999992</v>
      </c>
      <c r="CA80" s="13">
        <f t="shared" si="93"/>
        <v>81.723943714275478</v>
      </c>
      <c r="CB80" s="20">
        <f t="shared" si="64"/>
        <v>753.2848358356963</v>
      </c>
      <c r="CC80" s="59">
        <f t="shared" si="65"/>
        <v>1022.7949950599686</v>
      </c>
      <c r="CD80" s="59">
        <f ca="1">AVERAGE(OFFSET($CC$3,0,0,'Données projet'!$E$12+1,1))-AVERAGE(OFFSET($H$3,0,0,'Données projet'!$E$12+1,1))</f>
        <v>600.96600099724276</v>
      </c>
      <c r="CE80" s="59">
        <f t="shared" si="94"/>
        <v>315.40159260706264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97.898130636521046</v>
      </c>
      <c r="CL80" s="21">
        <f>EXP(-LN(2)/25)*CL79+(1-EXP(-LN(2)/25))/(LN(2)/25)*Calculateur!CG80*Calculateur!CI80*VLOOKUP('Données projet'!$B$12,Paramètres!$A$1:$I$89,3,0)*0.475*44/12</f>
        <v>0</v>
      </c>
      <c r="CM80" s="21">
        <f>EXP(-LN(2)/2)*CM79+(1-EXP(-LN(2)/2))/(LN(2)/2)*CG80*CJ80*VLOOKUP('Données projet'!$B$12,Paramètres!$A$1:$I$89,3,0)*0.475*44/12</f>
        <v>0</v>
      </c>
      <c r="CN80" s="22">
        <f t="shared" si="66"/>
        <v>97.898130636521046</v>
      </c>
      <c r="CO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11.009999999999998</v>
      </c>
      <c r="CT80" s="12">
        <f>IF('Données projet'!$A$140&gt;35,CT79+CS80-DB79,IF(A80&lt;'Données projet'!$A$140,$CQ$205^A80,IF(A80='Données projet'!$A$140,'Données projet'!$B$140,CT79+CS80-DB79)))</f>
        <v>362.67999999999989</v>
      </c>
      <c r="CU80" s="17">
        <f>CT80*VLOOKUP('Données projet'!$B$13,Paramètres!$A$1:$I$89,3,0)*VLOOKUP('Données projet'!$B$13,Paramètres!$A$1:$I$89,5,0)</f>
        <v>345.12628799999987</v>
      </c>
      <c r="CV80" s="13">
        <f t="shared" si="95"/>
        <v>80.558145771439186</v>
      </c>
      <c r="CW80" s="20">
        <f t="shared" si="67"/>
        <v>741.4003888185897</v>
      </c>
      <c r="CX80" s="59">
        <f t="shared" si="68"/>
        <v>1010.910548042862</v>
      </c>
      <c r="CY80" s="59">
        <f ca="1">AVERAGE(OFFSET($CX$3,0,0,'Données projet'!$E$13+1,1))-AVERAGE(OFFSET($H$3,0,0,'Données projet'!$E$13+1,1))</f>
        <v>592.58528889137358</v>
      </c>
      <c r="CZ80" s="59">
        <f t="shared" si="96"/>
        <v>311.31528020403709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96.319128529480395</v>
      </c>
      <c r="DG80" s="21">
        <f>EXP(-LN(2)/25)*DG79+(1-EXP(-LN(2)/25))/(LN(2)/25)*Calculateur!DB80*Calculateur!DD80*VLOOKUP('Données projet'!$B$13,Paramètres!$A$1:$I$89,3,0)*0.475*44/12</f>
        <v>0</v>
      </c>
      <c r="DH80" s="21">
        <f>EXP(-LN(2)/2)*DH79+(1-EXP(-LN(2)/2))/(LN(2)/2)*DB80*DE80*VLOOKUP('Données projet'!$B$13,Paramètres!$A$1:$I$89,3,0)*0.475*44/12</f>
        <v>0</v>
      </c>
      <c r="DI80" s="22">
        <f t="shared" si="69"/>
        <v>96.319128529480395</v>
      </c>
      <c r="DJ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2">
        <f>'Scénario référence'!$B$16*5+'Scénario référence'!$B$17*0+'Scénario référence'!$B$18*5</f>
        <v>5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66">
        <f t="shared" si="56"/>
        <v>183.33333333333334</v>
      </c>
      <c r="I81" s="6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11.009999999999998</v>
      </c>
      <c r="N81" s="13">
        <f>IF('Données projet'!$A$36&gt;35,N80+M81-V80,IF(A81&lt;'Données projet'!$A$36,$K$205^A81,IF(A81='Données projet'!$A$36,'Données projet'!$B$36,N80+M81-V80)))</f>
        <v>373.68999999999988</v>
      </c>
      <c r="O81" s="13">
        <f>N81*VLOOKUP('Données projet'!$B$9,Paramètres!$A$1:$I$89,3,0)*VLOOKUP('Données projet'!$B$9,Paramètres!$A$1:$I$89,5,0)</f>
        <v>338.11471199999988</v>
      </c>
      <c r="P81" s="13">
        <f t="shared" si="87"/>
        <v>79.110308022170997</v>
      </c>
      <c r="Q81" s="20">
        <f t="shared" si="54"/>
        <v>726.66690987194761</v>
      </c>
      <c r="R81" s="59">
        <f t="shared" si="55"/>
        <v>996.59034790637384</v>
      </c>
      <c r="S81" s="59">
        <f ca="1">AVERAGE(OFFSET($R$3,0,0,'Données projet'!$E$9+1,1))-AVERAGE(OFFSET($H$3,0,0,'Données projet'!$E$9+1,1))</f>
        <v>567.42635821507474</v>
      </c>
      <c r="T81" s="59">
        <f t="shared" si="88"/>
        <v>299.04735309930152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89.786252651431369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89.786252651431369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8.8000000000000007</v>
      </c>
      <c r="AI81" s="13">
        <f>IF('Données projet'!$A$62&gt;35,AI80+AH81-AQ80,IF(A81&lt;'Données projet'!$A$62,$AF$205^A81,IF(A81='Données projet'!$A$62,'Données projet'!$B$62,AI80+AH81-AQ80)))</f>
        <v>333.39999999999986</v>
      </c>
      <c r="AJ81" s="13">
        <f>AI81*VLOOKUP('Données projet'!$B$10,Paramètres!$A$1:$I$89,3,0)*VLOOKUP('Données projet'!$B$10,Paramètres!$A$1:$I$89,5,0)</f>
        <v>286.05719999999991</v>
      </c>
      <c r="AK81" s="13">
        <f t="shared" si="89"/>
        <v>68.24547055517067</v>
      </c>
      <c r="AL81" s="20">
        <f t="shared" si="58"/>
        <v>617.07715121692206</v>
      </c>
      <c r="AM81" s="59">
        <f t="shared" si="59"/>
        <v>887.00058925134829</v>
      </c>
      <c r="AN81" s="59">
        <f ca="1">AVERAGE(OFFSET($AM$3,0,0,'Données projet'!$E$10+1,1))-AVERAGE(OFFSET($H$3,0,0,'Données projet'!$E$10+1,1))</f>
        <v>481.23392184981651</v>
      </c>
      <c r="AO81" s="59">
        <f t="shared" si="90"/>
        <v>275.88160405468193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82.983471959173158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82.983471959173158</v>
      </c>
      <c r="AY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328.00000000000006</v>
      </c>
      <c r="BE81" s="13">
        <f>BD81*VLOOKUP('Données projet'!$B$11,Paramètres!$A$1:$I$89,3,0)*VLOOKUP('Données projet'!$B$11,Paramètres!$A$1:$I$89,5,0)</f>
        <v>255.84000000000006</v>
      </c>
      <c r="BF81" s="13">
        <f t="shared" si="91"/>
        <v>61.834803371075836</v>
      </c>
      <c r="BG81" s="20">
        <f t="shared" si="61"/>
        <v>553.28361587129041</v>
      </c>
      <c r="BH81" s="59">
        <f t="shared" si="62"/>
        <v>823.20705390571663</v>
      </c>
      <c r="BI81" s="59">
        <f ca="1">AVERAGE(OFFSET($BH$3,0,0,'Données projet'!$E$11+1,1))-AVERAGE(OFFSET($H$3,0,0,'Données projet'!$E$11+1,1))</f>
        <v>308.85018589589453</v>
      </c>
      <c r="BJ81" s="59">
        <f t="shared" si="92"/>
        <v>302.59481222418219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42.155296845282145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42.155296845282145</v>
      </c>
      <c r="BT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11.009999999999998</v>
      </c>
      <c r="BY81" s="12">
        <f>IF('Données projet'!$A$114&gt;35,BY80+BX81-CG80,IF(A81&lt;'Données projet'!$A$114,$BV$205^A81,IF(A81='Données projet'!$A$114,'Données projet'!$B$114,BY80+BX81-CG80)))</f>
        <v>373.68999999999988</v>
      </c>
      <c r="BZ81" s="13">
        <f>BY81*VLOOKUP('Données projet'!$B$12,Paramètres!$A$1:$I$89,3,0)*VLOOKUP('Données projet'!$B$12,Paramètres!$A$1:$I$89,5,0)</f>
        <v>361.4329679999999</v>
      </c>
      <c r="CA81" s="13">
        <f t="shared" si="93"/>
        <v>83.912255971161656</v>
      </c>
      <c r="CB81" s="20">
        <f t="shared" si="64"/>
        <v>775.64293174977286</v>
      </c>
      <c r="CC81" s="59">
        <f t="shared" si="65"/>
        <v>1045.5663697841992</v>
      </c>
      <c r="CD81" s="59">
        <f ca="1">AVERAGE(OFFSET($CC$3,0,0,'Données projet'!$E$12+1,1))-AVERAGE(OFFSET($H$3,0,0,'Données projet'!$E$12+1,1))</f>
        <v>600.96600099724276</v>
      </c>
      <c r="CE81" s="59">
        <f t="shared" si="94"/>
        <v>315.40159260706264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95.978408006702495</v>
      </c>
      <c r="CL81" s="21">
        <f>EXP(-LN(2)/25)*CL80+(1-EXP(-LN(2)/25))/(LN(2)/25)*Calculateur!CG81*Calculateur!CI81*VLOOKUP('Données projet'!$B$12,Paramètres!$A$1:$I$89,3,0)*0.475*44/12</f>
        <v>0</v>
      </c>
      <c r="CM81" s="21">
        <f>EXP(-LN(2)/2)*CM80+(1-EXP(-LN(2)/2))/(LN(2)/2)*CG81*CJ81*VLOOKUP('Données projet'!$B$12,Paramètres!$A$1:$I$89,3,0)*0.475*44/12</f>
        <v>0</v>
      </c>
      <c r="CN81" s="22">
        <f t="shared" si="66"/>
        <v>95.978408006702495</v>
      </c>
      <c r="CO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11.009999999999998</v>
      </c>
      <c r="CT81" s="12">
        <f>IF('Données projet'!$A$140&gt;35,CT80+CS81-DB80,IF(A81&lt;'Données projet'!$A$140,$CQ$205^A81,IF(A81='Données projet'!$A$140,'Données projet'!$B$140,CT80+CS81-DB80)))</f>
        <v>373.68999999999988</v>
      </c>
      <c r="CU81" s="17">
        <f>CT81*VLOOKUP('Données projet'!$B$13,Paramètres!$A$1:$I$89,3,0)*VLOOKUP('Données projet'!$B$13,Paramètres!$A$1:$I$89,5,0)</f>
        <v>355.6034039999999</v>
      </c>
      <c r="CV81" s="13">
        <f t="shared" si="95"/>
        <v>82.715241596378789</v>
      </c>
      <c r="CW81" s="20">
        <f t="shared" si="67"/>
        <v>763.40497441369291</v>
      </c>
      <c r="CX81" s="59">
        <f t="shared" si="68"/>
        <v>1033.3284124481193</v>
      </c>
      <c r="CY81" s="59">
        <f ca="1">AVERAGE(OFFSET($CX$3,0,0,'Données projet'!$E$13+1,1))-AVERAGE(OFFSET($H$3,0,0,'Données projet'!$E$13+1,1))</f>
        <v>592.58528889137358</v>
      </c>
      <c r="CZ81" s="59">
        <f t="shared" si="96"/>
        <v>311.31528020403709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94.43036916788472</v>
      </c>
      <c r="DG81" s="21">
        <f>EXP(-LN(2)/25)*DG80+(1-EXP(-LN(2)/25))/(LN(2)/25)*Calculateur!DB81*Calculateur!DD81*VLOOKUP('Données projet'!$B$13,Paramètres!$A$1:$I$89,3,0)*0.475*44/12</f>
        <v>0</v>
      </c>
      <c r="DH81" s="21">
        <f>EXP(-LN(2)/2)*DH80+(1-EXP(-LN(2)/2))/(LN(2)/2)*DB81*DE81*VLOOKUP('Données projet'!$B$13,Paramètres!$A$1:$I$89,3,0)*0.475*44/12</f>
        <v>0</v>
      </c>
      <c r="DI81" s="22">
        <f t="shared" si="69"/>
        <v>94.43036916788472</v>
      </c>
      <c r="DJ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2">
        <f>'Scénario référence'!$B$16*5+'Scénario référence'!$B$17*0+'Scénario référence'!$B$18*5</f>
        <v>5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66">
        <f t="shared" si="56"/>
        <v>183.33333333333334</v>
      </c>
      <c r="I82" s="6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11.009999999999998</v>
      </c>
      <c r="N82" s="13">
        <f>IF('Données projet'!$A$36&gt;35,N81+M82-V81,IF(A82&lt;'Données projet'!$A$36,$K$205^A82,IF(A82='Données projet'!$A$36,'Données projet'!$B$36,N81+M82-V81)))</f>
        <v>384.69999999999987</v>
      </c>
      <c r="O82" s="13">
        <f>N82*VLOOKUP('Données projet'!$B$9,Paramètres!$A$1:$I$89,3,0)*VLOOKUP('Données projet'!$B$9,Paramètres!$A$1:$I$89,5,0)</f>
        <v>348.07655999999986</v>
      </c>
      <c r="P82" s="13">
        <f t="shared" si="87"/>
        <v>81.166328031452807</v>
      </c>
      <c r="Q82" s="20">
        <f t="shared" si="54"/>
        <v>747.59802998811335</v>
      </c>
      <c r="R82" s="59">
        <f t="shared" si="55"/>
        <v>1017.9275773692902</v>
      </c>
      <c r="S82" s="59">
        <f ca="1">AVERAGE(OFFSET($R$3,0,0,'Données projet'!$E$9+1,1))-AVERAGE(OFFSET($H$3,0,0,'Données projet'!$E$9+1,1))</f>
        <v>567.42635821507474</v>
      </c>
      <c r="T82" s="59">
        <f t="shared" si="88"/>
        <v>299.04735309930152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88.025599001143405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88.025599001143405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8.8000000000000007</v>
      </c>
      <c r="AI82" s="13">
        <f>IF('Données projet'!$A$62&gt;35,AI81+AH82-AQ81,IF(A82&lt;'Données projet'!$A$62,$AF$205^A82,IF(A82='Données projet'!$A$62,'Données projet'!$B$62,AI81+AH82-AQ81)))</f>
        <v>342.19999999999987</v>
      </c>
      <c r="AJ82" s="13">
        <f>AI82*VLOOKUP('Données projet'!$B$10,Paramètres!$A$1:$I$89,3,0)*VLOOKUP('Données projet'!$B$10,Paramètres!$A$1:$I$89,5,0)</f>
        <v>293.60759999999993</v>
      </c>
      <c r="AK82" s="13">
        <f t="shared" si="89"/>
        <v>69.834695689453682</v>
      </c>
      <c r="AL82" s="20">
        <f t="shared" si="58"/>
        <v>632.99533165913169</v>
      </c>
      <c r="AM82" s="59">
        <f t="shared" si="59"/>
        <v>903.32487904030859</v>
      </c>
      <c r="AN82" s="59">
        <f ca="1">AVERAGE(OFFSET($AM$3,0,0,'Données projet'!$E$10+1,1))-AVERAGE(OFFSET($H$3,0,0,'Données projet'!$E$10+1,1))</f>
        <v>481.23392184981651</v>
      </c>
      <c r="AO82" s="59">
        <f t="shared" si="90"/>
        <v>275.88160405468193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81.356216688973859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81.356216688973859</v>
      </c>
      <c r="AY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328.00000000000006</v>
      </c>
      <c r="BE82" s="13">
        <f>BD82*VLOOKUP('Données projet'!$B$11,Paramètres!$A$1:$I$89,3,0)*VLOOKUP('Données projet'!$B$11,Paramètres!$A$1:$I$89,5,0)</f>
        <v>255.84000000000006</v>
      </c>
      <c r="BF82" s="13">
        <f t="shared" si="91"/>
        <v>61.834803371075836</v>
      </c>
      <c r="BG82" s="20">
        <f t="shared" si="61"/>
        <v>553.28361587129041</v>
      </c>
      <c r="BH82" s="59">
        <f t="shared" si="62"/>
        <v>823.6131632524673</v>
      </c>
      <c r="BI82" s="59">
        <f ca="1">AVERAGE(OFFSET($BH$3,0,0,'Données projet'!$E$11+1,1))-AVERAGE(OFFSET($H$3,0,0,'Données projet'!$E$11+1,1))</f>
        <v>308.85018589589453</v>
      </c>
      <c r="BJ82" s="59">
        <f t="shared" si="92"/>
        <v>302.59481222418219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41.328657186338368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41.328657186338368</v>
      </c>
      <c r="BT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11.009999999999998</v>
      </c>
      <c r="BY82" s="12">
        <f>IF('Données projet'!$A$114&gt;35,BY81+BX82-CG81,IF(A82&lt;'Données projet'!$A$114,$BV$205^A82,IF(A82='Données projet'!$A$114,'Données projet'!$B$114,BY81+BX82-CG81)))</f>
        <v>384.69999999999987</v>
      </c>
      <c r="BZ82" s="13">
        <f>BY82*VLOOKUP('Données projet'!$B$12,Paramètres!$A$1:$I$89,3,0)*VLOOKUP('Données projet'!$B$12,Paramètres!$A$1:$I$89,5,0)</f>
        <v>372.08183999999989</v>
      </c>
      <c r="CA82" s="13">
        <f t="shared" si="93"/>
        <v>86.093075154071798</v>
      </c>
      <c r="CB82" s="20">
        <f t="shared" si="64"/>
        <v>797.98797722667484</v>
      </c>
      <c r="CC82" s="59">
        <f t="shared" si="65"/>
        <v>1068.3175246078517</v>
      </c>
      <c r="CD82" s="59">
        <f ca="1">AVERAGE(OFFSET($CC$3,0,0,'Données projet'!$E$12+1,1))-AVERAGE(OFFSET($H$3,0,0,'Données projet'!$E$12+1,1))</f>
        <v>600.96600099724276</v>
      </c>
      <c r="CE82" s="59">
        <f t="shared" si="94"/>
        <v>315.40159260706264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94.096329966739489</v>
      </c>
      <c r="CL82" s="21">
        <f>EXP(-LN(2)/25)*CL81+(1-EXP(-LN(2)/25))/(LN(2)/25)*Calculateur!CG82*Calculateur!CI82*VLOOKUP('Données projet'!$B$12,Paramètres!$A$1:$I$89,3,0)*0.475*44/12</f>
        <v>0</v>
      </c>
      <c r="CM82" s="21">
        <f>EXP(-LN(2)/2)*CM81+(1-EXP(-LN(2)/2))/(LN(2)/2)*CG82*CJ82*VLOOKUP('Données projet'!$B$12,Paramètres!$A$1:$I$89,3,0)*0.475*44/12</f>
        <v>0</v>
      </c>
      <c r="CN82" s="22">
        <f t="shared" si="66"/>
        <v>94.096329966739489</v>
      </c>
      <c r="CO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11.009999999999998</v>
      </c>
      <c r="CT82" s="12">
        <f>IF('Données projet'!$A$140&gt;35,CT81+CS82-DB81,IF(A82&lt;'Données projet'!$A$140,$CQ$205^A82,IF(A82='Données projet'!$A$140,'Données projet'!$B$140,CT81+CS82-DB81)))</f>
        <v>384.69999999999987</v>
      </c>
      <c r="CU82" s="17">
        <f>CT82*VLOOKUP('Données projet'!$B$13,Paramètres!$A$1:$I$89,3,0)*VLOOKUP('Données projet'!$B$13,Paramètres!$A$1:$I$89,5,0)</f>
        <v>366.08051999999986</v>
      </c>
      <c r="CV82" s="13">
        <f t="shared" si="95"/>
        <v>84.864951236582286</v>
      </c>
      <c r="CW82" s="20">
        <f t="shared" si="67"/>
        <v>785.39669573704714</v>
      </c>
      <c r="CX82" s="59">
        <f t="shared" si="68"/>
        <v>1055.7262431182241</v>
      </c>
      <c r="CY82" s="59">
        <f ca="1">AVERAGE(OFFSET($CX$3,0,0,'Données projet'!$E$13+1,1))-AVERAGE(OFFSET($H$3,0,0,'Données projet'!$E$13+1,1))</f>
        <v>592.58528889137358</v>
      </c>
      <c r="CZ82" s="59">
        <f t="shared" si="96"/>
        <v>311.31528020403709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92.578647225340475</v>
      </c>
      <c r="DG82" s="21">
        <f>EXP(-LN(2)/25)*DG81+(1-EXP(-LN(2)/25))/(LN(2)/25)*Calculateur!DB82*Calculateur!DD82*VLOOKUP('Données projet'!$B$13,Paramètres!$A$1:$I$89,3,0)*0.475*44/12</f>
        <v>0</v>
      </c>
      <c r="DH82" s="21">
        <f>EXP(-LN(2)/2)*DH81+(1-EXP(-LN(2)/2))/(LN(2)/2)*DB82*DE82*VLOOKUP('Données projet'!$B$13,Paramètres!$A$1:$I$89,3,0)*0.475*44/12</f>
        <v>0</v>
      </c>
      <c r="DI82" s="22">
        <f t="shared" si="69"/>
        <v>92.578647225340475</v>
      </c>
      <c r="DJ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2">
        <f>'Scénario référence'!$B$16*5+'Scénario référence'!$B$17*0+'Scénario référence'!$B$18*5</f>
        <v>5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66">
        <f t="shared" si="56"/>
        <v>183.33333333333334</v>
      </c>
      <c r="I83" s="6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395.71</v>
      </c>
      <c r="L83" s="12">
        <f>VLOOKUP(A83,'Données projet'!$A$35:$I$55,9,0)</f>
        <v>11.009999999999998</v>
      </c>
      <c r="M83" s="12">
        <f t="array" ref="M83">INDEX(L:L,MIN(IF(ISNUMBER(L83:L279),ROW(L83:L279),"")))</f>
        <v>11.009999999999998</v>
      </c>
      <c r="N83" s="13">
        <f>IF('Données projet'!$A$36&gt;35,N82+M83-V82,IF(A83&lt;'Données projet'!$A$36,$K$205^A83,IF(A83='Données projet'!$A$36,'Données projet'!$B$36,N82+M83-V82)))</f>
        <v>395.70999999999987</v>
      </c>
      <c r="O83" s="13">
        <f>N83*VLOOKUP('Données projet'!$B$9,Paramètres!$A$1:$I$89,3,0)*VLOOKUP('Données projet'!$B$9,Paramètres!$A$1:$I$89,5,0)</f>
        <v>358.03840799999989</v>
      </c>
      <c r="P83" s="13">
        <f t="shared" si="87"/>
        <v>83.215509161867502</v>
      </c>
      <c r="Q83" s="20">
        <f t="shared" si="54"/>
        <v>768.51723905691904</v>
      </c>
      <c r="R83" s="59">
        <f t="shared" si="55"/>
        <v>1039.2458506956052</v>
      </c>
      <c r="S83" s="59">
        <f ca="1">AVERAGE(OFFSET($R$3,0,0,'Données projet'!$E$9+1,1))-AVERAGE(OFFSET($H$3,0,0,'Données projet'!$E$9+1,1))</f>
        <v>567.42635821507474</v>
      </c>
      <c r="T83" s="59">
        <f t="shared" si="88"/>
        <v>299.04735309930152</v>
      </c>
      <c r="U83" s="15">
        <f>IF(ISNA(VLOOKUP(A83,'Données projet'!$A$35:$I$55,3,0)),0,VLOOKUP(A83,'Données projet'!$A$35:$I$55,3,0))</f>
        <v>7</v>
      </c>
      <c r="V83" s="15">
        <f>IF(ISNA(VLOOKUP(A83,'Données projet'!$A$35:$I$55,4,0)),0,VLOOKUP(A83,'Données projet'!$A$35:$I$55,4,0))</f>
        <v>59.57</v>
      </c>
      <c r="W83" s="16">
        <f>IF(ISNA(VLOOKUP(A83,'Données projet'!$A$35:$I$55,5,0)),0%,VLOOKUP(A83,'Données projet'!$A$35:$I$55,5,0)*VLOOKUP('Données projet'!$B$9,Paramètres!$A$1:$I$89,7,0))</f>
        <v>0.43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111.92045190667203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111.92045190667203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351</v>
      </c>
      <c r="AG83" s="12">
        <f>VLOOKUP(A83,'Données projet'!$A$61:$I$81,9,0)</f>
        <v>8.8000000000000007</v>
      </c>
      <c r="AH83" s="12">
        <f t="array" ref="AH83">INDEX(AG:AG,MIN(IF(ISNUMBER(AG83:AG279),ROW(AG83:AG279),"")))</f>
        <v>8.8000000000000007</v>
      </c>
      <c r="AI83" s="13">
        <f>IF('Données projet'!$A$62&gt;35,AI82+AH83-AQ82,IF(A83&lt;'Données projet'!$A$62,$AF$205^A83,IF(A83='Données projet'!$A$62,'Données projet'!$B$62,AI82+AH83-AQ82)))</f>
        <v>350.99999999999989</v>
      </c>
      <c r="AJ83" s="13">
        <f>AI83*VLOOKUP('Données projet'!$B$10,Paramètres!$A$1:$I$89,3,0)*VLOOKUP('Données projet'!$B$10,Paramètres!$A$1:$I$89,5,0)</f>
        <v>301.15799999999996</v>
      </c>
      <c r="AK83" s="13">
        <f t="shared" si="89"/>
        <v>71.419170296330975</v>
      </c>
      <c r="AL83" s="20">
        <f t="shared" si="58"/>
        <v>648.90523826610968</v>
      </c>
      <c r="AM83" s="59">
        <f t="shared" si="59"/>
        <v>919.63384990479585</v>
      </c>
      <c r="AN83" s="59">
        <f ca="1">AVERAGE(OFFSET($AM$3,0,0,'Données projet'!$E$10+1,1))-AVERAGE(OFFSET($H$3,0,0,'Données projet'!$E$10+1,1))</f>
        <v>481.23392184981651</v>
      </c>
      <c r="AO83" s="59">
        <f t="shared" si="90"/>
        <v>275.88160405468193</v>
      </c>
      <c r="AP83" s="15">
        <f>IF(ISNA(VLOOKUP(A83,'Données projet'!$A$61:$I$81,3,0)),0,VLOOKUP(A83,'Données projet'!$A$61:$I$81,3,0))</f>
        <v>12</v>
      </c>
      <c r="AQ83" s="15">
        <f>IF(ISNA(VLOOKUP(A83,'Données projet'!$A$61:$I$81,4,0)),0,VLOOKUP(A83,'Données projet'!$A$61:$I$81,4,0))</f>
        <v>28</v>
      </c>
      <c r="AR83" s="16">
        <f>IF(ISNA(VLOOKUP(A83,'Données projet'!$A$61:$I$81,5,0)),0%,VLOOKUP(A83,'Données projet'!$A$61:$I$81,5,0)*VLOOKUP('Données projet'!$B$10,Paramètres!$A$1:$I$89,7,0))</f>
        <v>0.53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93.836515712982248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93.836515712982248</v>
      </c>
      <c r="AY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328.00000000000006</v>
      </c>
      <c r="BE83" s="13">
        <f>BD83*VLOOKUP('Données projet'!$B$11,Paramètres!$A$1:$I$89,3,0)*VLOOKUP('Données projet'!$B$11,Paramètres!$A$1:$I$89,5,0)</f>
        <v>255.84000000000006</v>
      </c>
      <c r="BF83" s="13">
        <f t="shared" si="91"/>
        <v>61.834803371075836</v>
      </c>
      <c r="BG83" s="20">
        <f t="shared" si="61"/>
        <v>553.28361587129041</v>
      </c>
      <c r="BH83" s="59">
        <f t="shared" si="62"/>
        <v>824.01222750997658</v>
      </c>
      <c r="BI83" s="59">
        <f ca="1">AVERAGE(OFFSET($BH$3,0,0,'Données projet'!$E$11+1,1))-AVERAGE(OFFSET($H$3,0,0,'Données projet'!$E$11+1,1))</f>
        <v>308.85018589589453</v>
      </c>
      <c r="BJ83" s="59">
        <f t="shared" si="92"/>
        <v>302.59481222418219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40.518227426906073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40.518227426906073</v>
      </c>
      <c r="BT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395.71</v>
      </c>
      <c r="BW83" s="12">
        <f>VLOOKUP(A83,'Données projet'!$A$113:$I$133,9,0)</f>
        <v>11.009999999999998</v>
      </c>
      <c r="BX83" s="12">
        <f t="array" ref="BX83">INDEX(BW:BW,MIN(IF(ISNUMBER(BW83:BW279),ROW(BW83:BW279),"")))</f>
        <v>11.009999999999998</v>
      </c>
      <c r="BY83" s="12">
        <f>IF('Données projet'!$A$114&gt;35,BY82+BX83-CG82,IF(A83&lt;'Données projet'!$A$114,$BV$205^A83,IF(A83='Données projet'!$A$114,'Données projet'!$B$114,BY82+BX83-CG82)))</f>
        <v>395.70999999999987</v>
      </c>
      <c r="BZ83" s="13">
        <f>BY83*VLOOKUP('Données projet'!$B$12,Paramètres!$A$1:$I$89,3,0)*VLOOKUP('Données projet'!$B$12,Paramètres!$A$1:$I$89,5,0)</f>
        <v>382.73071199999987</v>
      </c>
      <c r="CA83" s="13">
        <f t="shared" si="93"/>
        <v>88.266640342295247</v>
      </c>
      <c r="CB83" s="20">
        <f t="shared" si="64"/>
        <v>820.32038866283062</v>
      </c>
      <c r="CC83" s="59">
        <f t="shared" si="65"/>
        <v>1091.0490003015168</v>
      </c>
      <c r="CD83" s="59">
        <f ca="1">AVERAGE(OFFSET($CC$3,0,0,'Données projet'!$E$12+1,1))-AVERAGE(OFFSET($H$3,0,0,'Données projet'!$E$12+1,1))</f>
        <v>600.96600099724276</v>
      </c>
      <c r="CE83" s="59">
        <f t="shared" si="94"/>
        <v>315.40159260706264</v>
      </c>
      <c r="CF83" s="15">
        <f>IF(ISNA(VLOOKUP(A83,'Données projet'!$A$113:$I$133,3,0)),0,VLOOKUP(A83,'Données projet'!$A$113:$I$133,3,0))</f>
        <v>7</v>
      </c>
      <c r="CG83" s="15">
        <f>IF(ISNA(VLOOKUP(A83,'Données projet'!$A$113:$I$133,4,0)),0,VLOOKUP(A83,'Données projet'!$A$113:$I$133,4,0))</f>
        <v>59.57</v>
      </c>
      <c r="CH83" s="16">
        <f>IF(ISNA(VLOOKUP(A83,'Données projet'!$A$113:$I$133,5,0)),0%,VLOOKUP(A83,'Données projet'!$A$113:$I$133,5,0)*VLOOKUP('Données projet'!$B$12,Paramètres!$A$1:$I$89,7,0))</f>
        <v>0.43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119.63910376230459</v>
      </c>
      <c r="CL83" s="21">
        <f>EXP(-LN(2)/25)*CL82+(1-EXP(-LN(2)/25))/(LN(2)/25)*Calculateur!CG83*Calculateur!CI83*VLOOKUP('Données projet'!$B$12,Paramètres!$A$1:$I$89,3,0)*0.475*44/12</f>
        <v>0</v>
      </c>
      <c r="CM83" s="21">
        <f>EXP(-LN(2)/2)*CM82+(1-EXP(-LN(2)/2))/(LN(2)/2)*CG83*CJ83*VLOOKUP('Données projet'!$B$12,Paramètres!$A$1:$I$89,3,0)*0.475*44/12</f>
        <v>0</v>
      </c>
      <c r="CN83" s="22">
        <f t="shared" si="66"/>
        <v>119.63910376230459</v>
      </c>
      <c r="CO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>
        <f>VLOOKUP(A83,'Données projet'!$A$139:$I$159,2,0)</f>
        <v>395.71</v>
      </c>
      <c r="CR83" s="12">
        <f>VLOOKUP(A83,'Données projet'!$A$139:$I$159,9,0)</f>
        <v>11.009999999999998</v>
      </c>
      <c r="CS83" s="12">
        <f t="array" ref="CS83">INDEX(CR:CR,MIN(IF(ISNUMBER(CR83:CR279),ROW(CR83:CR279),"")))</f>
        <v>11.009999999999998</v>
      </c>
      <c r="CT83" s="12">
        <f>IF('Données projet'!$A$140&gt;35,CT82+CS83-DB82,IF(A83&lt;'Données projet'!$A$140,$CQ$205^A83,IF(A83='Données projet'!$A$140,'Données projet'!$B$140,CT82+CS83-DB82)))</f>
        <v>395.70999999999987</v>
      </c>
      <c r="CU83" s="17">
        <f>CT83*VLOOKUP('Données projet'!$B$13,Paramètres!$A$1:$I$89,3,0)*VLOOKUP('Données projet'!$B$13,Paramètres!$A$1:$I$89,5,0)</f>
        <v>376.55763599999983</v>
      </c>
      <c r="CV83" s="13">
        <f t="shared" si="95"/>
        <v>87.007510360855733</v>
      </c>
      <c r="CW83" s="20">
        <f t="shared" si="67"/>
        <v>807.37596324515664</v>
      </c>
      <c r="CX83" s="59">
        <f t="shared" si="68"/>
        <v>1078.1045748838428</v>
      </c>
      <c r="CY83" s="59">
        <f ca="1">AVERAGE(OFFSET($CX$3,0,0,'Données projet'!$E$13+1,1))-AVERAGE(OFFSET($H$3,0,0,'Données projet'!$E$13+1,1))</f>
        <v>592.58528889137358</v>
      </c>
      <c r="CZ83" s="59">
        <f t="shared" si="96"/>
        <v>311.31528020403709</v>
      </c>
      <c r="DA83" s="15">
        <f>IF(ISNA(VLOOKUP(A83,'Données projet'!$A$139:$I$159,3,0)),0,VLOOKUP(A83,'Données projet'!$A$139:$I$159,3,0))</f>
        <v>7</v>
      </c>
      <c r="DB83" s="15">
        <f>IF(ISNA(VLOOKUP(A83,'Données projet'!$A$139:$I$159,4,0)),0,VLOOKUP(A83,'Données projet'!$A$139:$I$159,4,0))</f>
        <v>59.57</v>
      </c>
      <c r="DC83" s="16">
        <f>IF(ISNA(VLOOKUP(A83,'Données projet'!$A$139:$I$159,5,0)),0%,VLOOKUP(A83,'Données projet'!$A$139:$I$159,5,0)*VLOOKUP('Données projet'!$B$13,Paramètres!$A$1:$I$89,7,0))</f>
        <v>0.43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117.70944079839644</v>
      </c>
      <c r="DG83" s="21">
        <f>EXP(-LN(2)/25)*DG82+(1-EXP(-LN(2)/25))/(LN(2)/25)*Calculateur!DB83*Calculateur!DD83*VLOOKUP('Données projet'!$B$13,Paramètres!$A$1:$I$89,3,0)*0.475*44/12</f>
        <v>0</v>
      </c>
      <c r="DH83" s="21">
        <f>EXP(-LN(2)/2)*DH82+(1-EXP(-LN(2)/2))/(LN(2)/2)*DB83*DE83*VLOOKUP('Données projet'!$B$13,Paramètres!$A$1:$I$89,3,0)*0.475*44/12</f>
        <v>0</v>
      </c>
      <c r="DI83" s="22">
        <f t="shared" si="69"/>
        <v>117.70944079839644</v>
      </c>
      <c r="DJ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2">
        <f>'Scénario référence'!$B$16*5+'Scénario référence'!$B$17*0+'Scénario référence'!$B$18*5</f>
        <v>5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66">
        <f t="shared" si="56"/>
        <v>183.33333333333334</v>
      </c>
      <c r="I84" s="6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10.41</v>
      </c>
      <c r="N84" s="13">
        <f>IF('Données projet'!$A$36&gt;35,N83+M84-V83,IF(A84&lt;'Données projet'!$A$36,$K$205^A84,IF(A84='Données projet'!$A$36,'Données projet'!$B$36,N83+M84-V83)))</f>
        <v>346.5499999999999</v>
      </c>
      <c r="O84" s="13">
        <f>N84*VLOOKUP('Données projet'!$B$9,Paramètres!$A$1:$I$89,3,0)*VLOOKUP('Données projet'!$B$9,Paramètres!$A$1:$I$89,5,0)</f>
        <v>313.55843999999991</v>
      </c>
      <c r="P84" s="13">
        <f t="shared" si="87"/>
        <v>74.011479710591601</v>
      </c>
      <c r="Q84" s="20">
        <f t="shared" si="54"/>
        <v>675.01761016261355</v>
      </c>
      <c r="R84" s="59">
        <f t="shared" si="55"/>
        <v>946.13836318611493</v>
      </c>
      <c r="S84" s="59">
        <f ca="1">AVERAGE(OFFSET($R$3,0,0,'Données projet'!$E$9+1,1))-AVERAGE(OFFSET($H$3,0,0,'Données projet'!$E$9+1,1))</f>
        <v>567.42635821507474</v>
      </c>
      <c r="T84" s="59">
        <f t="shared" si="88"/>
        <v>299.04735309930152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109.72576010951727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109.72576010951727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8.4</v>
      </c>
      <c r="AI84" s="13">
        <f>IF('Données projet'!$A$62&gt;35,AI83+AH84-AQ83,IF(A84&lt;'Données projet'!$A$62,$AF$205^A84,IF(A84='Données projet'!$A$62,'Données projet'!$B$62,AI83+AH84-AQ83)))</f>
        <v>331.39999999999986</v>
      </c>
      <c r="AJ84" s="13">
        <f>AI84*VLOOKUP('Données projet'!$B$10,Paramètres!$A$1:$I$89,3,0)*VLOOKUP('Données projet'!$B$10,Paramètres!$A$1:$I$89,5,0)</f>
        <v>284.34119999999996</v>
      </c>
      <c r="AK84" s="13">
        <f t="shared" si="89"/>
        <v>67.883606139618351</v>
      </c>
      <c r="AL84" s="20">
        <f t="shared" si="58"/>
        <v>613.4582040265019</v>
      </c>
      <c r="AM84" s="59">
        <f t="shared" si="59"/>
        <v>884.57895705000328</v>
      </c>
      <c r="AN84" s="59">
        <f ca="1">AVERAGE(OFFSET($AM$3,0,0,'Données projet'!$E$10+1,1))-AVERAGE(OFFSET($H$3,0,0,'Données projet'!$E$10+1,1))</f>
        <v>481.23392184981651</v>
      </c>
      <c r="AO84" s="59">
        <f t="shared" si="90"/>
        <v>275.88160405468193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91.996438874473796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91.996438874473796</v>
      </c>
      <c r="AY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328.00000000000006</v>
      </c>
      <c r="BE84" s="13">
        <f>BD84*VLOOKUP('Données projet'!$B$11,Paramètres!$A$1:$I$89,3,0)*VLOOKUP('Données projet'!$B$11,Paramètres!$A$1:$I$89,5,0)</f>
        <v>255.84000000000006</v>
      </c>
      <c r="BF84" s="13">
        <f t="shared" si="91"/>
        <v>61.834803371075836</v>
      </c>
      <c r="BG84" s="20">
        <f t="shared" si="61"/>
        <v>553.28361587129041</v>
      </c>
      <c r="BH84" s="59">
        <f t="shared" si="62"/>
        <v>824.40436889479179</v>
      </c>
      <c r="BI84" s="59">
        <f ca="1">AVERAGE(OFFSET($BH$3,0,0,'Données projet'!$E$11+1,1))-AVERAGE(OFFSET($H$3,0,0,'Données projet'!$E$11+1,1))</f>
        <v>308.85018589589453</v>
      </c>
      <c r="BJ84" s="59">
        <f t="shared" si="92"/>
        <v>302.59481222418219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39.723689700742902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39.723689700742902</v>
      </c>
      <c r="BT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10.41</v>
      </c>
      <c r="BY84" s="12">
        <f>IF('Données projet'!$A$114&gt;35,BY83+BX84-CG83,IF(A84&lt;'Données projet'!$A$114,$BV$205^A84,IF(A84='Données projet'!$A$114,'Données projet'!$B$114,BY83+BX84-CG83)))</f>
        <v>346.5499999999999</v>
      </c>
      <c r="BZ84" s="13">
        <f>BY84*VLOOKUP('Données projet'!$B$12,Paramètres!$A$1:$I$89,3,0)*VLOOKUP('Données projet'!$B$12,Paramètres!$A$1:$I$89,5,0)</f>
        <v>335.18315999999993</v>
      </c>
      <c r="CA84" s="13">
        <f t="shared" si="93"/>
        <v>78.503931858527082</v>
      </c>
      <c r="CB84" s="20">
        <f t="shared" si="64"/>
        <v>720.50501832026794</v>
      </c>
      <c r="CC84" s="59">
        <f t="shared" si="65"/>
        <v>991.62577134376943</v>
      </c>
      <c r="CD84" s="59">
        <f ca="1">AVERAGE(OFFSET($CC$3,0,0,'Données projet'!$E$12+1,1))-AVERAGE(OFFSET($H$3,0,0,'Données projet'!$E$12+1,1))</f>
        <v>600.96600099724276</v>
      </c>
      <c r="CE84" s="59">
        <f t="shared" si="94"/>
        <v>315.40159260706264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117.29305391017364</v>
      </c>
      <c r="CL84" s="21">
        <f>EXP(-LN(2)/25)*CL83+(1-EXP(-LN(2)/25))/(LN(2)/25)*Calculateur!CG84*Calculateur!CI84*VLOOKUP('Données projet'!$B$12,Paramètres!$A$1:$I$89,3,0)*0.475*44/12</f>
        <v>0</v>
      </c>
      <c r="CM84" s="21">
        <f>EXP(-LN(2)/2)*CM83+(1-EXP(-LN(2)/2))/(LN(2)/2)*CG84*CJ84*VLOOKUP('Données projet'!$B$12,Paramètres!$A$1:$I$89,3,0)*0.475*44/12</f>
        <v>0</v>
      </c>
      <c r="CN84" s="22">
        <f t="shared" si="66"/>
        <v>117.29305391017364</v>
      </c>
      <c r="CO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10.41</v>
      </c>
      <c r="CT84" s="12">
        <f>IF('Données projet'!$A$140&gt;35,CT83+CS84-DB83,IF(A84&lt;'Données projet'!$A$140,$CQ$205^A84,IF(A84='Données projet'!$A$140,'Données projet'!$B$140,CT83+CS84-DB83)))</f>
        <v>346.5499999999999</v>
      </c>
      <c r="CU84" s="17">
        <f>CT84*VLOOKUP('Données projet'!$B$13,Paramètres!$A$1:$I$89,3,0)*VLOOKUP('Données projet'!$B$13,Paramètres!$A$1:$I$89,5,0)</f>
        <v>329.77697999999992</v>
      </c>
      <c r="CV84" s="13">
        <f t="shared" si="95"/>
        <v>77.384067616717971</v>
      </c>
      <c r="CW84" s="20">
        <f t="shared" si="67"/>
        <v>709.13882459911702</v>
      </c>
      <c r="CX84" s="59">
        <f t="shared" si="68"/>
        <v>980.25957762261851</v>
      </c>
      <c r="CY84" s="59">
        <f ca="1">AVERAGE(OFFSET($CX$3,0,0,'Données projet'!$E$13+1,1))-AVERAGE(OFFSET($H$3,0,0,'Données projet'!$E$13+1,1))</f>
        <v>592.58528889137358</v>
      </c>
      <c r="CZ84" s="59">
        <f t="shared" si="96"/>
        <v>311.31528020403709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115.40123046000954</v>
      </c>
      <c r="DG84" s="21">
        <f>EXP(-LN(2)/25)*DG83+(1-EXP(-LN(2)/25))/(LN(2)/25)*Calculateur!DB84*Calculateur!DD84*VLOOKUP('Données projet'!$B$13,Paramètres!$A$1:$I$89,3,0)*0.475*44/12</f>
        <v>0</v>
      </c>
      <c r="DH84" s="21">
        <f>EXP(-LN(2)/2)*DH83+(1-EXP(-LN(2)/2))/(LN(2)/2)*DB84*DE84*VLOOKUP('Données projet'!$B$13,Paramètres!$A$1:$I$89,3,0)*0.475*44/12</f>
        <v>0</v>
      </c>
      <c r="DI84" s="22">
        <f t="shared" si="69"/>
        <v>115.40123046000954</v>
      </c>
      <c r="DJ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2">
        <f>'Scénario référence'!$B$16*5+'Scénario référence'!$B$17*0+'Scénario référence'!$B$18*5</f>
        <v>5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66">
        <f t="shared" si="56"/>
        <v>183.33333333333334</v>
      </c>
      <c r="I85" s="6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10.41</v>
      </c>
      <c r="N85" s="13">
        <f>IF('Données projet'!$A$36&gt;35,N84+M85-V84,IF(A85&lt;'Données projet'!$A$36,$K$205^A85,IF(A85='Données projet'!$A$36,'Données projet'!$B$36,N84+M85-V84)))</f>
        <v>356.95999999999992</v>
      </c>
      <c r="O85" s="13">
        <f>N85*VLOOKUP('Données projet'!$B$9,Paramètres!$A$1:$I$89,3,0)*VLOOKUP('Données projet'!$B$9,Paramètres!$A$1:$I$89,5,0)</f>
        <v>322.97740799999991</v>
      </c>
      <c r="P85" s="13">
        <f t="shared" si="87"/>
        <v>75.9725269838044</v>
      </c>
      <c r="Q85" s="20">
        <f t="shared" si="54"/>
        <v>694.83780343012586</v>
      </c>
      <c r="R85" s="59">
        <f t="shared" si="55"/>
        <v>966.34389506211289</v>
      </c>
      <c r="S85" s="59">
        <f ca="1">AVERAGE(OFFSET($R$3,0,0,'Données projet'!$E$9+1,1))-AVERAGE(OFFSET($H$3,0,0,'Données projet'!$E$9+1,1))</f>
        <v>567.42635821507474</v>
      </c>
      <c r="T85" s="59">
        <f t="shared" si="88"/>
        <v>299.04735309930152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107.57410487987489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107.57410487987489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8.4</v>
      </c>
      <c r="AI85" s="13">
        <f>IF('Données projet'!$A$62&gt;35,AI84+AH85-AQ84,IF(A85&lt;'Données projet'!$A$62,$AF$205^A85,IF(A85='Données projet'!$A$62,'Données projet'!$B$62,AI84+AH85-AQ84)))</f>
        <v>339.79999999999984</v>
      </c>
      <c r="AJ85" s="13">
        <f>AI85*VLOOKUP('Données projet'!$B$10,Paramètres!$A$1:$I$89,3,0)*VLOOKUP('Données projet'!$B$10,Paramètres!$A$1:$I$89,5,0)</f>
        <v>291.5483999999999</v>
      </c>
      <c r="AK85" s="13">
        <f t="shared" si="89"/>
        <v>69.40174753959208</v>
      </c>
      <c r="AL85" s="20">
        <f t="shared" si="58"/>
        <v>628.65484029812262</v>
      </c>
      <c r="AM85" s="59">
        <f t="shared" si="59"/>
        <v>900.16093193010965</v>
      </c>
      <c r="AN85" s="59">
        <f ca="1">AVERAGE(OFFSET($AM$3,0,0,'Données projet'!$E$10+1,1))-AVERAGE(OFFSET($H$3,0,0,'Données projet'!$E$10+1,1))</f>
        <v>481.23392184981651</v>
      </c>
      <c r="AO85" s="59">
        <f t="shared" si="90"/>
        <v>275.88160405468193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90.192444820432456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90.192444820432456</v>
      </c>
      <c r="AY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328.00000000000006</v>
      </c>
      <c r="BE85" s="13">
        <f>BD85*VLOOKUP('Données projet'!$B$11,Paramètres!$A$1:$I$89,3,0)*VLOOKUP('Données projet'!$B$11,Paramètres!$A$1:$I$89,5,0)</f>
        <v>255.84000000000006</v>
      </c>
      <c r="BF85" s="13">
        <f t="shared" si="91"/>
        <v>61.834803371075836</v>
      </c>
      <c r="BG85" s="20">
        <f t="shared" si="61"/>
        <v>553.28361587129041</v>
      </c>
      <c r="BH85" s="59">
        <f t="shared" si="62"/>
        <v>824.78970750327744</v>
      </c>
      <c r="BI85" s="59">
        <f ca="1">AVERAGE(OFFSET($BH$3,0,0,'Données projet'!$E$11+1,1))-AVERAGE(OFFSET($H$3,0,0,'Données projet'!$E$11+1,1))</f>
        <v>308.85018589589453</v>
      </c>
      <c r="BJ85" s="59">
        <f t="shared" si="92"/>
        <v>302.59481222418219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38.944732374769629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38.944732374769629</v>
      </c>
      <c r="BT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10.41</v>
      </c>
      <c r="BY85" s="12">
        <f>IF('Données projet'!$A$114&gt;35,BY84+BX85-CG84,IF(A85&lt;'Données projet'!$A$114,$BV$205^A85,IF(A85='Données projet'!$A$114,'Données projet'!$B$114,BY84+BX85-CG84)))</f>
        <v>356.95999999999992</v>
      </c>
      <c r="BZ85" s="13">
        <f>BY85*VLOOKUP('Données projet'!$B$12,Paramètres!$A$1:$I$89,3,0)*VLOOKUP('Données projet'!$B$12,Paramètres!$A$1:$I$89,5,0)</f>
        <v>345.25171199999994</v>
      </c>
      <c r="CA85" s="13">
        <f t="shared" si="93"/>
        <v>80.584013517610799</v>
      </c>
      <c r="CB85" s="20">
        <f t="shared" si="64"/>
        <v>741.66388860983864</v>
      </c>
      <c r="CC85" s="59">
        <f t="shared" si="65"/>
        <v>1013.1699802418257</v>
      </c>
      <c r="CD85" s="59">
        <f ca="1">AVERAGE(OFFSET($CC$3,0,0,'Données projet'!$E$12+1,1))-AVERAGE(OFFSET($H$3,0,0,'Données projet'!$E$12+1,1))</f>
        <v>600.96600099724276</v>
      </c>
      <c r="CE85" s="59">
        <f t="shared" si="94"/>
        <v>315.40159260706264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114.99300866469386</v>
      </c>
      <c r="CL85" s="21">
        <f>EXP(-LN(2)/25)*CL84+(1-EXP(-LN(2)/25))/(LN(2)/25)*Calculateur!CG85*Calculateur!CI85*VLOOKUP('Données projet'!$B$12,Paramètres!$A$1:$I$89,3,0)*0.475*44/12</f>
        <v>0</v>
      </c>
      <c r="CM85" s="21">
        <f>EXP(-LN(2)/2)*CM84+(1-EXP(-LN(2)/2))/(LN(2)/2)*CG85*CJ85*VLOOKUP('Données projet'!$B$12,Paramètres!$A$1:$I$89,3,0)*0.475*44/12</f>
        <v>0</v>
      </c>
      <c r="CN85" s="22">
        <f t="shared" si="66"/>
        <v>114.99300866469386</v>
      </c>
      <c r="CO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10.41</v>
      </c>
      <c r="CT85" s="12">
        <f>IF('Données projet'!$A$140&gt;35,CT84+CS85-DB84,IF(A85&lt;'Données projet'!$A$140,$CQ$205^A85,IF(A85='Données projet'!$A$140,'Données projet'!$B$140,CT84+CS85-DB84)))</f>
        <v>356.95999999999992</v>
      </c>
      <c r="CU85" s="17">
        <f>CT85*VLOOKUP('Données projet'!$B$13,Paramètres!$A$1:$I$89,3,0)*VLOOKUP('Données projet'!$B$13,Paramètres!$A$1:$I$89,5,0)</f>
        <v>339.68313599999993</v>
      </c>
      <c r="CV85" s="13">
        <f t="shared" si="95"/>
        <v>79.434476761127598</v>
      </c>
      <c r="CW85" s="20">
        <f t="shared" si="67"/>
        <v>729.96317555896383</v>
      </c>
      <c r="CX85" s="59">
        <f t="shared" si="68"/>
        <v>1001.4692671909509</v>
      </c>
      <c r="CY85" s="59">
        <f ca="1">AVERAGE(OFFSET($CX$3,0,0,'Données projet'!$E$13+1,1))-AVERAGE(OFFSET($H$3,0,0,'Données projet'!$E$13+1,1))</f>
        <v>592.58528889137358</v>
      </c>
      <c r="CZ85" s="59">
        <f t="shared" si="96"/>
        <v>311.31528020403709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113.13828271848912</v>
      </c>
      <c r="DG85" s="21">
        <f>EXP(-LN(2)/25)*DG84+(1-EXP(-LN(2)/25))/(LN(2)/25)*Calculateur!DB85*Calculateur!DD85*VLOOKUP('Données projet'!$B$13,Paramètres!$A$1:$I$89,3,0)*0.475*44/12</f>
        <v>0</v>
      </c>
      <c r="DH85" s="21">
        <f>EXP(-LN(2)/2)*DH84+(1-EXP(-LN(2)/2))/(LN(2)/2)*DB85*DE85*VLOOKUP('Données projet'!$B$13,Paramètres!$A$1:$I$89,3,0)*0.475*44/12</f>
        <v>0</v>
      </c>
      <c r="DI85" s="22">
        <f t="shared" si="69"/>
        <v>113.13828271848912</v>
      </c>
      <c r="DJ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2">
        <f>'Scénario référence'!$B$16*5+'Scénario référence'!$B$17*0+'Scénario référence'!$B$18*5</f>
        <v>5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66">
        <f t="shared" si="56"/>
        <v>183.33333333333334</v>
      </c>
      <c r="I86" s="6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10.41</v>
      </c>
      <c r="N86" s="13">
        <f>IF('Données projet'!$A$36&gt;35,N85+M86-V85,IF(A86&lt;'Données projet'!$A$36,$K$205^A86,IF(A86='Données projet'!$A$36,'Données projet'!$B$36,N85+M86-V85)))</f>
        <v>367.36999999999995</v>
      </c>
      <c r="O86" s="13">
        <f>N86*VLOOKUP('Données projet'!$B$9,Paramètres!$A$1:$I$89,3,0)*VLOOKUP('Données projet'!$B$9,Paramètres!$A$1:$I$89,5,0)</f>
        <v>332.39637599999992</v>
      </c>
      <c r="P86" s="13">
        <f t="shared" si="87"/>
        <v>77.926927644548115</v>
      </c>
      <c r="Q86" s="20">
        <f t="shared" si="54"/>
        <v>714.64642051425437</v>
      </c>
      <c r="R86" s="59">
        <f t="shared" si="55"/>
        <v>986.53116599135785</v>
      </c>
      <c r="S86" s="59">
        <f ca="1">AVERAGE(OFFSET($R$3,0,0,'Données projet'!$E$9+1,1))-AVERAGE(OFFSET($H$3,0,0,'Données projet'!$E$9+1,1))</f>
        <v>567.42635821507474</v>
      </c>
      <c r="T86" s="59">
        <f t="shared" si="88"/>
        <v>299.04735309930152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105.46464229690571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105.46464229690571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8.4</v>
      </c>
      <c r="AI86" s="13">
        <f>IF('Données projet'!$A$62&gt;35,AI85+AH86-AQ85,IF(A86&lt;'Données projet'!$A$62,$AF$205^A86,IF(A86='Données projet'!$A$62,'Données projet'!$B$62,AI85+AH86-AQ85)))</f>
        <v>348.19999999999982</v>
      </c>
      <c r="AJ86" s="13">
        <f>AI86*VLOOKUP('Données projet'!$B$10,Paramètres!$A$1:$I$89,3,0)*VLOOKUP('Données projet'!$B$10,Paramètres!$A$1:$I$89,5,0)</f>
        <v>298.75559999999984</v>
      </c>
      <c r="AK86" s="13">
        <f t="shared" si="89"/>
        <v>70.915526361788181</v>
      </c>
      <c r="AL86" s="20">
        <f t="shared" si="58"/>
        <v>643.84387841344744</v>
      </c>
      <c r="AM86" s="59">
        <f t="shared" si="59"/>
        <v>915.72862389055092</v>
      </c>
      <c r="AN86" s="59">
        <f ca="1">AVERAGE(OFFSET($AM$3,0,0,'Données projet'!$E$10+1,1))-AVERAGE(OFFSET($H$3,0,0,'Données projet'!$E$10+1,1))</f>
        <v>481.23392184981651</v>
      </c>
      <c r="AO86" s="59">
        <f t="shared" si="90"/>
        <v>275.88160405468193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88.42382598946314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88.42382598946314</v>
      </c>
      <c r="AY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328.00000000000006</v>
      </c>
      <c r="BE86" s="13">
        <f>BD86*VLOOKUP('Données projet'!$B$11,Paramètres!$A$1:$I$89,3,0)*VLOOKUP('Données projet'!$B$11,Paramètres!$A$1:$I$89,5,0)</f>
        <v>255.84000000000006</v>
      </c>
      <c r="BF86" s="13">
        <f t="shared" si="91"/>
        <v>61.834803371075836</v>
      </c>
      <c r="BG86" s="20">
        <f t="shared" si="61"/>
        <v>553.28361587129041</v>
      </c>
      <c r="BH86" s="59">
        <f t="shared" si="62"/>
        <v>825.16836134839389</v>
      </c>
      <c r="BI86" s="59">
        <f ca="1">AVERAGE(OFFSET($BH$3,0,0,'Données projet'!$E$11+1,1))-AVERAGE(OFFSET($H$3,0,0,'Données projet'!$E$11+1,1))</f>
        <v>308.85018589589453</v>
      </c>
      <c r="BJ86" s="59">
        <f t="shared" si="92"/>
        <v>302.59481222418219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38.181049926841638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38.181049926841638</v>
      </c>
      <c r="BT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10.41</v>
      </c>
      <c r="BY86" s="12">
        <f>IF('Données projet'!$A$114&gt;35,BY85+BX86-CG85,IF(A86&lt;'Données projet'!$A$114,$BV$205^A86,IF(A86='Données projet'!$A$114,'Données projet'!$B$114,BY85+BX86-CG85)))</f>
        <v>367.36999999999995</v>
      </c>
      <c r="BZ86" s="13">
        <f>BY86*VLOOKUP('Données projet'!$B$12,Paramètres!$A$1:$I$89,3,0)*VLOOKUP('Données projet'!$B$12,Paramètres!$A$1:$I$89,5,0)</f>
        <v>355.32026399999995</v>
      </c>
      <c r="CA86" s="13">
        <f t="shared" si="93"/>
        <v>82.657045118860125</v>
      </c>
      <c r="CB86" s="20">
        <f t="shared" si="64"/>
        <v>762.81048004868137</v>
      </c>
      <c r="CC86" s="59">
        <f t="shared" si="65"/>
        <v>1034.6952255257847</v>
      </c>
      <c r="CD86" s="59">
        <f ca="1">AVERAGE(OFFSET($CC$3,0,0,'Données projet'!$E$12+1,1))-AVERAGE(OFFSET($H$3,0,0,'Données projet'!$E$12+1,1))</f>
        <v>600.96600099724276</v>
      </c>
      <c r="CE86" s="59">
        <f t="shared" si="94"/>
        <v>315.40159260706264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112.73806590358886</v>
      </c>
      <c r="CL86" s="21">
        <f>EXP(-LN(2)/25)*CL85+(1-EXP(-LN(2)/25))/(LN(2)/25)*Calculateur!CG86*Calculateur!CI86*VLOOKUP('Données projet'!$B$12,Paramètres!$A$1:$I$89,3,0)*0.475*44/12</f>
        <v>0</v>
      </c>
      <c r="CM86" s="21">
        <f>EXP(-LN(2)/2)*CM85+(1-EXP(-LN(2)/2))/(LN(2)/2)*CG86*CJ86*VLOOKUP('Données projet'!$B$12,Paramètres!$A$1:$I$89,3,0)*0.475*44/12</f>
        <v>0</v>
      </c>
      <c r="CN86" s="22">
        <f t="shared" si="66"/>
        <v>112.73806590358886</v>
      </c>
      <c r="CO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10.41</v>
      </c>
      <c r="CT86" s="12">
        <f>IF('Données projet'!$A$140&gt;35,CT85+CS86-DB85,IF(A86&lt;'Données projet'!$A$140,$CQ$205^A86,IF(A86='Données projet'!$A$140,'Données projet'!$B$140,CT85+CS86-DB85)))</f>
        <v>367.36999999999995</v>
      </c>
      <c r="CU86" s="17">
        <f>CT86*VLOOKUP('Données projet'!$B$13,Paramètres!$A$1:$I$89,3,0)*VLOOKUP('Données projet'!$B$13,Paramètres!$A$1:$I$89,5,0)</f>
        <v>349.58929199999994</v>
      </c>
      <c r="CV86" s="13">
        <f t="shared" si="95"/>
        <v>81.477936417285449</v>
      </c>
      <c r="CW86" s="20">
        <f t="shared" si="67"/>
        <v>750.77542282677189</v>
      </c>
      <c r="CX86" s="59">
        <f t="shared" si="68"/>
        <v>1022.6601683038754</v>
      </c>
      <c r="CY86" s="59">
        <f ca="1">AVERAGE(OFFSET($CX$3,0,0,'Données projet'!$E$13+1,1))-AVERAGE(OFFSET($H$3,0,0,'Données projet'!$E$13+1,1))</f>
        <v>592.58528889137358</v>
      </c>
      <c r="CZ86" s="59">
        <f t="shared" si="96"/>
        <v>311.31528020403709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110.91971000191808</v>
      </c>
      <c r="DG86" s="21">
        <f>EXP(-LN(2)/25)*DG85+(1-EXP(-LN(2)/25))/(LN(2)/25)*Calculateur!DB86*Calculateur!DD86*VLOOKUP('Données projet'!$B$13,Paramètres!$A$1:$I$89,3,0)*0.475*44/12</f>
        <v>0</v>
      </c>
      <c r="DH86" s="21">
        <f>EXP(-LN(2)/2)*DH85+(1-EXP(-LN(2)/2))/(LN(2)/2)*DB86*DE86*VLOOKUP('Données projet'!$B$13,Paramètres!$A$1:$I$89,3,0)*0.475*44/12</f>
        <v>0</v>
      </c>
      <c r="DI86" s="22">
        <f t="shared" si="69"/>
        <v>110.91971000191808</v>
      </c>
      <c r="DJ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2">
        <f>'Scénario référence'!$B$16*5+'Scénario référence'!$B$17*0+'Scénario référence'!$B$18*5</f>
        <v>5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66">
        <f t="shared" si="56"/>
        <v>183.33333333333334</v>
      </c>
      <c r="I87" s="6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10.41</v>
      </c>
      <c r="N87" s="13">
        <f>IF('Données projet'!$A$36&gt;35,N86+M87-V86,IF(A87&lt;'Données projet'!$A$36,$K$205^A87,IF(A87='Données projet'!$A$36,'Données projet'!$B$36,N86+M87-V86)))</f>
        <v>377.78</v>
      </c>
      <c r="O87" s="13">
        <f>N87*VLOOKUP('Données projet'!$B$9,Paramètres!$A$1:$I$89,3,0)*VLOOKUP('Données projet'!$B$9,Paramètres!$A$1:$I$89,5,0)</f>
        <v>341.81534399999998</v>
      </c>
      <c r="P87" s="13">
        <f t="shared" si="87"/>
        <v>79.874891668491202</v>
      </c>
      <c r="Q87" s="20">
        <f t="shared" si="54"/>
        <v>734.44382712262211</v>
      </c>
      <c r="R87" s="59">
        <f t="shared" si="55"/>
        <v>1006.7006576471724</v>
      </c>
      <c r="S87" s="59">
        <f ca="1">AVERAGE(OFFSET($R$3,0,0,'Données projet'!$E$9+1,1))-AVERAGE(OFFSET($H$3,0,0,'Données projet'!$E$9+1,1))</f>
        <v>567.42635821507474</v>
      </c>
      <c r="T87" s="59">
        <f t="shared" si="88"/>
        <v>299.04735309930152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103.39654498854341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103.39654498854341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8.4</v>
      </c>
      <c r="AI87" s="13">
        <f>IF('Données projet'!$A$62&gt;35,AI86+AH87-AQ86,IF(A87&lt;'Données projet'!$A$62,$AF$205^A87,IF(A87='Données projet'!$A$62,'Données projet'!$B$62,AI86+AH87-AQ86)))</f>
        <v>356.5999999999998</v>
      </c>
      <c r="AJ87" s="13">
        <f>AI87*VLOOKUP('Données projet'!$B$10,Paramètres!$A$1:$I$89,3,0)*VLOOKUP('Données projet'!$B$10,Paramètres!$A$1:$I$89,5,0)</f>
        <v>305.96279999999985</v>
      </c>
      <c r="AK87" s="13">
        <f t="shared" si="89"/>
        <v>72.425059957831166</v>
      </c>
      <c r="AL87" s="20">
        <f t="shared" si="58"/>
        <v>659.02552275988899</v>
      </c>
      <c r="AM87" s="59">
        <f t="shared" si="59"/>
        <v>931.2823532844393</v>
      </c>
      <c r="AN87" s="59">
        <f ca="1">AVERAGE(OFFSET($AM$3,0,0,'Données projet'!$E$10+1,1))-AVERAGE(OFFSET($H$3,0,0,'Données projet'!$E$10+1,1))</f>
        <v>481.23392184981651</v>
      </c>
      <c r="AO87" s="59">
        <f t="shared" si="90"/>
        <v>275.88160405468193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86.689888695018155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86.689888695018155</v>
      </c>
      <c r="AY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328.00000000000006</v>
      </c>
      <c r="BE87" s="13">
        <f>BD87*VLOOKUP('Données projet'!$B$11,Paramètres!$A$1:$I$89,3,0)*VLOOKUP('Données projet'!$B$11,Paramètres!$A$1:$I$89,5,0)</f>
        <v>255.84000000000006</v>
      </c>
      <c r="BF87" s="13">
        <f t="shared" si="91"/>
        <v>61.834803371075836</v>
      </c>
      <c r="BG87" s="20">
        <f t="shared" si="61"/>
        <v>553.28361587129041</v>
      </c>
      <c r="BH87" s="59">
        <f t="shared" si="62"/>
        <v>825.54044639584072</v>
      </c>
      <c r="BI87" s="59">
        <f ca="1">AVERAGE(OFFSET($BH$3,0,0,'Données projet'!$E$11+1,1))-AVERAGE(OFFSET($H$3,0,0,'Données projet'!$E$11+1,1))</f>
        <v>308.85018589589453</v>
      </c>
      <c r="BJ87" s="59">
        <f t="shared" si="92"/>
        <v>302.59481222418219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37.432342825917218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37.432342825917218</v>
      </c>
      <c r="BT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10.41</v>
      </c>
      <c r="BY87" s="12">
        <f>IF('Données projet'!$A$114&gt;35,BY86+BX87-CG86,IF(A87&lt;'Données projet'!$A$114,$BV$205^A87,IF(A87='Données projet'!$A$114,'Données projet'!$B$114,BY86+BX87-CG86)))</f>
        <v>377.78</v>
      </c>
      <c r="BZ87" s="13">
        <f>BY87*VLOOKUP('Données projet'!$B$12,Paramètres!$A$1:$I$89,3,0)*VLOOKUP('Données projet'!$B$12,Paramètres!$A$1:$I$89,5,0)</f>
        <v>365.38881599999996</v>
      </c>
      <c r="CA87" s="13">
        <f t="shared" si="93"/>
        <v>84.72324938333999</v>
      </c>
      <c r="CB87" s="20">
        <f t="shared" si="64"/>
        <v>783.94518054265029</v>
      </c>
      <c r="CC87" s="59">
        <f t="shared" si="65"/>
        <v>1056.2020110672006</v>
      </c>
      <c r="CD87" s="59">
        <f ca="1">AVERAGE(OFFSET($CC$3,0,0,'Données projet'!$E$12+1,1))-AVERAGE(OFFSET($H$3,0,0,'Données projet'!$E$12+1,1))</f>
        <v>600.96600099724276</v>
      </c>
      <c r="CE87" s="59">
        <f t="shared" si="94"/>
        <v>315.40159260706264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110.52734119464986</v>
      </c>
      <c r="CL87" s="21">
        <f>EXP(-LN(2)/25)*CL86+(1-EXP(-LN(2)/25))/(LN(2)/25)*Calculateur!CG87*Calculateur!CI87*VLOOKUP('Données projet'!$B$12,Paramètres!$A$1:$I$89,3,0)*0.475*44/12</f>
        <v>0</v>
      </c>
      <c r="CM87" s="21">
        <f>EXP(-LN(2)/2)*CM86+(1-EXP(-LN(2)/2))/(LN(2)/2)*CG87*CJ87*VLOOKUP('Données projet'!$B$12,Paramètres!$A$1:$I$89,3,0)*0.475*44/12</f>
        <v>0</v>
      </c>
      <c r="CN87" s="22">
        <f t="shared" si="66"/>
        <v>110.52734119464986</v>
      </c>
      <c r="CO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10.41</v>
      </c>
      <c r="CT87" s="12">
        <f>IF('Données projet'!$A$140&gt;35,CT86+CS87-DB86,IF(A87&lt;'Données projet'!$A$140,$CQ$205^A87,IF(A87='Données projet'!$A$140,'Données projet'!$B$140,CT86+CS87-DB86)))</f>
        <v>377.78</v>
      </c>
      <c r="CU87" s="17">
        <f>CT87*VLOOKUP('Données projet'!$B$13,Paramètres!$A$1:$I$89,3,0)*VLOOKUP('Données projet'!$B$13,Paramètres!$A$1:$I$89,5,0)</f>
        <v>359.49544800000001</v>
      </c>
      <c r="CV87" s="13">
        <f t="shared" si="95"/>
        <v>83.51466612912472</v>
      </c>
      <c r="CW87" s="20">
        <f t="shared" si="67"/>
        <v>771.57594877489225</v>
      </c>
      <c r="CX87" s="59">
        <f t="shared" si="68"/>
        <v>1043.8327792994426</v>
      </c>
      <c r="CY87" s="59">
        <f ca="1">AVERAGE(OFFSET($CX$3,0,0,'Données projet'!$E$13+1,1))-AVERAGE(OFFSET($H$3,0,0,'Données projet'!$E$13+1,1))</f>
        <v>592.58528889137358</v>
      </c>
      <c r="CZ87" s="59">
        <f t="shared" si="96"/>
        <v>311.31528020403709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108.74464214312326</v>
      </c>
      <c r="DG87" s="21">
        <f>EXP(-LN(2)/25)*DG86+(1-EXP(-LN(2)/25))/(LN(2)/25)*Calculateur!DB87*Calculateur!DD87*VLOOKUP('Données projet'!$B$13,Paramètres!$A$1:$I$89,3,0)*0.475*44/12</f>
        <v>0</v>
      </c>
      <c r="DH87" s="21">
        <f>EXP(-LN(2)/2)*DH86+(1-EXP(-LN(2)/2))/(LN(2)/2)*DB87*DE87*VLOOKUP('Données projet'!$B$13,Paramètres!$A$1:$I$89,3,0)*0.475*44/12</f>
        <v>0</v>
      </c>
      <c r="DI87" s="22">
        <f t="shared" si="69"/>
        <v>108.74464214312326</v>
      </c>
      <c r="DJ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2">
        <f>'Scénario référence'!$B$16*5+'Scénario référence'!$B$17*0+'Scénario référence'!$B$18*5</f>
        <v>5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66">
        <f t="shared" si="56"/>
        <v>183.33333333333334</v>
      </c>
      <c r="I88" s="6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10.41</v>
      </c>
      <c r="N88" s="13">
        <f>IF('Données projet'!$A$36&gt;35,N87+M88-V87,IF(A88&lt;'Données projet'!$A$36,$K$205^A88,IF(A88='Données projet'!$A$36,'Données projet'!$B$36,N87+M88-V87)))</f>
        <v>388.19</v>
      </c>
      <c r="O88" s="13">
        <f>N88*VLOOKUP('Données projet'!$B$9,Paramètres!$A$1:$I$89,3,0)*VLOOKUP('Données projet'!$B$9,Paramètres!$A$1:$I$89,5,0)</f>
        <v>351.23431199999999</v>
      </c>
      <c r="P88" s="13">
        <f t="shared" si="87"/>
        <v>81.816616800686063</v>
      </c>
      <c r="Q88" s="20">
        <f t="shared" si="54"/>
        <v>754.23036766119492</v>
      </c>
      <c r="R88" s="59">
        <f t="shared" si="55"/>
        <v>1026.8528283894764</v>
      </c>
      <c r="S88" s="59">
        <f ca="1">AVERAGE(OFFSET($R$3,0,0,'Données projet'!$E$9+1,1))-AVERAGE(OFFSET($H$3,0,0,'Données projet'!$E$9+1,1))</f>
        <v>567.42635821507474</v>
      </c>
      <c r="T88" s="59">
        <f t="shared" si="88"/>
        <v>299.04735309930152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101.36900180698331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101.36900180698331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>
        <f>VLOOKUP(A88,'Données projet'!$A$61:$I$81,2,0)</f>
        <v>365</v>
      </c>
      <c r="AG88" s="12">
        <f>VLOOKUP(A88,'Données projet'!$A$61:$I$81,9,0)</f>
        <v>8.4</v>
      </c>
      <c r="AH88" s="12">
        <f t="array" ref="AH88">INDEX(AG:AG,MIN(IF(ISNUMBER(AG88:AG284),ROW(AG88:AG284),"")))</f>
        <v>8.4</v>
      </c>
      <c r="AI88" s="13">
        <f>IF('Données projet'!$A$62&gt;35,AI87+AH88-AQ87,IF(A88&lt;'Données projet'!$A$62,$AF$205^A88,IF(A88='Données projet'!$A$62,'Données projet'!$B$62,AI87+AH88-AQ87)))</f>
        <v>364.99999999999977</v>
      </c>
      <c r="AJ88" s="13">
        <f>AI88*VLOOKUP('Données projet'!$B$10,Paramètres!$A$1:$I$89,3,0)*VLOOKUP('Données projet'!$B$10,Paramètres!$A$1:$I$89,5,0)</f>
        <v>313.16999999999985</v>
      </c>
      <c r="AK88" s="13">
        <f t="shared" si="89"/>
        <v>73.930459835341836</v>
      </c>
      <c r="AL88" s="20">
        <f t="shared" si="58"/>
        <v>674.19996754655335</v>
      </c>
      <c r="AM88" s="59">
        <f t="shared" si="59"/>
        <v>946.82242827483492</v>
      </c>
      <c r="AN88" s="59">
        <f ca="1">AVERAGE(OFFSET($AM$3,0,0,'Données projet'!$E$10+1,1))-AVERAGE(OFFSET($H$3,0,0,'Données projet'!$E$10+1,1))</f>
        <v>481.23392184981651</v>
      </c>
      <c r="AO88" s="59">
        <f t="shared" si="90"/>
        <v>275.88160405468193</v>
      </c>
      <c r="AP88" s="15">
        <f>IF(ISNA(VLOOKUP(A88,'Données projet'!$A$61:$I$81,3,0)),0,VLOOKUP(A88,'Données projet'!$A$61:$I$81,3,0))</f>
        <v>13</v>
      </c>
      <c r="AQ88" s="15">
        <f>IF(ISNA(VLOOKUP(A88,'Données projet'!$A$61:$I$81,4,0)),0,VLOOKUP(A88,'Données projet'!$A$61:$I$81,4,0))</f>
        <v>27</v>
      </c>
      <c r="AR88" s="16">
        <f>IF(ISNA(VLOOKUP(A88,'Données projet'!$A$61:$I$81,5,0)),0%,VLOOKUP(A88,'Données projet'!$A$61:$I$81,5,0)*VLOOKUP('Données projet'!$B$10,Paramètres!$A$1:$I$89,7,0))</f>
        <v>0.53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98.562896063817888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98.562896063817888</v>
      </c>
      <c r="AY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328.00000000000006</v>
      </c>
      <c r="BE88" s="13">
        <f>BD88*VLOOKUP('Données projet'!$B$11,Paramètres!$A$1:$I$89,3,0)*VLOOKUP('Données projet'!$B$11,Paramètres!$A$1:$I$89,5,0)</f>
        <v>255.84000000000006</v>
      </c>
      <c r="BF88" s="13">
        <f t="shared" si="91"/>
        <v>61.834803371075836</v>
      </c>
      <c r="BG88" s="20">
        <f t="shared" si="61"/>
        <v>553.28361587129041</v>
      </c>
      <c r="BH88" s="59">
        <f t="shared" si="62"/>
        <v>825.90607659957186</v>
      </c>
      <c r="BI88" s="59">
        <f ca="1">AVERAGE(OFFSET($BH$3,0,0,'Données projet'!$E$11+1,1))-AVERAGE(OFFSET($H$3,0,0,'Données projet'!$E$11+1,1))</f>
        <v>308.85018589589453</v>
      </c>
      <c r="BJ88" s="59">
        <f t="shared" si="92"/>
        <v>302.59481222418219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36.698317414575683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36.698317414575683</v>
      </c>
      <c r="BT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10.41</v>
      </c>
      <c r="BY88" s="12">
        <f>IF('Données projet'!$A$114&gt;35,BY87+BX88-CG87,IF(A88&lt;'Données projet'!$A$114,$BV$205^A88,IF(A88='Données projet'!$A$114,'Données projet'!$B$114,BY87+BX88-CG87)))</f>
        <v>388.19</v>
      </c>
      <c r="BZ88" s="13">
        <f>BY88*VLOOKUP('Données projet'!$B$12,Paramètres!$A$1:$I$89,3,0)*VLOOKUP('Données projet'!$B$12,Paramètres!$A$1:$I$89,5,0)</f>
        <v>375.45736799999997</v>
      </c>
      <c r="CA88" s="13">
        <f t="shared" si="93"/>
        <v>86.782836059108163</v>
      </c>
      <c r="CB88" s="20">
        <f t="shared" si="64"/>
        <v>805.06835540294651</v>
      </c>
      <c r="CC88" s="59">
        <f t="shared" si="65"/>
        <v>1077.6908161312281</v>
      </c>
      <c r="CD88" s="59">
        <f ca="1">AVERAGE(OFFSET($CC$3,0,0,'Données projet'!$E$12+1,1))-AVERAGE(OFFSET($H$3,0,0,'Données projet'!$E$12+1,1))</f>
        <v>600.96600099724276</v>
      </c>
      <c r="CE88" s="59">
        <f t="shared" si="94"/>
        <v>315.40159260706264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108.35996744884423</v>
      </c>
      <c r="CL88" s="21">
        <f>EXP(-LN(2)/25)*CL87+(1-EXP(-LN(2)/25))/(LN(2)/25)*Calculateur!CG88*Calculateur!CI88*VLOOKUP('Données projet'!$B$12,Paramètres!$A$1:$I$89,3,0)*0.475*44/12</f>
        <v>0</v>
      </c>
      <c r="CM88" s="21">
        <f>EXP(-LN(2)/2)*CM87+(1-EXP(-LN(2)/2))/(LN(2)/2)*CG88*CJ88*VLOOKUP('Données projet'!$B$12,Paramètres!$A$1:$I$89,3,0)*0.475*44/12</f>
        <v>0</v>
      </c>
      <c r="CN88" s="22">
        <f t="shared" si="66"/>
        <v>108.35996744884423</v>
      </c>
      <c r="CO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10.41</v>
      </c>
      <c r="CT88" s="12">
        <f>IF('Données projet'!$A$140&gt;35,CT87+CS88-DB87,IF(A88&lt;'Données projet'!$A$140,$CQ$205^A88,IF(A88='Données projet'!$A$140,'Données projet'!$B$140,CT87+CS88-DB87)))</f>
        <v>388.19</v>
      </c>
      <c r="CU88" s="17">
        <f>CT88*VLOOKUP('Données projet'!$B$13,Paramètres!$A$1:$I$89,3,0)*VLOOKUP('Données projet'!$B$13,Paramètres!$A$1:$I$89,5,0)</f>
        <v>369.40160400000002</v>
      </c>
      <c r="CV88" s="13">
        <f t="shared" si="95"/>
        <v>85.544872652631781</v>
      </c>
      <c r="CW88" s="20">
        <f t="shared" si="67"/>
        <v>792.36511350333376</v>
      </c>
      <c r="CX88" s="59">
        <f t="shared" si="68"/>
        <v>1064.9875742316153</v>
      </c>
      <c r="CY88" s="59">
        <f ca="1">AVERAGE(OFFSET($CX$3,0,0,'Données projet'!$E$13+1,1))-AVERAGE(OFFSET($H$3,0,0,'Données projet'!$E$13+1,1))</f>
        <v>592.58528889137358</v>
      </c>
      <c r="CZ88" s="59">
        <f t="shared" si="96"/>
        <v>311.31528020403709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106.61222603837901</v>
      </c>
      <c r="DG88" s="21">
        <f>EXP(-LN(2)/25)*DG87+(1-EXP(-LN(2)/25))/(LN(2)/25)*Calculateur!DB88*Calculateur!DD88*VLOOKUP('Données projet'!$B$13,Paramètres!$A$1:$I$89,3,0)*0.475*44/12</f>
        <v>0</v>
      </c>
      <c r="DH88" s="21">
        <f>EXP(-LN(2)/2)*DH87+(1-EXP(-LN(2)/2))/(LN(2)/2)*DB88*DE88*VLOOKUP('Données projet'!$B$13,Paramètres!$A$1:$I$89,3,0)*0.475*44/12</f>
        <v>0</v>
      </c>
      <c r="DI88" s="22">
        <f t="shared" si="69"/>
        <v>106.61222603837901</v>
      </c>
      <c r="DJ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2">
        <f>'Scénario référence'!$B$16*5+'Scénario référence'!$B$17*0+'Scénario référence'!$B$18*5</f>
        <v>5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66">
        <f t="shared" si="56"/>
        <v>183.33333333333334</v>
      </c>
      <c r="I89" s="6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10.41</v>
      </c>
      <c r="N89" s="13">
        <f>IF('Données projet'!$A$36&gt;35,N88+M89-V88,IF(A89&lt;'Données projet'!$A$36,$K$205^A89,IF(A89='Données projet'!$A$36,'Données projet'!$B$36,N88+M89-V88)))</f>
        <v>398.6</v>
      </c>
      <c r="O89" s="13">
        <f>N89*VLOOKUP('Données projet'!$B$9,Paramètres!$A$1:$I$89,3,0)*VLOOKUP('Données projet'!$B$9,Paramètres!$A$1:$I$89,5,0)</f>
        <v>360.65328</v>
      </c>
      <c r="P89" s="13">
        <f t="shared" si="87"/>
        <v>83.752289576604468</v>
      </c>
      <c r="Q89" s="20">
        <f t="shared" si="54"/>
        <v>774.006367012586</v>
      </c>
      <c r="R89" s="59">
        <f t="shared" si="55"/>
        <v>1046.9881150779906</v>
      </c>
      <c r="S89" s="59">
        <f ca="1">AVERAGE(OFFSET($R$3,0,0,'Données projet'!$E$9+1,1))-AVERAGE(OFFSET($H$3,0,0,'Données projet'!$E$9+1,1))</f>
        <v>567.42635821507474</v>
      </c>
      <c r="T89" s="59">
        <f t="shared" si="88"/>
        <v>299.04735309930152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99.381217510534356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99.381217510534356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7.8</v>
      </c>
      <c r="AI89" s="13">
        <f>IF('Données projet'!$A$62&gt;35,AI88+AH89-AQ88,IF(A89&lt;'Données projet'!$A$62,$AF$205^A89,IF(A89='Données projet'!$A$62,'Données projet'!$B$62,AI88+AH89-AQ88)))</f>
        <v>345.79999999999978</v>
      </c>
      <c r="AJ89" s="13">
        <f>AI89*VLOOKUP('Données projet'!$B$10,Paramètres!$A$1:$I$89,3,0)*VLOOKUP('Données projet'!$B$10,Paramètres!$A$1:$I$89,5,0)</f>
        <v>296.69639999999981</v>
      </c>
      <c r="AK89" s="13">
        <f t="shared" si="89"/>
        <v>70.48345633189993</v>
      </c>
      <c r="AL89" s="20">
        <f t="shared" si="58"/>
        <v>639.50491644472538</v>
      </c>
      <c r="AM89" s="59">
        <f t="shared" si="59"/>
        <v>912.48666451013014</v>
      </c>
      <c r="AN89" s="59">
        <f ca="1">AVERAGE(OFFSET($AM$3,0,0,'Données projet'!$E$10+1,1))-AVERAGE(OFFSET($H$3,0,0,'Données projet'!$E$10+1,1))</f>
        <v>481.23392184981651</v>
      </c>
      <c r="AO89" s="59">
        <f t="shared" si="90"/>
        <v>275.88160405468193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96.630137789436915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96.630137789436915</v>
      </c>
      <c r="AY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328.00000000000006</v>
      </c>
      <c r="BE89" s="13">
        <f>BD89*VLOOKUP('Données projet'!$B$11,Paramètres!$A$1:$I$89,3,0)*VLOOKUP('Données projet'!$B$11,Paramètres!$A$1:$I$89,5,0)</f>
        <v>255.84000000000006</v>
      </c>
      <c r="BF89" s="13">
        <f t="shared" si="91"/>
        <v>61.834803371075836</v>
      </c>
      <c r="BG89" s="20">
        <f t="shared" si="61"/>
        <v>553.28361587129041</v>
      </c>
      <c r="BH89" s="59">
        <f t="shared" si="62"/>
        <v>826.26536393669517</v>
      </c>
      <c r="BI89" s="59">
        <f ca="1">AVERAGE(OFFSET($BH$3,0,0,'Données projet'!$E$11+1,1))-AVERAGE(OFFSET($H$3,0,0,'Données projet'!$E$11+1,1))</f>
        <v>308.85018589589453</v>
      </c>
      <c r="BJ89" s="59">
        <f t="shared" si="92"/>
        <v>302.59481222418219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35.978685793839261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35.978685793839261</v>
      </c>
      <c r="BT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10.41</v>
      </c>
      <c r="BY89" s="12">
        <f>IF('Données projet'!$A$114&gt;35,BY88+BX89-CG88,IF(A89&lt;'Données projet'!$A$114,$BV$205^A89,IF(A89='Données projet'!$A$114,'Données projet'!$B$114,BY88+BX89-CG88)))</f>
        <v>398.6</v>
      </c>
      <c r="BZ89" s="13">
        <f>BY89*VLOOKUP('Données projet'!$B$12,Paramètres!$A$1:$I$89,3,0)*VLOOKUP('Données projet'!$B$12,Paramètres!$A$1:$I$89,5,0)</f>
        <v>385.52592000000004</v>
      </c>
      <c r="CA89" s="13">
        <f t="shared" si="93"/>
        <v>88.836003004226697</v>
      </c>
      <c r="CB89" s="20">
        <f t="shared" si="64"/>
        <v>826.18034923236155</v>
      </c>
      <c r="CC89" s="59">
        <f t="shared" si="65"/>
        <v>1099.1620972977662</v>
      </c>
      <c r="CD89" s="59">
        <f ca="1">AVERAGE(OFFSET($CC$3,0,0,'Données projet'!$E$12+1,1))-AVERAGE(OFFSET($H$3,0,0,'Données projet'!$E$12+1,1))</f>
        <v>600.96600099724276</v>
      </c>
      <c r="CE89" s="59">
        <f t="shared" si="94"/>
        <v>315.40159260706264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106.23509458022639</v>
      </c>
      <c r="CL89" s="21">
        <f>EXP(-LN(2)/25)*CL88+(1-EXP(-LN(2)/25))/(LN(2)/25)*Calculateur!CG89*Calculateur!CI89*VLOOKUP('Données projet'!$B$12,Paramètres!$A$1:$I$89,3,0)*0.475*44/12</f>
        <v>0</v>
      </c>
      <c r="CM89" s="21">
        <f>EXP(-LN(2)/2)*CM88+(1-EXP(-LN(2)/2))/(LN(2)/2)*CG89*CJ89*VLOOKUP('Données projet'!$B$12,Paramètres!$A$1:$I$89,3,0)*0.475*44/12</f>
        <v>0</v>
      </c>
      <c r="CN89" s="22">
        <f t="shared" si="66"/>
        <v>106.23509458022639</v>
      </c>
      <c r="CO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10.41</v>
      </c>
      <c r="CT89" s="12">
        <f>IF('Données projet'!$A$140&gt;35,CT88+CS89-DB88,IF(A89&lt;'Données projet'!$A$140,$CQ$205^A89,IF(A89='Données projet'!$A$140,'Données projet'!$B$140,CT88+CS89-DB88)))</f>
        <v>398.6</v>
      </c>
      <c r="CU89" s="17">
        <f>CT89*VLOOKUP('Données projet'!$B$13,Paramètres!$A$1:$I$89,3,0)*VLOOKUP('Données projet'!$B$13,Paramètres!$A$1:$I$89,5,0)</f>
        <v>379.30776000000003</v>
      </c>
      <c r="CV89" s="13">
        <f t="shared" si="95"/>
        <v>87.568751023409277</v>
      </c>
      <c r="CW89" s="20">
        <f t="shared" si="67"/>
        <v>813.14325669910443</v>
      </c>
      <c r="CX89" s="59">
        <f t="shared" si="68"/>
        <v>1086.1250047645092</v>
      </c>
      <c r="CY89" s="59">
        <f ca="1">AVERAGE(OFFSET($CX$3,0,0,'Données projet'!$E$13+1,1))-AVERAGE(OFFSET($H$3,0,0,'Données projet'!$E$13+1,1))</f>
        <v>592.58528889137358</v>
      </c>
      <c r="CZ89" s="59">
        <f t="shared" si="96"/>
        <v>311.31528020403709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104.52162531280339</v>
      </c>
      <c r="DG89" s="21">
        <f>EXP(-LN(2)/25)*DG88+(1-EXP(-LN(2)/25))/(LN(2)/25)*Calculateur!DB89*Calculateur!DD89*VLOOKUP('Données projet'!$B$13,Paramètres!$A$1:$I$89,3,0)*0.475*44/12</f>
        <v>0</v>
      </c>
      <c r="DH89" s="21">
        <f>EXP(-LN(2)/2)*DH88+(1-EXP(-LN(2)/2))/(LN(2)/2)*DB89*DE89*VLOOKUP('Données projet'!$B$13,Paramètres!$A$1:$I$89,3,0)*0.475*44/12</f>
        <v>0</v>
      </c>
      <c r="DI89" s="22">
        <f t="shared" si="69"/>
        <v>104.52162531280339</v>
      </c>
      <c r="DJ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2">
        <f>'Scénario référence'!$B$16*5+'Scénario référence'!$B$17*0+'Scénario référence'!$B$18*5</f>
        <v>5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66">
        <f t="shared" si="56"/>
        <v>183.33333333333334</v>
      </c>
      <c r="I90" s="6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10.41</v>
      </c>
      <c r="N90" s="13">
        <f>IF('Données projet'!$A$36&gt;35,N89+M90-V89,IF(A90&lt;'Données projet'!$A$36,$K$205^A90,IF(A90='Données projet'!$A$36,'Données projet'!$B$36,N89+M90-V89)))</f>
        <v>409.01000000000005</v>
      </c>
      <c r="O90" s="13">
        <f>N90*VLOOKUP('Données projet'!$B$9,Paramètres!$A$1:$I$89,3,0)*VLOOKUP('Données projet'!$B$9,Paramètres!$A$1:$I$89,5,0)</f>
        <v>370.07224800000006</v>
      </c>
      <c r="P90" s="13">
        <f t="shared" si="87"/>
        <v>85.682086233509125</v>
      </c>
      <c r="Q90" s="20">
        <f t="shared" si="54"/>
        <v>793.77213212336176</v>
      </c>
      <c r="R90" s="59">
        <f t="shared" si="55"/>
        <v>1067.1069346938366</v>
      </c>
      <c r="S90" s="59">
        <f ca="1">AVERAGE(OFFSET($R$3,0,0,'Données projet'!$E$9+1,1))-AVERAGE(OFFSET($H$3,0,0,'Données projet'!$E$9+1,1))</f>
        <v>567.42635821507474</v>
      </c>
      <c r="T90" s="59">
        <f t="shared" si="88"/>
        <v>299.04735309930152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97.432412451710064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97.432412451710064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7.8</v>
      </c>
      <c r="AI90" s="13">
        <f>IF('Données projet'!$A$62&gt;35,AI89+AH90-AQ89,IF(A90&lt;'Données projet'!$A$62,$AF$205^A90,IF(A90='Données projet'!$A$62,'Données projet'!$B$62,AI89+AH90-AQ89)))</f>
        <v>353.5999999999998</v>
      </c>
      <c r="AJ90" s="13">
        <f>AI90*VLOOKUP('Données projet'!$B$10,Paramètres!$A$1:$I$89,3,0)*VLOOKUP('Données projet'!$B$10,Paramètres!$A$1:$I$89,5,0)</f>
        <v>303.38879999999989</v>
      </c>
      <c r="AK90" s="13">
        <f t="shared" si="89"/>
        <v>71.88642102141435</v>
      </c>
      <c r="AL90" s="20">
        <f t="shared" si="58"/>
        <v>653.60434327896314</v>
      </c>
      <c r="AM90" s="59">
        <f t="shared" si="59"/>
        <v>926.93914584943798</v>
      </c>
      <c r="AN90" s="59">
        <f ca="1">AVERAGE(OFFSET($AM$3,0,0,'Données projet'!$E$10+1,1))-AVERAGE(OFFSET($H$3,0,0,'Données projet'!$E$10+1,1))</f>
        <v>481.23392184981651</v>
      </c>
      <c r="AO90" s="59">
        <f t="shared" si="90"/>
        <v>275.88160405468193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94.735279725950406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94.735279725950406</v>
      </c>
      <c r="AY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328.00000000000006</v>
      </c>
      <c r="BE90" s="13">
        <f>BD90*VLOOKUP('Données projet'!$B$11,Paramètres!$A$1:$I$89,3,0)*VLOOKUP('Données projet'!$B$11,Paramètres!$A$1:$I$89,5,0)</f>
        <v>255.84000000000006</v>
      </c>
      <c r="BF90" s="13">
        <f t="shared" si="91"/>
        <v>61.834803371075836</v>
      </c>
      <c r="BG90" s="20">
        <f t="shared" si="61"/>
        <v>553.28361587129041</v>
      </c>
      <c r="BH90" s="59">
        <f t="shared" si="62"/>
        <v>826.61841844176524</v>
      </c>
      <c r="BI90" s="59">
        <f ca="1">AVERAGE(OFFSET($BH$3,0,0,'Données projet'!$E$11+1,1))-AVERAGE(OFFSET($H$3,0,0,'Données projet'!$E$11+1,1))</f>
        <v>308.85018589589453</v>
      </c>
      <c r="BJ90" s="59">
        <f t="shared" si="92"/>
        <v>302.59481222418219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35.273165710253537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35.273165710253537</v>
      </c>
      <c r="BT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10.41</v>
      </c>
      <c r="BY90" s="12">
        <f>IF('Données projet'!$A$114&gt;35,BY89+BX90-CG89,IF(A90&lt;'Données projet'!$A$114,$BV$205^A90,IF(A90='Données projet'!$A$114,'Données projet'!$B$114,BY89+BX90-CG89)))</f>
        <v>409.01000000000005</v>
      </c>
      <c r="BZ90" s="13">
        <f>BY90*VLOOKUP('Données projet'!$B$12,Paramètres!$A$1:$I$89,3,0)*VLOOKUP('Données projet'!$B$12,Paramètres!$A$1:$I$89,5,0)</f>
        <v>395.59447200000005</v>
      </c>
      <c r="CA90" s="13">
        <f t="shared" si="93"/>
        <v>90.882937153454037</v>
      </c>
      <c r="CB90" s="20">
        <f t="shared" si="64"/>
        <v>847.28148760893248</v>
      </c>
      <c r="CC90" s="59">
        <f t="shared" si="65"/>
        <v>1120.6162901794073</v>
      </c>
      <c r="CD90" s="59">
        <f ca="1">AVERAGE(OFFSET($CC$3,0,0,'Données projet'!$E$12+1,1))-AVERAGE(OFFSET($H$3,0,0,'Données projet'!$E$12+1,1))</f>
        <v>600.96600099724276</v>
      </c>
      <c r="CE90" s="59">
        <f t="shared" si="94"/>
        <v>315.40159260706264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104.15188917251767</v>
      </c>
      <c r="CL90" s="21">
        <f>EXP(-LN(2)/25)*CL89+(1-EXP(-LN(2)/25))/(LN(2)/25)*Calculateur!CG90*Calculateur!CI90*VLOOKUP('Données projet'!$B$12,Paramètres!$A$1:$I$89,3,0)*0.475*44/12</f>
        <v>0</v>
      </c>
      <c r="CM90" s="21">
        <f>EXP(-LN(2)/2)*CM89+(1-EXP(-LN(2)/2))/(LN(2)/2)*CG90*CJ90*VLOOKUP('Données projet'!$B$12,Paramètres!$A$1:$I$89,3,0)*0.475*44/12</f>
        <v>0</v>
      </c>
      <c r="CN90" s="22">
        <f t="shared" si="66"/>
        <v>104.15188917251767</v>
      </c>
      <c r="CO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10.41</v>
      </c>
      <c r="CT90" s="12">
        <f>IF('Données projet'!$A$140&gt;35,CT89+CS90-DB89,IF(A90&lt;'Données projet'!$A$140,$CQ$205^A90,IF(A90='Données projet'!$A$140,'Données projet'!$B$140,CT89+CS90-DB89)))</f>
        <v>409.01000000000005</v>
      </c>
      <c r="CU90" s="17">
        <f>CT90*VLOOKUP('Données projet'!$B$13,Paramètres!$A$1:$I$89,3,0)*VLOOKUP('Données projet'!$B$13,Paramètres!$A$1:$I$89,5,0)</f>
        <v>389.21391600000004</v>
      </c>
      <c r="CV90" s="13">
        <f t="shared" si="95"/>
        <v>89.586485509577855</v>
      </c>
      <c r="CW90" s="20">
        <f t="shared" si="67"/>
        <v>833.91069929584819</v>
      </c>
      <c r="CX90" s="59">
        <f t="shared" si="68"/>
        <v>1107.2455018663231</v>
      </c>
      <c r="CY90" s="59">
        <f ca="1">AVERAGE(OFFSET($CX$3,0,0,'Données projet'!$E$13+1,1))-AVERAGE(OFFSET($H$3,0,0,'Données projet'!$E$13+1,1))</f>
        <v>592.58528889137358</v>
      </c>
      <c r="CZ90" s="59">
        <f t="shared" si="96"/>
        <v>311.31528020403709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102.47201999231578</v>
      </c>
      <c r="DG90" s="21">
        <f>EXP(-LN(2)/25)*DG89+(1-EXP(-LN(2)/25))/(LN(2)/25)*Calculateur!DB90*Calculateur!DD90*VLOOKUP('Données projet'!$B$13,Paramètres!$A$1:$I$89,3,0)*0.475*44/12</f>
        <v>0</v>
      </c>
      <c r="DH90" s="21">
        <f>EXP(-LN(2)/2)*DH89+(1-EXP(-LN(2)/2))/(LN(2)/2)*DB90*DE90*VLOOKUP('Données projet'!$B$13,Paramètres!$A$1:$I$89,3,0)*0.475*44/12</f>
        <v>0</v>
      </c>
      <c r="DI90" s="22">
        <f t="shared" si="69"/>
        <v>102.47201999231578</v>
      </c>
      <c r="DJ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2">
        <f>'Scénario référence'!$B$16*5+'Scénario référence'!$B$17*0+'Scénario référence'!$B$18*5</f>
        <v>5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66">
        <f t="shared" si="56"/>
        <v>183.33333333333334</v>
      </c>
      <c r="I91" s="6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10.41</v>
      </c>
      <c r="N91" s="13">
        <f>IF('Données projet'!$A$36&gt;35,N90+M91-V90,IF(A91&lt;'Données projet'!$A$36,$K$205^A91,IF(A91='Données projet'!$A$36,'Données projet'!$B$36,N90+M91-V90)))</f>
        <v>419.42000000000007</v>
      </c>
      <c r="O91" s="13">
        <f>N91*VLOOKUP('Données projet'!$B$9,Paramètres!$A$1:$I$89,3,0)*VLOOKUP('Données projet'!$B$9,Paramètres!$A$1:$I$89,5,0)</f>
        <v>379.49121600000007</v>
      </c>
      <c r="P91" s="13">
        <f t="shared" si="87"/>
        <v>87.606173526430666</v>
      </c>
      <c r="Q91" s="20">
        <f t="shared" si="54"/>
        <v>813.52795342520028</v>
      </c>
      <c r="R91" s="59">
        <f t="shared" si="55"/>
        <v>1087.2096857943939</v>
      </c>
      <c r="S91" s="59">
        <f ca="1">AVERAGE(OFFSET($R$3,0,0,'Données projet'!$E$9+1,1))-AVERAGE(OFFSET($H$3,0,0,'Données projet'!$E$9+1,1))</f>
        <v>567.42635821507474</v>
      </c>
      <c r="T91" s="59">
        <f t="shared" si="88"/>
        <v>299.04735309930152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95.52182227143561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95.52182227143561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7.8</v>
      </c>
      <c r="AI91" s="13">
        <f>IF('Données projet'!$A$62&gt;35,AI90+AH91-AQ90,IF(A91&lt;'Données projet'!$A$62,$AF$205^A91,IF(A91='Données projet'!$A$62,'Données projet'!$B$62,AI90+AH91-AQ90)))</f>
        <v>361.39999999999981</v>
      </c>
      <c r="AJ91" s="13">
        <f>AI91*VLOOKUP('Données projet'!$B$10,Paramètres!$A$1:$I$89,3,0)*VLOOKUP('Données projet'!$B$10,Paramètres!$A$1:$I$89,5,0)</f>
        <v>310.08119999999985</v>
      </c>
      <c r="AK91" s="13">
        <f t="shared" si="89"/>
        <v>73.285787705139427</v>
      </c>
      <c r="AL91" s="20">
        <f t="shared" si="58"/>
        <v>667.69750358645092</v>
      </c>
      <c r="AM91" s="59">
        <f t="shared" si="59"/>
        <v>941.37923595564462</v>
      </c>
      <c r="AN91" s="59">
        <f ca="1">AVERAGE(OFFSET($AM$3,0,0,'Données projet'!$E$10+1,1))-AVERAGE(OFFSET($H$3,0,0,'Données projet'!$E$10+1,1))</f>
        <v>481.23392184981651</v>
      </c>
      <c r="AO91" s="59">
        <f t="shared" si="90"/>
        <v>275.88160405468193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92.877578673339571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92.877578673339571</v>
      </c>
      <c r="AY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328.00000000000006</v>
      </c>
      <c r="BE91" s="13">
        <f>BD91*VLOOKUP('Données projet'!$B$11,Paramètres!$A$1:$I$89,3,0)*VLOOKUP('Données projet'!$B$11,Paramètres!$A$1:$I$89,5,0)</f>
        <v>255.84000000000006</v>
      </c>
      <c r="BF91" s="13">
        <f t="shared" si="91"/>
        <v>61.834803371075836</v>
      </c>
      <c r="BG91" s="20">
        <f t="shared" si="61"/>
        <v>553.28361587129041</v>
      </c>
      <c r="BH91" s="59">
        <f t="shared" si="62"/>
        <v>826.9653482404841</v>
      </c>
      <c r="BI91" s="59">
        <f ca="1">AVERAGE(OFFSET($BH$3,0,0,'Données projet'!$E$11+1,1))-AVERAGE(OFFSET($H$3,0,0,'Données projet'!$E$11+1,1))</f>
        <v>308.85018589589453</v>
      </c>
      <c r="BJ91" s="59">
        <f t="shared" si="92"/>
        <v>302.59481222418219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34.581480445182166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34.581480445182166</v>
      </c>
      <c r="BT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10.41</v>
      </c>
      <c r="BY91" s="12">
        <f>IF('Données projet'!$A$114&gt;35,BY90+BX91-CG90,IF(A91&lt;'Données projet'!$A$114,$BV$205^A91,IF(A91='Données projet'!$A$114,'Données projet'!$B$114,BY90+BX91-CG90)))</f>
        <v>419.42000000000007</v>
      </c>
      <c r="BZ91" s="13">
        <f>BY91*VLOOKUP('Données projet'!$B$12,Paramètres!$A$1:$I$89,3,0)*VLOOKUP('Données projet'!$B$12,Paramètres!$A$1:$I$89,5,0)</f>
        <v>405.66302400000006</v>
      </c>
      <c r="CA91" s="13">
        <f t="shared" si="93"/>
        <v>92.923815383750451</v>
      </c>
      <c r="CB91" s="20">
        <f t="shared" si="64"/>
        <v>868.37207859336559</v>
      </c>
      <c r="CC91" s="59">
        <f t="shared" si="65"/>
        <v>1142.0538109625593</v>
      </c>
      <c r="CD91" s="59">
        <f ca="1">AVERAGE(OFFSET($CC$3,0,0,'Données projet'!$E$12+1,1))-AVERAGE(OFFSET($H$3,0,0,'Données projet'!$E$12+1,1))</f>
        <v>600.96600099724276</v>
      </c>
      <c r="CE91" s="59">
        <f t="shared" si="94"/>
        <v>315.40159260706264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102.10953415222428</v>
      </c>
      <c r="CL91" s="21">
        <f>EXP(-LN(2)/25)*CL90+(1-EXP(-LN(2)/25))/(LN(2)/25)*Calculateur!CG91*Calculateur!CI91*VLOOKUP('Données projet'!$B$12,Paramètres!$A$1:$I$89,3,0)*0.475*44/12</f>
        <v>0</v>
      </c>
      <c r="CM91" s="21">
        <f>EXP(-LN(2)/2)*CM90+(1-EXP(-LN(2)/2))/(LN(2)/2)*CG91*CJ91*VLOOKUP('Données projet'!$B$12,Paramètres!$A$1:$I$89,3,0)*0.475*44/12</f>
        <v>0</v>
      </c>
      <c r="CN91" s="22">
        <f t="shared" si="66"/>
        <v>102.10953415222428</v>
      </c>
      <c r="CO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10.41</v>
      </c>
      <c r="CT91" s="12">
        <f>IF('Données projet'!$A$140&gt;35,CT90+CS91-DB90,IF(A91&lt;'Données projet'!$A$140,$CQ$205^A91,IF(A91='Données projet'!$A$140,'Données projet'!$B$140,CT90+CS91-DB90)))</f>
        <v>419.42000000000007</v>
      </c>
      <c r="CU91" s="17">
        <f>CT91*VLOOKUP('Données projet'!$B$13,Paramètres!$A$1:$I$89,3,0)*VLOOKUP('Données projet'!$B$13,Paramètres!$A$1:$I$89,5,0)</f>
        <v>399.12007200000005</v>
      </c>
      <c r="CV91" s="13">
        <f t="shared" si="95"/>
        <v>91.598250464935191</v>
      </c>
      <c r="CW91" s="20">
        <f t="shared" si="67"/>
        <v>854.66774495976222</v>
      </c>
      <c r="CX91" s="59">
        <f t="shared" si="68"/>
        <v>1128.3494773289558</v>
      </c>
      <c r="CY91" s="59">
        <f ca="1">AVERAGE(OFFSET($CX$3,0,0,'Données projet'!$E$13+1,1))-AVERAGE(OFFSET($H$3,0,0,'Données projet'!$E$13+1,1))</f>
        <v>592.58528889137358</v>
      </c>
      <c r="CZ91" s="59">
        <f t="shared" si="96"/>
        <v>311.31528020403709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100.46260618202713</v>
      </c>
      <c r="DG91" s="21">
        <f>EXP(-LN(2)/25)*DG90+(1-EXP(-LN(2)/25))/(LN(2)/25)*Calculateur!DB91*Calculateur!DD91*VLOOKUP('Données projet'!$B$13,Paramètres!$A$1:$I$89,3,0)*0.475*44/12</f>
        <v>0</v>
      </c>
      <c r="DH91" s="21">
        <f>EXP(-LN(2)/2)*DH90+(1-EXP(-LN(2)/2))/(LN(2)/2)*DB91*DE91*VLOOKUP('Données projet'!$B$13,Paramètres!$A$1:$I$89,3,0)*0.475*44/12</f>
        <v>0</v>
      </c>
      <c r="DI91" s="22">
        <f t="shared" si="69"/>
        <v>100.46260618202713</v>
      </c>
      <c r="DJ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2">
        <f>'Scénario référence'!$B$16*5+'Scénario référence'!$B$17*0+'Scénario référence'!$B$18*5</f>
        <v>5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66">
        <f t="shared" si="56"/>
        <v>183.33333333333334</v>
      </c>
      <c r="I92" s="6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>
        <f>VLOOKUP(A92,'Données projet'!$A$35:$I$55,2,0)</f>
        <v>429.83</v>
      </c>
      <c r="L92" s="12">
        <f>VLOOKUP(A92,'Données projet'!$A$35:$I$55,9,0)</f>
        <v>10.41</v>
      </c>
      <c r="M92" s="12">
        <f t="array" ref="M92">INDEX(L:L,MIN(IF(ISNUMBER(L92:L288),ROW(L92:L288),"")))</f>
        <v>10.41</v>
      </c>
      <c r="N92" s="13">
        <f>IF('Données projet'!$A$36&gt;35,N91+M92-V91,IF(A92&lt;'Données projet'!$A$36,$K$205^A92,IF(A92='Données projet'!$A$36,'Données projet'!$B$36,N91+M92-V91)))</f>
        <v>429.8300000000001</v>
      </c>
      <c r="O92" s="13">
        <f>N92*VLOOKUP('Données projet'!$B$9,Paramètres!$A$1:$I$89,3,0)*VLOOKUP('Données projet'!$B$9,Paramètres!$A$1:$I$89,5,0)</f>
        <v>388.91018400000007</v>
      </c>
      <c r="P92" s="13">
        <f t="shared" si="87"/>
        <v>89.524709460853941</v>
      </c>
      <c r="Q92" s="20">
        <f t="shared" si="54"/>
        <v>833.27410611098742</v>
      </c>
      <c r="R92" s="59">
        <f t="shared" si="55"/>
        <v>1107.2967498225109</v>
      </c>
      <c r="S92" s="59">
        <f ca="1">AVERAGE(OFFSET($R$3,0,0,'Données projet'!$E$9+1,1))-AVERAGE(OFFSET($H$3,0,0,'Données projet'!$E$9+1,1))</f>
        <v>567.42635821507474</v>
      </c>
      <c r="T92" s="59">
        <f t="shared" si="88"/>
        <v>299.04735309930152</v>
      </c>
      <c r="U92" s="15">
        <f>IF(ISNA(VLOOKUP(A92,'Données projet'!$A$35:$I$55,3,0)),0,VLOOKUP(A92,'Données projet'!$A$35:$I$55,3,0))</f>
        <v>8</v>
      </c>
      <c r="V92" s="15">
        <f>IF(ISNA(VLOOKUP(A92,'Données projet'!$A$35:$I$55,4,0)),0,VLOOKUP(A92,'Données projet'!$A$35:$I$55,4,0))</f>
        <v>64.5</v>
      </c>
      <c r="W92" s="16">
        <f>IF(ISNA(VLOOKUP(A92,'Données projet'!$A$35:$I$55,5,0)),0%,VLOOKUP(A92,'Données projet'!$A$35:$I$55,5,0)*VLOOKUP('Données projet'!$B$9,Paramètres!$A$1:$I$89,7,0))</f>
        <v>0.43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121.39006553864958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121.39006553864958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7.8</v>
      </c>
      <c r="AI92" s="13">
        <f>IF('Données projet'!$A$62&gt;35,AI91+AH92-AQ91,IF(A92&lt;'Données projet'!$A$62,$AF$205^A92,IF(A92='Données projet'!$A$62,'Données projet'!$B$62,AI91+AH92-AQ91)))</f>
        <v>369.19999999999982</v>
      </c>
      <c r="AJ92" s="13">
        <f>AI92*VLOOKUP('Données projet'!$B$10,Paramètres!$A$1:$I$89,3,0)*VLOOKUP('Données projet'!$B$10,Paramètres!$A$1:$I$89,5,0)</f>
        <v>316.77359999999987</v>
      </c>
      <c r="AK92" s="13">
        <f t="shared" si="89"/>
        <v>74.681642981668006</v>
      </c>
      <c r="AL92" s="20">
        <f t="shared" si="58"/>
        <v>681.78454819307149</v>
      </c>
      <c r="AM92" s="59">
        <f t="shared" si="59"/>
        <v>955.80719190459513</v>
      </c>
      <c r="AN92" s="59">
        <f ca="1">AVERAGE(OFFSET($AM$3,0,0,'Données projet'!$E$10+1,1))-AVERAGE(OFFSET($H$3,0,0,'Données projet'!$E$10+1,1))</f>
        <v>481.23392184981651</v>
      </c>
      <c r="AO92" s="59">
        <f t="shared" si="90"/>
        <v>275.88160405468193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91.056306005284682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91.056306005284682</v>
      </c>
      <c r="AY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328.00000000000006</v>
      </c>
      <c r="BE92" s="13">
        <f>BD92*VLOOKUP('Données projet'!$B$11,Paramètres!$A$1:$I$89,3,0)*VLOOKUP('Données projet'!$B$11,Paramètres!$A$1:$I$89,5,0)</f>
        <v>255.84000000000006</v>
      </c>
      <c r="BF92" s="13">
        <f t="shared" si="91"/>
        <v>61.834803371075836</v>
      </c>
      <c r="BG92" s="20">
        <f t="shared" si="61"/>
        <v>553.28361587129041</v>
      </c>
      <c r="BH92" s="59">
        <f t="shared" si="62"/>
        <v>827.30625958281394</v>
      </c>
      <c r="BI92" s="59">
        <f ca="1">AVERAGE(OFFSET($BH$3,0,0,'Données projet'!$E$11+1,1))-AVERAGE(OFFSET($H$3,0,0,'Données projet'!$E$11+1,1))</f>
        <v>308.85018589589453</v>
      </c>
      <c r="BJ92" s="59">
        <f t="shared" si="92"/>
        <v>302.59481222418219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33.903358706272492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33.903358706272492</v>
      </c>
      <c r="BT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>
        <f>VLOOKUP(A92,'Données projet'!$A$113:$I$133,2,0)</f>
        <v>429.83</v>
      </c>
      <c r="BW92" s="12">
        <f>VLOOKUP(A92,'Données projet'!$A$113:$I$133,9,0)</f>
        <v>10.41</v>
      </c>
      <c r="BX92" s="12">
        <f t="array" ref="BX92">INDEX(BW:BW,MIN(IF(ISNUMBER(BW92:BW288),ROW(BW92:BW288),"")))</f>
        <v>10.41</v>
      </c>
      <c r="BY92" s="12">
        <f>IF('Données projet'!$A$114&gt;35,BY91+BX92-CG91,IF(A92&lt;'Données projet'!$A$114,$BV$205^A92,IF(A92='Données projet'!$A$114,'Données projet'!$B$114,BY91+BX92-CG91)))</f>
        <v>429.8300000000001</v>
      </c>
      <c r="BZ92" s="13">
        <f>BY92*VLOOKUP('Données projet'!$B$12,Paramètres!$A$1:$I$89,3,0)*VLOOKUP('Données projet'!$B$12,Paramètres!$A$1:$I$89,5,0)</f>
        <v>415.73157600000008</v>
      </c>
      <c r="CA92" s="13">
        <f t="shared" si="93"/>
        <v>94.958805291438409</v>
      </c>
      <c r="CB92" s="20">
        <f t="shared" si="64"/>
        <v>889.45241408258869</v>
      </c>
      <c r="CC92" s="59">
        <f t="shared" si="65"/>
        <v>1163.4750577941122</v>
      </c>
      <c r="CD92" s="59">
        <f ca="1">AVERAGE(OFFSET($CC$3,0,0,'Données projet'!$E$12+1,1))-AVERAGE(OFFSET($H$3,0,0,'Données projet'!$E$12+1,1))</f>
        <v>600.96600099724276</v>
      </c>
      <c r="CE92" s="59">
        <f t="shared" si="94"/>
        <v>315.40159260706264</v>
      </c>
      <c r="CF92" s="15">
        <f>IF(ISNA(VLOOKUP(A92,'Données projet'!$A$113:$I$133,3,0)),0,VLOOKUP(A92,'Données projet'!$A$113:$I$133,3,0))</f>
        <v>8</v>
      </c>
      <c r="CG92" s="15">
        <f>IF(ISNA(VLOOKUP(A92,'Données projet'!$A$113:$I$133,4,0)),0,VLOOKUP(A92,'Données projet'!$A$113:$I$133,4,0))</f>
        <v>64.5</v>
      </c>
      <c r="CH92" s="16">
        <f>IF(ISNA(VLOOKUP(A92,'Données projet'!$A$113:$I$133,5,0)),0%,VLOOKUP(A92,'Données projet'!$A$113:$I$133,5,0)*VLOOKUP('Données projet'!$B$12,Paramètres!$A$1:$I$89,7,0))</f>
        <v>0.43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129.7617941964875</v>
      </c>
      <c r="CL92" s="21">
        <f>EXP(-LN(2)/25)*CL91+(1-EXP(-LN(2)/25))/(LN(2)/25)*Calculateur!CG92*Calculateur!CI92*VLOOKUP('Données projet'!$B$12,Paramètres!$A$1:$I$89,3,0)*0.475*44/12</f>
        <v>0</v>
      </c>
      <c r="CM92" s="21">
        <f>EXP(-LN(2)/2)*CM91+(1-EXP(-LN(2)/2))/(LN(2)/2)*CG92*CJ92*VLOOKUP('Données projet'!$B$12,Paramètres!$A$1:$I$89,3,0)*0.475*44/12</f>
        <v>0</v>
      </c>
      <c r="CN92" s="22">
        <f t="shared" si="66"/>
        <v>129.7617941964875</v>
      </c>
      <c r="CO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>
        <f>VLOOKUP(A92,'Données projet'!$A$139:$I$159,2,0)</f>
        <v>429.83</v>
      </c>
      <c r="CR92" s="12">
        <f>VLOOKUP(A92,'Données projet'!$A$139:$I$159,9,0)</f>
        <v>10.41</v>
      </c>
      <c r="CS92" s="12">
        <f t="array" ref="CS92">INDEX(CR:CR,MIN(IF(ISNUMBER(CR92:CR288),ROW(CR92:CR288),"")))</f>
        <v>10.41</v>
      </c>
      <c r="CT92" s="12">
        <f>IF('Données projet'!$A$140&gt;35,CT91+CS92-DB91,IF(A92&lt;'Données projet'!$A$140,$CQ$205^A92,IF(A92='Données projet'!$A$140,'Données projet'!$B$140,CT91+CS92-DB91)))</f>
        <v>429.8300000000001</v>
      </c>
      <c r="CU92" s="17">
        <f>CT92*VLOOKUP('Données projet'!$B$13,Paramètres!$A$1:$I$89,3,0)*VLOOKUP('Données projet'!$B$13,Paramètres!$A$1:$I$89,5,0)</f>
        <v>409.02622800000012</v>
      </c>
      <c r="CV92" s="13">
        <f t="shared" si="95"/>
        <v>93.604211095030166</v>
      </c>
      <c r="CW92" s="20">
        <f t="shared" si="67"/>
        <v>875.4146814238444</v>
      </c>
      <c r="CX92" s="59">
        <f t="shared" si="68"/>
        <v>1149.4373251353679</v>
      </c>
      <c r="CY92" s="59">
        <f ca="1">AVERAGE(OFFSET($CX$3,0,0,'Données projet'!$E$13+1,1))-AVERAGE(OFFSET($H$3,0,0,'Données projet'!$E$13+1,1))</f>
        <v>592.58528889137358</v>
      </c>
      <c r="CZ92" s="59">
        <f t="shared" si="96"/>
        <v>311.31528020403709</v>
      </c>
      <c r="DA92" s="15">
        <f>IF(ISNA(VLOOKUP(A92,'Données projet'!$A$139:$I$159,3,0)),0,VLOOKUP(A92,'Données projet'!$A$139:$I$159,3,0))</f>
        <v>8</v>
      </c>
      <c r="DB92" s="15">
        <f>IF(ISNA(VLOOKUP(A92,'Données projet'!$A$139:$I$159,4,0)),0,VLOOKUP(A92,'Données projet'!$A$139:$I$159,4,0))</f>
        <v>64.5</v>
      </c>
      <c r="DC92" s="16">
        <f>IF(ISNA(VLOOKUP(A92,'Données projet'!$A$139:$I$159,5,0)),0%,VLOOKUP(A92,'Données projet'!$A$139:$I$159,5,0)*VLOOKUP('Données projet'!$B$13,Paramètres!$A$1:$I$89,7,0))</f>
        <v>0.43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127.66886203202803</v>
      </c>
      <c r="DG92" s="21">
        <f>EXP(-LN(2)/25)*DG91+(1-EXP(-LN(2)/25))/(LN(2)/25)*Calculateur!DB92*Calculateur!DD92*VLOOKUP('Données projet'!$B$13,Paramètres!$A$1:$I$89,3,0)*0.475*44/12</f>
        <v>0</v>
      </c>
      <c r="DH92" s="21">
        <f>EXP(-LN(2)/2)*DH91+(1-EXP(-LN(2)/2))/(LN(2)/2)*DB92*DE92*VLOOKUP('Données projet'!$B$13,Paramètres!$A$1:$I$89,3,0)*0.475*44/12</f>
        <v>0</v>
      </c>
      <c r="DI92" s="22">
        <f t="shared" si="69"/>
        <v>127.66886203202803</v>
      </c>
      <c r="DJ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2">
        <f>'Scénario référence'!$B$16*5+'Scénario référence'!$B$17*0+'Scénario référence'!$B$18*5</f>
        <v>5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66">
        <f t="shared" si="56"/>
        <v>183.33333333333334</v>
      </c>
      <c r="I93" s="6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9.9470000000000027</v>
      </c>
      <c r="N93" s="13">
        <f>IF('Données projet'!$A$36&gt;35,N92+M93-V92,IF(A93&lt;'Données projet'!$A$36,$K$205^A93,IF(A93='Données projet'!$A$36,'Données projet'!$B$36,N92+M93-V92)))</f>
        <v>375.2770000000001</v>
      </c>
      <c r="O93" s="13">
        <f>N93*VLOOKUP('Données projet'!$B$9,Paramètres!$A$1:$I$89,3,0)*VLOOKUP('Données projet'!$B$9,Paramètres!$A$1:$I$89,5,0)</f>
        <v>339.55062960000009</v>
      </c>
      <c r="P93" s="13">
        <f t="shared" si="87"/>
        <v>79.407096506902036</v>
      </c>
      <c r="Q93" s="20">
        <f t="shared" si="54"/>
        <v>729.68470630285447</v>
      </c>
      <c r="R93" s="59">
        <f t="shared" si="55"/>
        <v>1004.0423473070821</v>
      </c>
      <c r="S93" s="59">
        <f ca="1">AVERAGE(OFFSET($R$3,0,0,'Données projet'!$E$9+1,1))-AVERAGE(OFFSET($H$3,0,0,'Données projet'!$E$9+1,1))</f>
        <v>567.42635821507474</v>
      </c>
      <c r="T93" s="59">
        <f t="shared" si="88"/>
        <v>299.04735309930152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119.00968039406574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119.00968039406574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>
        <f>VLOOKUP(A93,'Données projet'!$A$61:$I$81,2,0)</f>
        <v>377</v>
      </c>
      <c r="AG93" s="12">
        <f>VLOOKUP(A93,'Données projet'!$A$61:$I$81,9,0)</f>
        <v>7.8</v>
      </c>
      <c r="AH93" s="12">
        <f t="array" ref="AH93">INDEX(AG:AG,MIN(IF(ISNUMBER(AG93:AG289),ROW(AG93:AG289),"")))</f>
        <v>7.8</v>
      </c>
      <c r="AI93" s="13">
        <f>IF('Données projet'!$A$62&gt;35,AI92+AH93-AQ92,IF(A93&lt;'Données projet'!$A$62,$AF$205^A93,IF(A93='Données projet'!$A$62,'Données projet'!$B$62,AI92+AH93-AQ92)))</f>
        <v>376.99999999999983</v>
      </c>
      <c r="AJ93" s="13">
        <f>AI93*VLOOKUP('Données projet'!$B$10,Paramètres!$A$1:$I$89,3,0)*VLOOKUP('Données projet'!$B$10,Paramètres!$A$1:$I$89,5,0)</f>
        <v>323.46599999999989</v>
      </c>
      <c r="AK93" s="13">
        <f t="shared" si="89"/>
        <v>76.074069581431147</v>
      </c>
      <c r="AL93" s="20">
        <f t="shared" si="58"/>
        <v>695.86562118765903</v>
      </c>
      <c r="AM93" s="59">
        <f t="shared" si="59"/>
        <v>970.22326219188676</v>
      </c>
      <c r="AN93" s="59">
        <f ca="1">AVERAGE(OFFSET($AM$3,0,0,'Données projet'!$E$10+1,1))-AVERAGE(OFFSET($H$3,0,0,'Données projet'!$E$10+1,1))</f>
        <v>481.23392184981651</v>
      </c>
      <c r="AO93" s="59">
        <f t="shared" si="90"/>
        <v>275.88160405468193</v>
      </c>
      <c r="AP93" s="15">
        <f>IF(ISNA(VLOOKUP(A93,'Données projet'!$A$61:$I$81,3,0)),0,VLOOKUP(A93,'Données projet'!$A$61:$I$81,3,0))</f>
        <v>14</v>
      </c>
      <c r="AQ93" s="15">
        <f>IF(ISNA(VLOOKUP(A93,'Données projet'!$A$61:$I$81,4,0)),0,VLOOKUP(A93,'Données projet'!$A$61:$I$81,4,0))</f>
        <v>26</v>
      </c>
      <c r="AR93" s="16">
        <f>IF(ISNA(VLOOKUP(A93,'Données projet'!$A$61:$I$81,5,0)),0%,VLOOKUP(A93,'Données projet'!$A$61:$I$81,5,0)*VLOOKUP('Données projet'!$B$10,Paramètres!$A$1:$I$89,7,0))</f>
        <v>0.53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102.34098899349287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102.34098899349287</v>
      </c>
      <c r="AY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328.00000000000006</v>
      </c>
      <c r="BE93" s="13">
        <f>BD93*VLOOKUP('Données projet'!$B$11,Paramètres!$A$1:$I$89,3,0)*VLOOKUP('Données projet'!$B$11,Paramètres!$A$1:$I$89,5,0)</f>
        <v>255.84000000000006</v>
      </c>
      <c r="BF93" s="13">
        <f t="shared" si="91"/>
        <v>61.834803371075836</v>
      </c>
      <c r="BG93" s="20">
        <f t="shared" si="61"/>
        <v>553.28361587129041</v>
      </c>
      <c r="BH93" s="59">
        <f t="shared" si="62"/>
        <v>827.64125687551814</v>
      </c>
      <c r="BI93" s="59">
        <f ca="1">AVERAGE(OFFSET($BH$3,0,0,'Données projet'!$E$11+1,1))-AVERAGE(OFFSET($H$3,0,0,'Données projet'!$E$11+1,1))</f>
        <v>308.85018589589453</v>
      </c>
      <c r="BJ93" s="59">
        <f t="shared" si="92"/>
        <v>302.59481222418219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33.238534521049417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33.238534521049417</v>
      </c>
      <c r="BT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9.9470000000000027</v>
      </c>
      <c r="BY93" s="12">
        <f>IF('Données projet'!$A$114&gt;35,BY92+BX93-CG92,IF(A93&lt;'Données projet'!$A$114,$BV$205^A93,IF(A93='Données projet'!$A$114,'Données projet'!$B$114,BY92+BX93-CG92)))</f>
        <v>375.2770000000001</v>
      </c>
      <c r="BZ93" s="13">
        <f>BY93*VLOOKUP('Données projet'!$B$12,Paramètres!$A$1:$I$89,3,0)*VLOOKUP('Données projet'!$B$12,Paramètres!$A$1:$I$89,5,0)</f>
        <v>362.9679144000001</v>
      </c>
      <c r="CA93" s="13">
        <f t="shared" si="93"/>
        <v>84.227059337785704</v>
      </c>
      <c r="CB93" s="20">
        <f t="shared" si="64"/>
        <v>778.86457925997695</v>
      </c>
      <c r="CC93" s="59">
        <f t="shared" si="65"/>
        <v>1053.2222202642047</v>
      </c>
      <c r="CD93" s="59">
        <f ca="1">AVERAGE(OFFSET($CC$3,0,0,'Données projet'!$E$12+1,1))-AVERAGE(OFFSET($H$3,0,0,'Données projet'!$E$12+1,1))</f>
        <v>600.96600099724276</v>
      </c>
      <c r="CE93" s="59">
        <f t="shared" si="94"/>
        <v>315.40159260706264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127.21724455917374</v>
      </c>
      <c r="CL93" s="21">
        <f>EXP(-LN(2)/25)*CL92+(1-EXP(-LN(2)/25))/(LN(2)/25)*Calculateur!CG93*Calculateur!CI93*VLOOKUP('Données projet'!$B$12,Paramètres!$A$1:$I$89,3,0)*0.475*44/12</f>
        <v>0</v>
      </c>
      <c r="CM93" s="21">
        <f>EXP(-LN(2)/2)*CM92+(1-EXP(-LN(2)/2))/(LN(2)/2)*CG93*CJ93*VLOOKUP('Données projet'!$B$12,Paramètres!$A$1:$I$89,3,0)*0.475*44/12</f>
        <v>0</v>
      </c>
      <c r="CN93" s="22">
        <f t="shared" si="66"/>
        <v>127.21724455917374</v>
      </c>
      <c r="CO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9.9470000000000027</v>
      </c>
      <c r="CT93" s="12">
        <f>IF('Données projet'!$A$140&gt;35,CT92+CS93-DB92,IF(A93&lt;'Données projet'!$A$140,$CQ$205^A93,IF(A93='Données projet'!$A$140,'Données projet'!$B$140,CT92+CS93-DB92)))</f>
        <v>375.2770000000001</v>
      </c>
      <c r="CU93" s="17">
        <f>CT93*VLOOKUP('Données projet'!$B$13,Paramètres!$A$1:$I$89,3,0)*VLOOKUP('Données projet'!$B$13,Paramètres!$A$1:$I$89,5,0)</f>
        <v>357.11359320000008</v>
      </c>
      <c r="CV93" s="13">
        <f t="shared" si="95"/>
        <v>83.025554270305832</v>
      </c>
      <c r="CW93" s="20">
        <f t="shared" si="67"/>
        <v>766.57568184411605</v>
      </c>
      <c r="CX93" s="59">
        <f t="shared" si="68"/>
        <v>1040.9333228483438</v>
      </c>
      <c r="CY93" s="59">
        <f ca="1">AVERAGE(OFFSET($CX$3,0,0,'Données projet'!$E$13+1,1))-AVERAGE(OFFSET($H$3,0,0,'Données projet'!$E$13+1,1))</f>
        <v>592.58528889137358</v>
      </c>
      <c r="CZ93" s="59">
        <f t="shared" si="96"/>
        <v>311.31528020403709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125.16535351789675</v>
      </c>
      <c r="DG93" s="21">
        <f>EXP(-LN(2)/25)*DG92+(1-EXP(-LN(2)/25))/(LN(2)/25)*Calculateur!DB93*Calculateur!DD93*VLOOKUP('Données projet'!$B$13,Paramètres!$A$1:$I$89,3,0)*0.475*44/12</f>
        <v>0</v>
      </c>
      <c r="DH93" s="21">
        <f>EXP(-LN(2)/2)*DH92+(1-EXP(-LN(2)/2))/(LN(2)/2)*DB93*DE93*VLOOKUP('Données projet'!$B$13,Paramètres!$A$1:$I$89,3,0)*0.475*44/12</f>
        <v>0</v>
      </c>
      <c r="DI93" s="22">
        <f t="shared" si="69"/>
        <v>125.16535351789675</v>
      </c>
      <c r="DJ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2">
        <f>'Scénario référence'!$B$16*5+'Scénario référence'!$B$17*0+'Scénario référence'!$B$18*5</f>
        <v>5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66">
        <f t="shared" si="56"/>
        <v>183.33333333333334</v>
      </c>
      <c r="I94" s="6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9.9470000000000027</v>
      </c>
      <c r="N94" s="13">
        <f>IF('Données projet'!$A$36&gt;35,N93+M94-V93,IF(A94&lt;'Données projet'!$A$36,$K$205^A94,IF(A94='Données projet'!$A$36,'Données projet'!$B$36,N93+M94-V93)))</f>
        <v>385.2240000000001</v>
      </c>
      <c r="O94" s="13">
        <f>N94*VLOOKUP('Données projet'!$B$9,Paramètres!$A$1:$I$89,3,0)*VLOOKUP('Données projet'!$B$9,Paramètres!$A$1:$I$89,5,0)</f>
        <v>348.55067520000006</v>
      </c>
      <c r="P94" s="13">
        <f t="shared" si="87"/>
        <v>81.264008176199866</v>
      </c>
      <c r="Q94" s="20">
        <f t="shared" si="54"/>
        <v>748.59390688021483</v>
      </c>
      <c r="R94" s="59">
        <f t="shared" si="55"/>
        <v>1023.2807337230599</v>
      </c>
      <c r="S94" s="59">
        <f ca="1">AVERAGE(OFFSET($R$3,0,0,'Données projet'!$E$9+1,1))-AVERAGE(OFFSET($H$3,0,0,'Données projet'!$E$9+1,1))</f>
        <v>567.42635821507474</v>
      </c>
      <c r="T94" s="59">
        <f t="shared" si="88"/>
        <v>299.04735309930152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116.67597315027561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116.67597315027561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7.6</v>
      </c>
      <c r="AI94" s="13">
        <f>IF('Données projet'!$A$62&gt;35,AI93+AH94-AQ93,IF(A94&lt;'Données projet'!$A$62,$AF$205^A94,IF(A94='Données projet'!$A$62,'Données projet'!$B$62,AI93+AH94-AQ93)))</f>
        <v>358.59999999999985</v>
      </c>
      <c r="AJ94" s="13">
        <f>AI94*VLOOKUP('Données projet'!$B$10,Paramètres!$A$1:$I$89,3,0)*VLOOKUP('Données projet'!$B$10,Paramètres!$A$1:$I$89,5,0)</f>
        <v>307.67879999999991</v>
      </c>
      <c r="AK94" s="13">
        <f t="shared" si="89"/>
        <v>72.783859383050768</v>
      </c>
      <c r="AL94" s="20">
        <f t="shared" si="58"/>
        <v>662.63913175881328</v>
      </c>
      <c r="AM94" s="59">
        <f t="shared" si="59"/>
        <v>937.32595860165839</v>
      </c>
      <c r="AN94" s="59">
        <f ca="1">AVERAGE(OFFSET($AM$3,0,0,'Données projet'!$E$10+1,1))-AVERAGE(OFFSET($H$3,0,0,'Données projet'!$E$10+1,1))</f>
        <v>481.23392184981651</v>
      </c>
      <c r="AO94" s="59">
        <f t="shared" si="90"/>
        <v>275.88160405468193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100.33414462117011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100.33414462117011</v>
      </c>
      <c r="AY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328.00000000000006</v>
      </c>
      <c r="BE94" s="13">
        <f>BD94*VLOOKUP('Données projet'!$B$11,Paramètres!$A$1:$I$89,3,0)*VLOOKUP('Données projet'!$B$11,Paramètres!$A$1:$I$89,5,0)</f>
        <v>255.84000000000006</v>
      </c>
      <c r="BF94" s="13">
        <f t="shared" si="91"/>
        <v>61.834803371075836</v>
      </c>
      <c r="BG94" s="20">
        <f t="shared" si="61"/>
        <v>553.28361587129041</v>
      </c>
      <c r="BH94" s="59">
        <f t="shared" si="62"/>
        <v>827.97044271413552</v>
      </c>
      <c r="BI94" s="59">
        <f ca="1">AVERAGE(OFFSET($BH$3,0,0,'Données projet'!$E$11+1,1))-AVERAGE(OFFSET($H$3,0,0,'Données projet'!$E$11+1,1))</f>
        <v>308.85018589589453</v>
      </c>
      <c r="BJ94" s="59">
        <f t="shared" si="92"/>
        <v>302.59481222418219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32.586747132595853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32.586747132595853</v>
      </c>
      <c r="BT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9.9470000000000027</v>
      </c>
      <c r="BY94" s="12">
        <f>IF('Données projet'!$A$114&gt;35,BY93+BX94-CG93,IF(A94&lt;'Données projet'!$A$114,$BV$205^A94,IF(A94='Données projet'!$A$114,'Données projet'!$B$114,BY93+BX94-CG93)))</f>
        <v>385.2240000000001</v>
      </c>
      <c r="BZ94" s="13">
        <f>BY94*VLOOKUP('Données projet'!$B$12,Paramètres!$A$1:$I$89,3,0)*VLOOKUP('Données projet'!$B$12,Paramètres!$A$1:$I$89,5,0)</f>
        <v>372.58865280000015</v>
      </c>
      <c r="CA94" s="13">
        <f t="shared" si="93"/>
        <v>86.196684424648993</v>
      </c>
      <c r="CB94" s="20">
        <f t="shared" si="64"/>
        <v>799.05112899959715</v>
      </c>
      <c r="CC94" s="59">
        <f t="shared" si="65"/>
        <v>1073.7379558424423</v>
      </c>
      <c r="CD94" s="59">
        <f ca="1">AVERAGE(OFFSET($CC$3,0,0,'Données projet'!$E$12+1,1))-AVERAGE(OFFSET($H$3,0,0,'Données projet'!$E$12+1,1))</f>
        <v>600.96600099724276</v>
      </c>
      <c r="CE94" s="59">
        <f t="shared" si="94"/>
        <v>315.40159260706264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124.72259198822566</v>
      </c>
      <c r="CL94" s="21">
        <f>EXP(-LN(2)/25)*CL93+(1-EXP(-LN(2)/25))/(LN(2)/25)*Calculateur!CG94*Calculateur!CI94*VLOOKUP('Données projet'!$B$12,Paramètres!$A$1:$I$89,3,0)*0.475*44/12</f>
        <v>0</v>
      </c>
      <c r="CM94" s="21">
        <f>EXP(-LN(2)/2)*CM93+(1-EXP(-LN(2)/2))/(LN(2)/2)*CG94*CJ94*VLOOKUP('Données projet'!$B$12,Paramètres!$A$1:$I$89,3,0)*0.475*44/12</f>
        <v>0</v>
      </c>
      <c r="CN94" s="22">
        <f t="shared" si="66"/>
        <v>124.72259198822566</v>
      </c>
      <c r="CO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9.9470000000000027</v>
      </c>
      <c r="CT94" s="12">
        <f>IF('Données projet'!$A$140&gt;35,CT93+CS94-DB93,IF(A94&lt;'Données projet'!$A$140,$CQ$205^A94,IF(A94='Données projet'!$A$140,'Données projet'!$B$140,CT93+CS94-DB93)))</f>
        <v>385.2240000000001</v>
      </c>
      <c r="CU94" s="17">
        <f>CT94*VLOOKUP('Données projet'!$B$13,Paramètres!$A$1:$I$89,3,0)*VLOOKUP('Données projet'!$B$13,Paramètres!$A$1:$I$89,5,0)</f>
        <v>366.5791584000001</v>
      </c>
      <c r="CV94" s="13">
        <f t="shared" si="95"/>
        <v>84.967082513452766</v>
      </c>
      <c r="CW94" s="20">
        <f t="shared" si="67"/>
        <v>786.44303625759687</v>
      </c>
      <c r="CX94" s="59">
        <f t="shared" si="68"/>
        <v>1061.129863100442</v>
      </c>
      <c r="CY94" s="59">
        <f ca="1">AVERAGE(OFFSET($CX$3,0,0,'Données projet'!$E$13+1,1))-AVERAGE(OFFSET($H$3,0,0,'Données projet'!$E$13+1,1))</f>
        <v>592.58528889137358</v>
      </c>
      <c r="CZ94" s="59">
        <f t="shared" si="96"/>
        <v>311.31528020403709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122.71093727873816</v>
      </c>
      <c r="DG94" s="21">
        <f>EXP(-LN(2)/25)*DG93+(1-EXP(-LN(2)/25))/(LN(2)/25)*Calculateur!DB94*Calculateur!DD94*VLOOKUP('Données projet'!$B$13,Paramètres!$A$1:$I$89,3,0)*0.475*44/12</f>
        <v>0</v>
      </c>
      <c r="DH94" s="21">
        <f>EXP(-LN(2)/2)*DH93+(1-EXP(-LN(2)/2))/(LN(2)/2)*DB94*DE94*VLOOKUP('Données projet'!$B$13,Paramètres!$A$1:$I$89,3,0)*0.475*44/12</f>
        <v>0</v>
      </c>
      <c r="DI94" s="22">
        <f t="shared" si="69"/>
        <v>122.71093727873816</v>
      </c>
      <c r="DJ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2">
        <f>'Scénario référence'!$B$16*5+'Scénario référence'!$B$17*0+'Scénario référence'!$B$18*5</f>
        <v>5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66">
        <f t="shared" si="56"/>
        <v>183.33333333333334</v>
      </c>
      <c r="I95" s="6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9.9470000000000027</v>
      </c>
      <c r="N95" s="13">
        <f>IF('Données projet'!$A$36&gt;35,N94+M95-V94,IF(A95&lt;'Données projet'!$A$36,$K$205^A95,IF(A95='Données projet'!$A$36,'Données projet'!$B$36,N94+M95-V94)))</f>
        <v>395.17100000000011</v>
      </c>
      <c r="O95" s="13">
        <f>N95*VLOOKUP('Données projet'!$B$9,Paramètres!$A$1:$I$89,3,0)*VLOOKUP('Données projet'!$B$9,Paramètres!$A$1:$I$89,5,0)</f>
        <v>357.55072080000008</v>
      </c>
      <c r="P95" s="13">
        <f t="shared" si="87"/>
        <v>83.115346428782544</v>
      </c>
      <c r="Q95" s="20">
        <f t="shared" si="54"/>
        <v>767.49340042346296</v>
      </c>
      <c r="R95" s="59">
        <f t="shared" si="55"/>
        <v>1042.5037024665746</v>
      </c>
      <c r="S95" s="59">
        <f ca="1">AVERAGE(OFFSET($R$3,0,0,'Données projet'!$E$9+1,1))-AVERAGE(OFFSET($H$3,0,0,'Données projet'!$E$9+1,1))</f>
        <v>567.42635821507474</v>
      </c>
      <c r="T95" s="59">
        <f t="shared" si="88"/>
        <v>299.04735309930152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114.38802848211533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114.38802848211533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7.6</v>
      </c>
      <c r="AI95" s="13">
        <f>IF('Données projet'!$A$62&gt;35,AI94+AH95-AQ94,IF(A95&lt;'Données projet'!$A$62,$AF$205^A95,IF(A95='Données projet'!$A$62,'Données projet'!$B$62,AI94+AH95-AQ94)))</f>
        <v>366.19999999999987</v>
      </c>
      <c r="AJ95" s="13">
        <f>AI95*VLOOKUP('Données projet'!$B$10,Paramètres!$A$1:$I$89,3,0)*VLOOKUP('Données projet'!$B$10,Paramètres!$A$1:$I$89,5,0)</f>
        <v>314.19959999999992</v>
      </c>
      <c r="AK95" s="13">
        <f t="shared" si="89"/>
        <v>74.145185764564587</v>
      </c>
      <c r="AL95" s="20">
        <f t="shared" si="58"/>
        <v>676.36716853994983</v>
      </c>
      <c r="AM95" s="59">
        <f t="shared" si="59"/>
        <v>951.37747058306149</v>
      </c>
      <c r="AN95" s="59">
        <f ca="1">AVERAGE(OFFSET($AM$3,0,0,'Données projet'!$E$10+1,1))-AVERAGE(OFFSET($H$3,0,0,'Données projet'!$E$10+1,1))</f>
        <v>481.23392184981651</v>
      </c>
      <c r="AO95" s="59">
        <f t="shared" si="90"/>
        <v>275.88160405468193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98.366653242934404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98.366653242934404</v>
      </c>
      <c r="AY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328.00000000000006</v>
      </c>
      <c r="BE95" s="13">
        <f>BD95*VLOOKUP('Données projet'!$B$11,Paramètres!$A$1:$I$89,3,0)*VLOOKUP('Données projet'!$B$11,Paramètres!$A$1:$I$89,5,0)</f>
        <v>255.84000000000006</v>
      </c>
      <c r="BF95" s="13">
        <f t="shared" si="91"/>
        <v>61.834803371075836</v>
      </c>
      <c r="BG95" s="20">
        <f t="shared" si="61"/>
        <v>553.28361587129041</v>
      </c>
      <c r="BH95" s="59">
        <f t="shared" si="62"/>
        <v>828.29391791440207</v>
      </c>
      <c r="BI95" s="59">
        <f ca="1">AVERAGE(OFFSET($BH$3,0,0,'Données projet'!$E$11+1,1))-AVERAGE(OFFSET($H$3,0,0,'Données projet'!$E$11+1,1))</f>
        <v>308.85018589589453</v>
      </c>
      <c r="BJ95" s="59">
        <f t="shared" si="92"/>
        <v>302.59481222418219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31.947740897278813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31.947740897278813</v>
      </c>
      <c r="BT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9.9470000000000027</v>
      </c>
      <c r="BY95" s="12">
        <f>IF('Données projet'!$A$114&gt;35,BY94+BX95-CG94,IF(A95&lt;'Données projet'!$A$114,$BV$205^A95,IF(A95='Données projet'!$A$114,'Données projet'!$B$114,BY94+BX95-CG94)))</f>
        <v>395.17100000000011</v>
      </c>
      <c r="BZ95" s="13">
        <f>BY95*VLOOKUP('Données projet'!$B$12,Paramètres!$A$1:$I$89,3,0)*VLOOKUP('Données projet'!$B$12,Paramètres!$A$1:$I$89,5,0)</f>
        <v>382.20939120000008</v>
      </c>
      <c r="CA95" s="13">
        <f t="shared" si="93"/>
        <v>88.160397791766499</v>
      </c>
      <c r="CB95" s="20">
        <f t="shared" si="64"/>
        <v>819.22738249399345</v>
      </c>
      <c r="CC95" s="59">
        <f t="shared" si="65"/>
        <v>1094.2376845371052</v>
      </c>
      <c r="CD95" s="59">
        <f ca="1">AVERAGE(OFFSET($CC$3,0,0,'Données projet'!$E$12+1,1))-AVERAGE(OFFSET($H$3,0,0,'Données projet'!$E$12+1,1))</f>
        <v>600.96600099724276</v>
      </c>
      <c r="CE95" s="59">
        <f t="shared" si="94"/>
        <v>315.40159260706264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122.27685803260606</v>
      </c>
      <c r="CL95" s="21">
        <f>EXP(-LN(2)/25)*CL94+(1-EXP(-LN(2)/25))/(LN(2)/25)*Calculateur!CG95*Calculateur!CI95*VLOOKUP('Données projet'!$B$12,Paramètres!$A$1:$I$89,3,0)*0.475*44/12</f>
        <v>0</v>
      </c>
      <c r="CM95" s="21">
        <f>EXP(-LN(2)/2)*CM94+(1-EXP(-LN(2)/2))/(LN(2)/2)*CG95*CJ95*VLOOKUP('Données projet'!$B$12,Paramètres!$A$1:$I$89,3,0)*0.475*44/12</f>
        <v>0</v>
      </c>
      <c r="CN95" s="22">
        <f t="shared" si="66"/>
        <v>122.27685803260606</v>
      </c>
      <c r="CO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9.9470000000000027</v>
      </c>
      <c r="CT95" s="12">
        <f>IF('Données projet'!$A$140&gt;35,CT94+CS95-DB94,IF(A95&lt;'Données projet'!$A$140,$CQ$205^A95,IF(A95='Données projet'!$A$140,'Données projet'!$B$140,CT94+CS95-DB94)))</f>
        <v>395.17100000000011</v>
      </c>
      <c r="CU95" s="17">
        <f>CT95*VLOOKUP('Données projet'!$B$13,Paramètres!$A$1:$I$89,3,0)*VLOOKUP('Données projet'!$B$13,Paramètres!$A$1:$I$89,5,0)</f>
        <v>376.04472360000011</v>
      </c>
      <c r="CV95" s="13">
        <f t="shared" si="95"/>
        <v>86.90278336796186</v>
      </c>
      <c r="CW95" s="20">
        <f t="shared" si="67"/>
        <v>806.30024130253378</v>
      </c>
      <c r="CX95" s="59">
        <f t="shared" si="68"/>
        <v>1081.3105433456456</v>
      </c>
      <c r="CY95" s="59">
        <f ca="1">AVERAGE(OFFSET($CX$3,0,0,'Données projet'!$E$13+1,1))-AVERAGE(OFFSET($H$3,0,0,'Données projet'!$E$13+1,1))</f>
        <v>592.58528889137358</v>
      </c>
      <c r="CZ95" s="59">
        <f t="shared" si="96"/>
        <v>311.31528020403709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120.30465064498338</v>
      </c>
      <c r="DG95" s="21">
        <f>EXP(-LN(2)/25)*DG94+(1-EXP(-LN(2)/25))/(LN(2)/25)*Calculateur!DB95*Calculateur!DD95*VLOOKUP('Données projet'!$B$13,Paramètres!$A$1:$I$89,3,0)*0.475*44/12</f>
        <v>0</v>
      </c>
      <c r="DH95" s="21">
        <f>EXP(-LN(2)/2)*DH94+(1-EXP(-LN(2)/2))/(LN(2)/2)*DB95*DE95*VLOOKUP('Données projet'!$B$13,Paramètres!$A$1:$I$89,3,0)*0.475*44/12</f>
        <v>0</v>
      </c>
      <c r="DI95" s="22">
        <f t="shared" si="69"/>
        <v>120.30465064498338</v>
      </c>
      <c r="DJ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2">
        <f>'Scénario référence'!$B$16*5+'Scénario référence'!$B$17*0+'Scénario référence'!$B$18*5</f>
        <v>5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66">
        <f t="shared" si="56"/>
        <v>183.33333333333334</v>
      </c>
      <c r="I96" s="6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9.9470000000000027</v>
      </c>
      <c r="N96" s="13">
        <f>IF('Données projet'!$A$36&gt;35,N95+M96-V95,IF(A96&lt;'Données projet'!$A$36,$K$205^A96,IF(A96='Données projet'!$A$36,'Données projet'!$B$36,N95+M96-V95)))</f>
        <v>405.11800000000011</v>
      </c>
      <c r="O96" s="13">
        <f>N96*VLOOKUP('Données projet'!$B$9,Paramètres!$A$1:$I$89,3,0)*VLOOKUP('Données projet'!$B$9,Paramètres!$A$1:$I$89,5,0)</f>
        <v>366.5507664000001</v>
      </c>
      <c r="P96" s="13">
        <f t="shared" si="87"/>
        <v>84.961267689272873</v>
      </c>
      <c r="Q96" s="20">
        <f t="shared" si="54"/>
        <v>786.38345937215036</v>
      </c>
      <c r="R96" s="59">
        <f t="shared" si="55"/>
        <v>1061.7116250439863</v>
      </c>
      <c r="S96" s="59">
        <f ca="1">AVERAGE(OFFSET($R$3,0,0,'Données projet'!$E$9+1,1))-AVERAGE(OFFSET($H$3,0,0,'Données projet'!$E$9+1,1))</f>
        <v>567.42635821507474</v>
      </c>
      <c r="T96" s="59">
        <f t="shared" si="88"/>
        <v>299.04735309930152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112.14494901338922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112.14494901338922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7.6</v>
      </c>
      <c r="AI96" s="13">
        <f>IF('Données projet'!$A$62&gt;35,AI95+AH96-AQ95,IF(A96&lt;'Données projet'!$A$62,$AF$205^A96,IF(A96='Données projet'!$A$62,'Données projet'!$B$62,AI95+AH96-AQ95)))</f>
        <v>373.7999999999999</v>
      </c>
      <c r="AJ96" s="13">
        <f>AI96*VLOOKUP('Données projet'!$B$10,Paramètres!$A$1:$I$89,3,0)*VLOOKUP('Données projet'!$B$10,Paramètres!$A$1:$I$89,5,0)</f>
        <v>320.72039999999993</v>
      </c>
      <c r="AK96" s="13">
        <f t="shared" si="89"/>
        <v>75.503227270035708</v>
      </c>
      <c r="AL96" s="20">
        <f t="shared" si="58"/>
        <v>690.0894841619787</v>
      </c>
      <c r="AM96" s="59">
        <f t="shared" si="59"/>
        <v>965.41764983381472</v>
      </c>
      <c r="AN96" s="59">
        <f ca="1">AVERAGE(OFFSET($AM$3,0,0,'Données projet'!$E$10+1,1))-AVERAGE(OFFSET($H$3,0,0,'Données projet'!$E$10+1,1))</f>
        <v>481.23392184981651</v>
      </c>
      <c r="AO96" s="59">
        <f t="shared" si="90"/>
        <v>275.88160405468193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96.437743170574649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96.437743170574649</v>
      </c>
      <c r="AY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328.00000000000006</v>
      </c>
      <c r="BE96" s="13">
        <f>BD96*VLOOKUP('Données projet'!$B$11,Paramètres!$A$1:$I$89,3,0)*VLOOKUP('Données projet'!$B$11,Paramètres!$A$1:$I$89,5,0)</f>
        <v>255.84000000000006</v>
      </c>
      <c r="BF96" s="13">
        <f t="shared" si="91"/>
        <v>61.834803371075836</v>
      </c>
      <c r="BG96" s="20">
        <f t="shared" si="61"/>
        <v>553.28361587129041</v>
      </c>
      <c r="BH96" s="59">
        <f t="shared" si="62"/>
        <v>828.61178154312643</v>
      </c>
      <c r="BI96" s="59">
        <f ca="1">AVERAGE(OFFSET($BH$3,0,0,'Données projet'!$E$11+1,1))-AVERAGE(OFFSET($H$3,0,0,'Données projet'!$E$11+1,1))</f>
        <v>308.85018589589453</v>
      </c>
      <c r="BJ96" s="59">
        <f t="shared" si="92"/>
        <v>302.59481222418219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31.321265184481021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31.321265184481021</v>
      </c>
      <c r="BT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9.9470000000000027</v>
      </c>
      <c r="BY96" s="12">
        <f>IF('Données projet'!$A$114&gt;35,BY95+BX96-CG95,IF(A96&lt;'Données projet'!$A$114,$BV$205^A96,IF(A96='Données projet'!$A$114,'Données projet'!$B$114,BY95+BX96-CG95)))</f>
        <v>405.11800000000011</v>
      </c>
      <c r="BZ96" s="13">
        <f>BY96*VLOOKUP('Données projet'!$B$12,Paramètres!$A$1:$I$89,3,0)*VLOOKUP('Données projet'!$B$12,Paramètres!$A$1:$I$89,5,0)</f>
        <v>391.83012960000008</v>
      </c>
      <c r="CA96" s="13">
        <f t="shared" si="93"/>
        <v>90.118365358641142</v>
      </c>
      <c r="CB96" s="20">
        <f t="shared" si="64"/>
        <v>839.3936287196334</v>
      </c>
      <c r="CC96" s="59">
        <f t="shared" si="65"/>
        <v>1114.7217943914693</v>
      </c>
      <c r="CD96" s="59">
        <f ca="1">AVERAGE(OFFSET($CC$3,0,0,'Données projet'!$E$12+1,1))-AVERAGE(OFFSET($H$3,0,0,'Données projet'!$E$12+1,1))</f>
        <v>600.96600099724276</v>
      </c>
      <c r="CE96" s="59">
        <f t="shared" si="94"/>
        <v>315.40159260706264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119.87908342810574</v>
      </c>
      <c r="CL96" s="21">
        <f>EXP(-LN(2)/25)*CL95+(1-EXP(-LN(2)/25))/(LN(2)/25)*Calculateur!CG96*Calculateur!CI96*VLOOKUP('Données projet'!$B$12,Paramètres!$A$1:$I$89,3,0)*0.475*44/12</f>
        <v>0</v>
      </c>
      <c r="CM96" s="21">
        <f>EXP(-LN(2)/2)*CM95+(1-EXP(-LN(2)/2))/(LN(2)/2)*CG96*CJ96*VLOOKUP('Données projet'!$B$12,Paramètres!$A$1:$I$89,3,0)*0.475*44/12</f>
        <v>0</v>
      </c>
      <c r="CN96" s="22">
        <f t="shared" si="66"/>
        <v>119.87908342810574</v>
      </c>
      <c r="CO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9.9470000000000027</v>
      </c>
      <c r="CT96" s="12">
        <f>IF('Données projet'!$A$140&gt;35,CT95+CS96-DB95,IF(A96&lt;'Données projet'!$A$140,$CQ$205^A96,IF(A96='Données projet'!$A$140,'Données projet'!$B$140,CT95+CS96-DB95)))</f>
        <v>405.11800000000011</v>
      </c>
      <c r="CU96" s="17">
        <f>CT96*VLOOKUP('Données projet'!$B$13,Paramètres!$A$1:$I$89,3,0)*VLOOKUP('Données projet'!$B$13,Paramètres!$A$1:$I$89,5,0)</f>
        <v>385.51028880000013</v>
      </c>
      <c r="CV96" s="13">
        <f t="shared" si="95"/>
        <v>88.832820386482439</v>
      </c>
      <c r="CW96" s="20">
        <f t="shared" si="67"/>
        <v>826.14758183312381</v>
      </c>
      <c r="CX96" s="59">
        <f t="shared" si="68"/>
        <v>1101.4757475049598</v>
      </c>
      <c r="CY96" s="59">
        <f ca="1">AVERAGE(OFFSET($CX$3,0,0,'Données projet'!$E$13+1,1))-AVERAGE(OFFSET($H$3,0,0,'Données projet'!$E$13+1,1))</f>
        <v>592.58528889137358</v>
      </c>
      <c r="CZ96" s="59">
        <f t="shared" si="96"/>
        <v>311.31528020403709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117.94554982442662</v>
      </c>
      <c r="DG96" s="21">
        <f>EXP(-LN(2)/25)*DG95+(1-EXP(-LN(2)/25))/(LN(2)/25)*Calculateur!DB96*Calculateur!DD96*VLOOKUP('Données projet'!$B$13,Paramètres!$A$1:$I$89,3,0)*0.475*44/12</f>
        <v>0</v>
      </c>
      <c r="DH96" s="21">
        <f>EXP(-LN(2)/2)*DH95+(1-EXP(-LN(2)/2))/(LN(2)/2)*DB96*DE96*VLOOKUP('Données projet'!$B$13,Paramètres!$A$1:$I$89,3,0)*0.475*44/12</f>
        <v>0</v>
      </c>
      <c r="DI96" s="22">
        <f t="shared" si="69"/>
        <v>117.94554982442662</v>
      </c>
      <c r="DJ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2">
        <f>'Scénario référence'!$B$16*5+'Scénario référence'!$B$17*0+'Scénario référence'!$B$18*5</f>
        <v>5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66">
        <f t="shared" si="56"/>
        <v>183.33333333333334</v>
      </c>
      <c r="I97" s="6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9.9470000000000027</v>
      </c>
      <c r="N97" s="13">
        <f>IF('Données projet'!$A$36&gt;35,N96+M97-V96,IF(A97&lt;'Données projet'!$A$36,$K$205^A97,IF(A97='Données projet'!$A$36,'Données projet'!$B$36,N96+M97-V96)))</f>
        <v>415.06500000000011</v>
      </c>
      <c r="O97" s="13">
        <f>N97*VLOOKUP('Données projet'!$B$9,Paramètres!$A$1:$I$89,3,0)*VLOOKUP('Données projet'!$B$9,Paramètres!$A$1:$I$89,5,0)</f>
        <v>375.55081200000006</v>
      </c>
      <c r="P97" s="13">
        <f t="shared" si="87"/>
        <v>86.801920262883286</v>
      </c>
      <c r="Q97" s="20">
        <f t="shared" si="54"/>
        <v>805.26434202452174</v>
      </c>
      <c r="R97" s="59">
        <f t="shared" si="55"/>
        <v>1080.9048571017602</v>
      </c>
      <c r="S97" s="59">
        <f ca="1">AVERAGE(OFFSET($R$3,0,0,'Données projet'!$E$9+1,1))-AVERAGE(OFFSET($H$3,0,0,'Données projet'!$E$9+1,1))</f>
        <v>567.42635821507474</v>
      </c>
      <c r="T97" s="59">
        <f t="shared" si="88"/>
        <v>299.04735309930152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109.94585496490146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109.94585496490146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7.6</v>
      </c>
      <c r="AI97" s="13">
        <f>IF('Données projet'!$A$62&gt;35,AI96+AH97-AQ96,IF(A97&lt;'Données projet'!$A$62,$AF$205^A97,IF(A97='Données projet'!$A$62,'Données projet'!$B$62,AI96+AH97-AQ96)))</f>
        <v>381.39999999999992</v>
      </c>
      <c r="AJ97" s="13">
        <f>AI97*VLOOKUP('Données projet'!$B$10,Paramètres!$A$1:$I$89,3,0)*VLOOKUP('Données projet'!$B$10,Paramètres!$A$1:$I$89,5,0)</f>
        <v>327.24119999999999</v>
      </c>
      <c r="AK97" s="13">
        <f t="shared" si="89"/>
        <v>76.85805838290122</v>
      </c>
      <c r="AL97" s="20">
        <f t="shared" si="58"/>
        <v>703.80620835021955</v>
      </c>
      <c r="AM97" s="59">
        <f t="shared" si="59"/>
        <v>979.44672342745798</v>
      </c>
      <c r="AN97" s="59">
        <f ca="1">AVERAGE(OFFSET($AM$3,0,0,'Données projet'!$E$10+1,1))-AVERAGE(OFFSET($H$3,0,0,'Données projet'!$E$10+1,1))</f>
        <v>481.23392184981651</v>
      </c>
      <c r="AO97" s="59">
        <f t="shared" si="90"/>
        <v>275.88160405468193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94.546657848214906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94.546657848214906</v>
      </c>
      <c r="AY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328.00000000000006</v>
      </c>
      <c r="BE97" s="13">
        <f>BD97*VLOOKUP('Données projet'!$B$11,Paramètres!$A$1:$I$89,3,0)*VLOOKUP('Données projet'!$B$11,Paramètres!$A$1:$I$89,5,0)</f>
        <v>255.84000000000006</v>
      </c>
      <c r="BF97" s="13">
        <f t="shared" si="91"/>
        <v>61.834803371075836</v>
      </c>
      <c r="BG97" s="20">
        <f t="shared" si="61"/>
        <v>553.28361587129041</v>
      </c>
      <c r="BH97" s="59">
        <f t="shared" si="62"/>
        <v>828.92413094852895</v>
      </c>
      <c r="BI97" s="59">
        <f ca="1">AVERAGE(OFFSET($BH$3,0,0,'Données projet'!$E$11+1,1))-AVERAGE(OFFSET($H$3,0,0,'Données projet'!$E$11+1,1))</f>
        <v>308.85018589589453</v>
      </c>
      <c r="BJ97" s="59">
        <f t="shared" si="92"/>
        <v>302.59481222418219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30.707074278298737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30.707074278298737</v>
      </c>
      <c r="BT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9.9470000000000027</v>
      </c>
      <c r="BY97" s="12">
        <f>IF('Données projet'!$A$114&gt;35,BY96+BX97-CG96,IF(A97&lt;'Données projet'!$A$114,$BV$205^A97,IF(A97='Données projet'!$A$114,'Données projet'!$B$114,BY96+BX97-CG96)))</f>
        <v>415.06500000000011</v>
      </c>
      <c r="BZ97" s="13">
        <f>BY97*VLOOKUP('Données projet'!$B$12,Paramètres!$A$1:$I$89,3,0)*VLOOKUP('Données projet'!$B$12,Paramètres!$A$1:$I$89,5,0)</f>
        <v>401.45086800000013</v>
      </c>
      <c r="CA97" s="13">
        <f t="shared" si="93"/>
        <v>92.070744432522162</v>
      </c>
      <c r="CB97" s="20">
        <f t="shared" si="64"/>
        <v>859.55014165330965</v>
      </c>
      <c r="CC97" s="59">
        <f t="shared" si="65"/>
        <v>1135.1906567305482</v>
      </c>
      <c r="CD97" s="59">
        <f ca="1">AVERAGE(OFFSET($CC$3,0,0,'Données projet'!$E$12+1,1))-AVERAGE(OFFSET($H$3,0,0,'Données projet'!$E$12+1,1))</f>
        <v>600.96600099724276</v>
      </c>
      <c r="CE97" s="59">
        <f t="shared" si="94"/>
        <v>315.40159260706264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117.52832772110158</v>
      </c>
      <c r="CL97" s="21">
        <f>EXP(-LN(2)/25)*CL96+(1-EXP(-LN(2)/25))/(LN(2)/25)*Calculateur!CG97*Calculateur!CI97*VLOOKUP('Données projet'!$B$12,Paramètres!$A$1:$I$89,3,0)*0.475*44/12</f>
        <v>0</v>
      </c>
      <c r="CM97" s="21">
        <f>EXP(-LN(2)/2)*CM96+(1-EXP(-LN(2)/2))/(LN(2)/2)*CG97*CJ97*VLOOKUP('Données projet'!$B$12,Paramètres!$A$1:$I$89,3,0)*0.475*44/12</f>
        <v>0</v>
      </c>
      <c r="CN97" s="22">
        <f t="shared" si="66"/>
        <v>117.52832772110158</v>
      </c>
      <c r="CO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9.9470000000000027</v>
      </c>
      <c r="CT97" s="12">
        <f>IF('Données projet'!$A$140&gt;35,CT96+CS97-DB96,IF(A97&lt;'Données projet'!$A$140,$CQ$205^A97,IF(A97='Données projet'!$A$140,'Données projet'!$B$140,CT96+CS97-DB96)))</f>
        <v>415.06500000000011</v>
      </c>
      <c r="CU97" s="17">
        <f>CT97*VLOOKUP('Données projet'!$B$13,Paramètres!$A$1:$I$89,3,0)*VLOOKUP('Données projet'!$B$13,Paramètres!$A$1:$I$89,5,0)</f>
        <v>394.97585400000008</v>
      </c>
      <c r="CV97" s="13">
        <f t="shared" si="95"/>
        <v>90.757348632264282</v>
      </c>
      <c r="CW97" s="20">
        <f t="shared" si="67"/>
        <v>845.98532791786045</v>
      </c>
      <c r="CX97" s="59">
        <f t="shared" si="68"/>
        <v>1121.625842995099</v>
      </c>
      <c r="CY97" s="59">
        <f ca="1">AVERAGE(OFFSET($CX$3,0,0,'Données projet'!$E$13+1,1))-AVERAGE(OFFSET($H$3,0,0,'Données projet'!$E$13+1,1))</f>
        <v>592.58528889137358</v>
      </c>
      <c r="CZ97" s="59">
        <f t="shared" si="96"/>
        <v>311.31528020403709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115.63270953205155</v>
      </c>
      <c r="DG97" s="21">
        <f>EXP(-LN(2)/25)*DG96+(1-EXP(-LN(2)/25))/(LN(2)/25)*Calculateur!DB97*Calculateur!DD97*VLOOKUP('Données projet'!$B$13,Paramètres!$A$1:$I$89,3,0)*0.475*44/12</f>
        <v>0</v>
      </c>
      <c r="DH97" s="21">
        <f>EXP(-LN(2)/2)*DH96+(1-EXP(-LN(2)/2))/(LN(2)/2)*DB97*DE97*VLOOKUP('Données projet'!$B$13,Paramètres!$A$1:$I$89,3,0)*0.475*44/12</f>
        <v>0</v>
      </c>
      <c r="DI97" s="22">
        <f t="shared" si="69"/>
        <v>115.63270953205155</v>
      </c>
      <c r="DJ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2">
        <f>'Scénario référence'!$B$16*5+'Scénario référence'!$B$17*0+'Scénario référence'!$B$18*5</f>
        <v>5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66">
        <f t="shared" si="56"/>
        <v>183.33333333333334</v>
      </c>
      <c r="I98" s="6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9.9470000000000027</v>
      </c>
      <c r="N98" s="13">
        <f>IF('Données projet'!$A$36&gt;35,N97+M98-V97,IF(A98&lt;'Données projet'!$A$36,$K$205^A98,IF(A98='Données projet'!$A$36,'Données projet'!$B$36,N97+M98-V97)))</f>
        <v>425.01200000000011</v>
      </c>
      <c r="O98" s="13">
        <f>N98*VLOOKUP('Données projet'!$B$9,Paramètres!$A$1:$I$89,3,0)*VLOOKUP('Données projet'!$B$9,Paramètres!$A$1:$I$89,5,0)</f>
        <v>384.55085760000009</v>
      </c>
      <c r="P98" s="13">
        <f t="shared" si="87"/>
        <v>88.637444941196293</v>
      </c>
      <c r="Q98" s="20">
        <f t="shared" si="54"/>
        <v>824.13629359258357</v>
      </c>
      <c r="R98" s="59">
        <f t="shared" si="55"/>
        <v>1100.0837395113494</v>
      </c>
      <c r="S98" s="59">
        <f ca="1">AVERAGE(OFFSET($R$3,0,0,'Données projet'!$E$9+1,1))-AVERAGE(OFFSET($H$3,0,0,'Données projet'!$E$9+1,1))</f>
        <v>567.42635821507474</v>
      </c>
      <c r="T98" s="59">
        <f t="shared" si="88"/>
        <v>299.04735309930152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107.78988380938961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107.78988380938961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>
        <f>VLOOKUP(A98,'Données projet'!$A$61:$I$81,2,0)</f>
        <v>389</v>
      </c>
      <c r="AG98" s="12">
        <f>VLOOKUP(A98,'Données projet'!$A$61:$I$81,9,0)</f>
        <v>7.6</v>
      </c>
      <c r="AH98" s="12">
        <f t="array" ref="AH98">INDEX(AG:AG,MIN(IF(ISNUMBER(AG98:AG294),ROW(AG98:AG294),"")))</f>
        <v>7.6</v>
      </c>
      <c r="AI98" s="13">
        <f>IF('Données projet'!$A$62&gt;35,AI97+AH98-AQ97,IF(A98&lt;'Données projet'!$A$62,$AF$205^A98,IF(A98='Données projet'!$A$62,'Données projet'!$B$62,AI97+AH98-AQ97)))</f>
        <v>388.99999999999994</v>
      </c>
      <c r="AJ98" s="13">
        <f>AI98*VLOOKUP('Données projet'!$B$10,Paramètres!$A$1:$I$89,3,0)*VLOOKUP('Données projet'!$B$10,Paramètres!$A$1:$I$89,5,0)</f>
        <v>333.762</v>
      </c>
      <c r="AK98" s="13">
        <f t="shared" si="89"/>
        <v>78.209750448453065</v>
      </c>
      <c r="AL98" s="20">
        <f t="shared" si="58"/>
        <v>717.51746536438895</v>
      </c>
      <c r="AM98" s="59">
        <f t="shared" si="59"/>
        <v>993.46491128315483</v>
      </c>
      <c r="AN98" s="59">
        <f ca="1">AVERAGE(OFFSET($AM$3,0,0,'Données projet'!$E$10+1,1))-AVERAGE(OFFSET($H$3,0,0,'Données projet'!$E$10+1,1))</f>
        <v>481.23392184981651</v>
      </c>
      <c r="AO98" s="59">
        <f t="shared" si="90"/>
        <v>275.88160405468193</v>
      </c>
      <c r="AP98" s="15">
        <f>IF(ISNA(VLOOKUP(A98,'Données projet'!$A$61:$I$81,3,0)),0,VLOOKUP(A98,'Données projet'!$A$61:$I$81,3,0))</f>
        <v>15</v>
      </c>
      <c r="AQ98" s="15">
        <f>IF(ISNA(VLOOKUP(A98,'Données projet'!$A$61:$I$81,4,0)),0,VLOOKUP(A98,'Données projet'!$A$61:$I$81,4,0))</f>
        <v>25</v>
      </c>
      <c r="AR98" s="16">
        <f>IF(ISNA(VLOOKUP(A98,'Données projet'!$A$61:$I$81,5,0)),0%,VLOOKUP(A98,'Données projet'!$A$61:$I$81,5,0)*VLOOKUP('Données projet'!$B$10,Paramètres!$A$1:$I$89,7,0))</f>
        <v>0.53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105.26019556529883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105.26019556529883</v>
      </c>
      <c r="AY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328.00000000000006</v>
      </c>
      <c r="BE98" s="13">
        <f>BD98*VLOOKUP('Données projet'!$B$11,Paramètres!$A$1:$I$89,3,0)*VLOOKUP('Données projet'!$B$11,Paramètres!$A$1:$I$89,5,0)</f>
        <v>255.84000000000006</v>
      </c>
      <c r="BF98" s="13">
        <f t="shared" si="91"/>
        <v>61.834803371075836</v>
      </c>
      <c r="BG98" s="20">
        <f t="shared" si="61"/>
        <v>553.28361587129041</v>
      </c>
      <c r="BH98" s="59">
        <f t="shared" si="62"/>
        <v>829.2310617900564</v>
      </c>
      <c r="BI98" s="59">
        <f ca="1">AVERAGE(OFFSET($BH$3,0,0,'Données projet'!$E$11+1,1))-AVERAGE(OFFSET($H$3,0,0,'Données projet'!$E$11+1,1))</f>
        <v>308.85018589589453</v>
      </c>
      <c r="BJ98" s="59">
        <f t="shared" si="92"/>
        <v>302.59481222418219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30.104927281167228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30.104927281167228</v>
      </c>
      <c r="BT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9.9470000000000027</v>
      </c>
      <c r="BY98" s="12">
        <f>IF('Données projet'!$A$114&gt;35,BY97+BX98-CG97,IF(A98&lt;'Données projet'!$A$114,$BV$205^A98,IF(A98='Données projet'!$A$114,'Données projet'!$B$114,BY97+BX98-CG97)))</f>
        <v>425.01200000000011</v>
      </c>
      <c r="BZ98" s="13">
        <f>BY98*VLOOKUP('Données projet'!$B$12,Paramètres!$A$1:$I$89,3,0)*VLOOKUP('Données projet'!$B$12,Paramètres!$A$1:$I$89,5,0)</f>
        <v>411.07160640000018</v>
      </c>
      <c r="CA98" s="13">
        <f t="shared" si="93"/>
        <v>94.017684350956372</v>
      </c>
      <c r="CB98" s="20">
        <f t="shared" si="64"/>
        <v>879.69718139124927</v>
      </c>
      <c r="CC98" s="59">
        <f t="shared" si="65"/>
        <v>1155.6446273100153</v>
      </c>
      <c r="CD98" s="59">
        <f ca="1">AVERAGE(OFFSET($CC$3,0,0,'Données projet'!$E$12+1,1))-AVERAGE(OFFSET($H$3,0,0,'Données projet'!$E$12+1,1))</f>
        <v>600.96600099724276</v>
      </c>
      <c r="CE98" s="59">
        <f t="shared" si="94"/>
        <v>315.40159260706264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115.22366889969236</v>
      </c>
      <c r="CL98" s="21">
        <f>EXP(-LN(2)/25)*CL97+(1-EXP(-LN(2)/25))/(LN(2)/25)*Calculateur!CG98*Calculateur!CI98*VLOOKUP('Données projet'!$B$12,Paramètres!$A$1:$I$89,3,0)*0.475*44/12</f>
        <v>0</v>
      </c>
      <c r="CM98" s="21">
        <f>EXP(-LN(2)/2)*CM97+(1-EXP(-LN(2)/2))/(LN(2)/2)*CG98*CJ98*VLOOKUP('Données projet'!$B$12,Paramètres!$A$1:$I$89,3,0)*0.475*44/12</f>
        <v>0</v>
      </c>
      <c r="CN98" s="22">
        <f t="shared" si="66"/>
        <v>115.22366889969236</v>
      </c>
      <c r="CO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9.9470000000000027</v>
      </c>
      <c r="CT98" s="12">
        <f>IF('Données projet'!$A$140&gt;35,CT97+CS98-DB97,IF(A98&lt;'Données projet'!$A$140,$CQ$205^A98,IF(A98='Données projet'!$A$140,'Données projet'!$B$140,CT97+CS98-DB97)))</f>
        <v>425.01200000000011</v>
      </c>
      <c r="CU98" s="17">
        <f>CT98*VLOOKUP('Données projet'!$B$13,Paramètres!$A$1:$I$89,3,0)*VLOOKUP('Données projet'!$B$13,Paramètres!$A$1:$I$89,5,0)</f>
        <v>404.4414192000001</v>
      </c>
      <c r="CV98" s="13">
        <f t="shared" si="95"/>
        <v>92.676515312543557</v>
      </c>
      <c r="CW98" s="20">
        <f t="shared" si="67"/>
        <v>865.81373594268018</v>
      </c>
      <c r="CX98" s="59">
        <f t="shared" si="68"/>
        <v>1141.7611818614462</v>
      </c>
      <c r="CY98" s="59">
        <f ca="1">AVERAGE(OFFSET($CX$3,0,0,'Données projet'!$E$13+1,1))-AVERAGE(OFFSET($H$3,0,0,'Données projet'!$E$13+1,1))</f>
        <v>592.58528889137358</v>
      </c>
      <c r="CZ98" s="59">
        <f t="shared" si="96"/>
        <v>311.31528020403709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113.36522262711668</v>
      </c>
      <c r="DG98" s="21">
        <f>EXP(-LN(2)/25)*DG97+(1-EXP(-LN(2)/25))/(LN(2)/25)*Calculateur!DB98*Calculateur!DD98*VLOOKUP('Données projet'!$B$13,Paramètres!$A$1:$I$89,3,0)*0.475*44/12</f>
        <v>0</v>
      </c>
      <c r="DH98" s="21">
        <f>EXP(-LN(2)/2)*DH97+(1-EXP(-LN(2)/2))/(LN(2)/2)*DB98*DE98*VLOOKUP('Données projet'!$B$13,Paramètres!$A$1:$I$89,3,0)*0.475*44/12</f>
        <v>0</v>
      </c>
      <c r="DI98" s="22">
        <f t="shared" si="69"/>
        <v>113.36522262711668</v>
      </c>
      <c r="DJ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2">
        <f>'Scénario référence'!$B$16*5+'Scénario référence'!$B$17*0+'Scénario référence'!$B$18*5</f>
        <v>5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66">
        <f t="shared" si="56"/>
        <v>183.33333333333334</v>
      </c>
      <c r="I99" s="6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9.9470000000000027</v>
      </c>
      <c r="N99" s="13">
        <f>IF('Données projet'!$A$36&gt;35,N98+M99-V98,IF(A99&lt;'Données projet'!$A$36,$K$205^A99,IF(A99='Données projet'!$A$36,'Données projet'!$B$36,N98+M99-V98)))</f>
        <v>434.95900000000012</v>
      </c>
      <c r="O99" s="13">
        <f>N99*VLOOKUP('Données projet'!$B$9,Paramètres!$A$1:$I$89,3,0)*VLOOKUP('Données projet'!$B$9,Paramètres!$A$1:$I$89,5,0)</f>
        <v>393.55090320000011</v>
      </c>
      <c r="P99" s="13">
        <f t="shared" si="87"/>
        <v>90.467975549637174</v>
      </c>
      <c r="Q99" s="20">
        <f t="shared" ref="Q99:Q130" si="107">(O99+P99)*0.475*44/12</f>
        <v>842.99954715561819</v>
      </c>
      <c r="R99" s="59">
        <f t="shared" si="55"/>
        <v>1119.2485993520056</v>
      </c>
      <c r="S99" s="59">
        <f ca="1">AVERAGE(OFFSET($R$3,0,0,'Données projet'!$E$9+1,1))-AVERAGE(OFFSET($H$3,0,0,'Données projet'!$E$9+1,1))</f>
        <v>567.42635821507474</v>
      </c>
      <c r="T99" s="59">
        <f t="shared" si="88"/>
        <v>299.04735309930152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105.67618993322479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105.67618993322479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7.2</v>
      </c>
      <c r="AI99" s="13">
        <f>IF('Données projet'!$A$62&gt;35,AI98+AH99-AQ98,IF(A99&lt;'Données projet'!$A$62,$AF$205^A99,IF(A99='Données projet'!$A$62,'Données projet'!$B$62,AI98+AH99-AQ98)))</f>
        <v>371.19999999999993</v>
      </c>
      <c r="AJ99" s="13">
        <f>AI99*VLOOKUP('Données projet'!$B$10,Paramètres!$A$1:$I$89,3,0)*VLOOKUP('Données projet'!$B$10,Paramètres!$A$1:$I$89,5,0)</f>
        <v>318.48959999999994</v>
      </c>
      <c r="AK99" s="13">
        <f t="shared" si="89"/>
        <v>75.038999086150227</v>
      </c>
      <c r="AL99" s="20">
        <f t="shared" si="58"/>
        <v>685.39564340837808</v>
      </c>
      <c r="AM99" s="59">
        <f t="shared" si="59"/>
        <v>961.6446956047655</v>
      </c>
      <c r="AN99" s="59">
        <f ca="1">AVERAGE(OFFSET($AM$3,0,0,'Données projet'!$E$10+1,1))-AVERAGE(OFFSET($H$3,0,0,'Données projet'!$E$10+1,1))</f>
        <v>481.23392184981651</v>
      </c>
      <c r="AO99" s="59">
        <f t="shared" si="90"/>
        <v>275.88160405468193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103.19610733264315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103.19610733264315</v>
      </c>
      <c r="AY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328.00000000000006</v>
      </c>
      <c r="BE99" s="13">
        <f>BD99*VLOOKUP('Données projet'!$B$11,Paramètres!$A$1:$I$89,3,0)*VLOOKUP('Données projet'!$B$11,Paramètres!$A$1:$I$89,5,0)</f>
        <v>255.84000000000006</v>
      </c>
      <c r="BF99" s="13">
        <f t="shared" si="91"/>
        <v>61.834803371075836</v>
      </c>
      <c r="BG99" s="20">
        <f t="shared" si="61"/>
        <v>553.28361587129041</v>
      </c>
      <c r="BH99" s="59">
        <f t="shared" si="62"/>
        <v>829.53266806767783</v>
      </c>
      <c r="BI99" s="59">
        <f ca="1">AVERAGE(OFFSET($BH$3,0,0,'Données projet'!$E$11+1,1))-AVERAGE(OFFSET($H$3,0,0,'Données projet'!$E$11+1,1))</f>
        <v>308.85018589589453</v>
      </c>
      <c r="BJ99" s="59">
        <f t="shared" si="92"/>
        <v>302.59481222418219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29.514588019376063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29.514588019376063</v>
      </c>
      <c r="BT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9.9470000000000027</v>
      </c>
      <c r="BY99" s="12">
        <f>IF('Données projet'!$A$114&gt;35,BY98+BX99-CG98,IF(A99&lt;'Données projet'!$A$114,$BV$205^A99,IF(A99='Données projet'!$A$114,'Données projet'!$B$114,BY98+BX99-CG98)))</f>
        <v>434.95900000000012</v>
      </c>
      <c r="BZ99" s="13">
        <f>BY99*VLOOKUP('Données projet'!$B$12,Paramètres!$A$1:$I$89,3,0)*VLOOKUP('Données projet'!$B$12,Paramètres!$A$1:$I$89,5,0)</f>
        <v>420.69234480000011</v>
      </c>
      <c r="CA99" s="13">
        <f t="shared" si="93"/>
        <v>95.959327062491468</v>
      </c>
      <c r="CB99" s="20">
        <f t="shared" si="64"/>
        <v>899.83499516050631</v>
      </c>
      <c r="CC99" s="59">
        <f t="shared" si="65"/>
        <v>1176.0840473568937</v>
      </c>
      <c r="CD99" s="59">
        <f ca="1">AVERAGE(OFFSET($CC$3,0,0,'Données projet'!$E$12+1,1))-AVERAGE(OFFSET($H$3,0,0,'Données projet'!$E$12+1,1))</f>
        <v>600.96600099724276</v>
      </c>
      <c r="CE99" s="59">
        <f t="shared" si="94"/>
        <v>315.40159260706264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112.9642030320679</v>
      </c>
      <c r="CL99" s="21">
        <f>EXP(-LN(2)/25)*CL98+(1-EXP(-LN(2)/25))/(LN(2)/25)*Calculateur!CG99*Calculateur!CI99*VLOOKUP('Données projet'!$B$12,Paramètres!$A$1:$I$89,3,0)*0.475*44/12</f>
        <v>0</v>
      </c>
      <c r="CM99" s="21">
        <f>EXP(-LN(2)/2)*CM98+(1-EXP(-LN(2)/2))/(LN(2)/2)*CG99*CJ99*VLOOKUP('Données projet'!$B$12,Paramètres!$A$1:$I$89,3,0)*0.475*44/12</f>
        <v>0</v>
      </c>
      <c r="CN99" s="22">
        <f t="shared" si="66"/>
        <v>112.9642030320679</v>
      </c>
      <c r="CO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9.9470000000000027</v>
      </c>
      <c r="CT99" s="12">
        <f>IF('Données projet'!$A$140&gt;35,CT98+CS99-DB98,IF(A99&lt;'Données projet'!$A$140,$CQ$205^A99,IF(A99='Données projet'!$A$140,'Données projet'!$B$140,CT98+CS99-DB98)))</f>
        <v>434.95900000000012</v>
      </c>
      <c r="CU99" s="17">
        <f>CT99*VLOOKUP('Données projet'!$B$13,Paramètres!$A$1:$I$89,3,0)*VLOOKUP('Données projet'!$B$13,Paramètres!$A$1:$I$89,5,0)</f>
        <v>413.90698440000011</v>
      </c>
      <c r="CV99" s="13">
        <f t="shared" si="95"/>
        <v>94.590460350961564</v>
      </c>
      <c r="CW99" s="20">
        <f t="shared" si="67"/>
        <v>885.63304960792482</v>
      </c>
      <c r="CX99" s="59">
        <f t="shared" si="68"/>
        <v>1161.8821018043122</v>
      </c>
      <c r="CY99" s="59">
        <f ca="1">AVERAGE(OFFSET($CX$3,0,0,'Données projet'!$E$13+1,1))-AVERAGE(OFFSET($H$3,0,0,'Données projet'!$E$13+1,1))</f>
        <v>592.58528889137358</v>
      </c>
      <c r="CZ99" s="59">
        <f t="shared" si="96"/>
        <v>311.31528020403709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111.14219975735713</v>
      </c>
      <c r="DG99" s="21">
        <f>EXP(-LN(2)/25)*DG98+(1-EXP(-LN(2)/25))/(LN(2)/25)*Calculateur!DB99*Calculateur!DD99*VLOOKUP('Données projet'!$B$13,Paramètres!$A$1:$I$89,3,0)*0.475*44/12</f>
        <v>0</v>
      </c>
      <c r="DH99" s="21">
        <f>EXP(-LN(2)/2)*DH98+(1-EXP(-LN(2)/2))/(LN(2)/2)*DB99*DE99*VLOOKUP('Données projet'!$B$13,Paramètres!$A$1:$I$89,3,0)*0.475*44/12</f>
        <v>0</v>
      </c>
      <c r="DI99" s="22">
        <f t="shared" si="69"/>
        <v>111.14219975735713</v>
      </c>
      <c r="DJ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2">
        <f>'Scénario référence'!$B$16*5+'Scénario référence'!$B$17*0+'Scénario référence'!$B$18*5</f>
        <v>5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66">
        <f t="shared" si="56"/>
        <v>183.33333333333334</v>
      </c>
      <c r="I100" s="6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9.9470000000000027</v>
      </c>
      <c r="N100" s="13">
        <f>IF('Données projet'!$A$36&gt;35,N99+M100-V99,IF(A100&lt;'Données projet'!$A$36,$K$205^A100,IF(A100='Données projet'!$A$36,'Données projet'!$B$36,N99+M100-V99)))</f>
        <v>444.90600000000012</v>
      </c>
      <c r="O100" s="13">
        <f>N100*VLOOKUP('Données projet'!$B$9,Paramètres!$A$1:$I$89,3,0)*VLOOKUP('Données projet'!$B$9,Paramètres!$A$1:$I$89,5,0)</f>
        <v>402.55094880000007</v>
      </c>
      <c r="P100" s="13">
        <f t="shared" si="87"/>
        <v>92.293639443453927</v>
      </c>
      <c r="Q100" s="20">
        <f t="shared" si="107"/>
        <v>861.85432452401562</v>
      </c>
      <c r="R100" s="59">
        <f t="shared" si="55"/>
        <v>1138.3997508033985</v>
      </c>
      <c r="S100" s="59">
        <f ca="1">AVERAGE(OFFSET($R$3,0,0,'Données projet'!$E$9+1,1))-AVERAGE(OFFSET($H$3,0,0,'Données projet'!$E$9+1,1))</f>
        <v>567.42635821507474</v>
      </c>
      <c r="T100" s="59">
        <f t="shared" si="88"/>
        <v>299.04735309930152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103.6039443047456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103.6039443047456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7.2</v>
      </c>
      <c r="AI100" s="13">
        <f>IF('Données projet'!$A$62&gt;35,AI99+AH100-AQ99,IF(A100&lt;'Données projet'!$A$62,$AF$205^A100,IF(A100='Données projet'!$A$62,'Données projet'!$B$62,AI99+AH100-AQ99)))</f>
        <v>378.39999999999992</v>
      </c>
      <c r="AJ100" s="13">
        <f>AI100*VLOOKUP('Données projet'!$B$10,Paramètres!$A$1:$I$89,3,0)*VLOOKUP('Données projet'!$B$10,Paramètres!$A$1:$I$89,5,0)</f>
        <v>324.66719999999998</v>
      </c>
      <c r="AK100" s="13">
        <f t="shared" si="89"/>
        <v>76.323635512638404</v>
      </c>
      <c r="AL100" s="20">
        <f t="shared" si="58"/>
        <v>698.39237185117838</v>
      </c>
      <c r="AM100" s="59">
        <f t="shared" si="59"/>
        <v>974.93779813056119</v>
      </c>
      <c r="AN100" s="59">
        <f ca="1">AVERAGE(OFFSET($AM$3,0,0,'Données projet'!$E$10+1,1))-AVERAGE(OFFSET($H$3,0,0,'Données projet'!$E$10+1,1))</f>
        <v>481.23392184981651</v>
      </c>
      <c r="AO100" s="59">
        <f t="shared" si="90"/>
        <v>275.88160405468193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101.17249461126035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101.17249461126035</v>
      </c>
      <c r="AY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328.00000000000006</v>
      </c>
      <c r="BE100" s="13">
        <f>BD100*VLOOKUP('Données projet'!$B$11,Paramètres!$A$1:$I$89,3,0)*VLOOKUP('Données projet'!$B$11,Paramètres!$A$1:$I$89,5,0)</f>
        <v>255.84000000000006</v>
      </c>
      <c r="BF100" s="13">
        <f t="shared" si="91"/>
        <v>61.834803371075836</v>
      </c>
      <c r="BG100" s="20">
        <f t="shared" si="61"/>
        <v>553.28361587129041</v>
      </c>
      <c r="BH100" s="59">
        <f t="shared" si="62"/>
        <v>829.82904215067322</v>
      </c>
      <c r="BI100" s="59">
        <f ca="1">AVERAGE(OFFSET($BH$3,0,0,'Données projet'!$E$11+1,1))-AVERAGE(OFFSET($H$3,0,0,'Données projet'!$E$11+1,1))</f>
        <v>308.85018589589453</v>
      </c>
      <c r="BJ100" s="59">
        <f t="shared" si="92"/>
        <v>302.59481222418219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28.93582495043723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28.93582495043723</v>
      </c>
      <c r="BT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9.9470000000000027</v>
      </c>
      <c r="BY100" s="12">
        <f>IF('Données projet'!$A$114&gt;35,BY99+BX100-CG99,IF(A100&lt;'Données projet'!$A$114,$BV$205^A100,IF(A100='Données projet'!$A$114,'Données projet'!$B$114,BY99+BX100-CG99)))</f>
        <v>444.90600000000012</v>
      </c>
      <c r="BZ100" s="13">
        <f>BY100*VLOOKUP('Données projet'!$B$12,Paramètres!$A$1:$I$89,3,0)*VLOOKUP('Données projet'!$B$12,Paramètres!$A$1:$I$89,5,0)</f>
        <v>430.31308320000011</v>
      </c>
      <c r="CA100" s="13">
        <f t="shared" si="93"/>
        <v>97.895807652761931</v>
      </c>
      <c r="CB100" s="20">
        <f t="shared" si="64"/>
        <v>919.96381823522722</v>
      </c>
      <c r="CC100" s="59">
        <f t="shared" si="65"/>
        <v>1196.5092445146101</v>
      </c>
      <c r="CD100" s="59">
        <f ca="1">AVERAGE(OFFSET($CC$3,0,0,'Données projet'!$E$12+1,1))-AVERAGE(OFFSET($H$3,0,0,'Données projet'!$E$12+1,1))</f>
        <v>600.96600099724276</v>
      </c>
      <c r="CE100" s="59">
        <f t="shared" si="94"/>
        <v>315.40159260706264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110.74904391196945</v>
      </c>
      <c r="CL100" s="21">
        <f>EXP(-LN(2)/25)*CL99+(1-EXP(-LN(2)/25))/(LN(2)/25)*Calculateur!CG100*Calculateur!CI100*VLOOKUP('Données projet'!$B$12,Paramètres!$A$1:$I$89,3,0)*0.475*44/12</f>
        <v>0</v>
      </c>
      <c r="CM100" s="21">
        <f>EXP(-LN(2)/2)*CM99+(1-EXP(-LN(2)/2))/(LN(2)/2)*CG100*CJ100*VLOOKUP('Données projet'!$B$12,Paramètres!$A$1:$I$89,3,0)*0.475*44/12</f>
        <v>0</v>
      </c>
      <c r="CN100" s="22">
        <f t="shared" si="66"/>
        <v>110.74904391196945</v>
      </c>
      <c r="CO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9.9470000000000027</v>
      </c>
      <c r="CT100" s="12">
        <f>IF('Données projet'!$A$140&gt;35,CT99+CS100-DB99,IF(A100&lt;'Données projet'!$A$140,$CQ$205^A100,IF(A100='Données projet'!$A$140,'Données projet'!$B$140,CT99+CS100-DB99)))</f>
        <v>444.90600000000012</v>
      </c>
      <c r="CU100" s="17">
        <f>CT100*VLOOKUP('Données projet'!$B$13,Paramètres!$A$1:$I$89,3,0)*VLOOKUP('Données projet'!$B$13,Paramètres!$A$1:$I$89,5,0)</f>
        <v>423.37254960000018</v>
      </c>
      <c r="CV100" s="13">
        <f t="shared" si="95"/>
        <v>96.499316906146717</v>
      </c>
      <c r="CW100" s="20">
        <f t="shared" si="67"/>
        <v>905.44350083153915</v>
      </c>
      <c r="CX100" s="59">
        <f t="shared" si="68"/>
        <v>1181.9889271109218</v>
      </c>
      <c r="CY100" s="59">
        <f ca="1">AVERAGE(OFFSET($CX$3,0,0,'Données projet'!$E$13+1,1))-AVERAGE(OFFSET($H$3,0,0,'Données projet'!$E$13+1,1))</f>
        <v>592.58528889137358</v>
      </c>
      <c r="CZ100" s="59">
        <f t="shared" si="96"/>
        <v>311.31528020403709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108.9627690101635</v>
      </c>
      <c r="DG100" s="21">
        <f>EXP(-LN(2)/25)*DG99+(1-EXP(-LN(2)/25))/(LN(2)/25)*Calculateur!DB100*Calculateur!DD100*VLOOKUP('Données projet'!$B$13,Paramètres!$A$1:$I$89,3,0)*0.475*44/12</f>
        <v>0</v>
      </c>
      <c r="DH100" s="21">
        <f>EXP(-LN(2)/2)*DH99+(1-EXP(-LN(2)/2))/(LN(2)/2)*DB100*DE100*VLOOKUP('Données projet'!$B$13,Paramètres!$A$1:$I$89,3,0)*0.475*44/12</f>
        <v>0</v>
      </c>
      <c r="DI100" s="22">
        <f t="shared" si="69"/>
        <v>108.9627690101635</v>
      </c>
      <c r="DJ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2">
        <f>'Scénario référence'!$B$16*5+'Scénario référence'!$B$17*0+'Scénario référence'!$B$18*5</f>
        <v>5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66">
        <f t="shared" si="56"/>
        <v>183.33333333333334</v>
      </c>
      <c r="I101" s="6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9.9470000000000027</v>
      </c>
      <c r="N101" s="13">
        <f>IF('Données projet'!$A$36&gt;35,N100+M101-V100,IF(A101&lt;'Données projet'!$A$36,$K$205^A101,IF(A101='Données projet'!$A$36,'Données projet'!$B$36,N100+M101-V100)))</f>
        <v>454.85300000000012</v>
      </c>
      <c r="O101" s="13">
        <f>N101*VLOOKUP('Données projet'!$B$9,Paramètres!$A$1:$I$89,3,0)*VLOOKUP('Données projet'!$B$9,Paramètres!$A$1:$I$89,5,0)</f>
        <v>411.55099440000004</v>
      </c>
      <c r="P101" s="13">
        <f t="shared" si="87"/>
        <v>94.11455795809178</v>
      </c>
      <c r="Q101" s="20">
        <f t="shared" si="107"/>
        <v>880.70083702367663</v>
      </c>
      <c r="R101" s="59">
        <f t="shared" si="55"/>
        <v>1157.537495958308</v>
      </c>
      <c r="S101" s="59">
        <f ca="1">AVERAGE(OFFSET($R$3,0,0,'Données projet'!$E$9+1,1))-AVERAGE(OFFSET($H$3,0,0,'Données projet'!$E$9+1,1))</f>
        <v>567.42635821507474</v>
      </c>
      <c r="T101" s="59">
        <f t="shared" si="88"/>
        <v>299.04735309930152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101.57233414909585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101.57233414909585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7.2</v>
      </c>
      <c r="AI101" s="13">
        <f>IF('Données projet'!$A$62&gt;35,AI100+AH101-AQ100,IF(A101&lt;'Données projet'!$A$62,$AF$205^A101,IF(A101='Données projet'!$A$62,'Données projet'!$B$62,AI100+AH101-AQ100)))</f>
        <v>385.59999999999991</v>
      </c>
      <c r="AJ101" s="13">
        <f>AI101*VLOOKUP('Données projet'!$B$10,Paramètres!$A$1:$I$89,3,0)*VLOOKUP('Données projet'!$B$10,Paramètres!$A$1:$I$89,5,0)</f>
        <v>330.84479999999996</v>
      </c>
      <c r="AK101" s="13">
        <f t="shared" si="89"/>
        <v>77.605429694617001</v>
      </c>
      <c r="AL101" s="20">
        <f t="shared" si="58"/>
        <v>711.38415005145782</v>
      </c>
      <c r="AM101" s="59">
        <f t="shared" si="59"/>
        <v>988.2208089860892</v>
      </c>
      <c r="AN101" s="59">
        <f ca="1">AVERAGE(OFFSET($AM$3,0,0,'Données projet'!$E$10+1,1))-AVERAGE(OFFSET($H$3,0,0,'Données projet'!$E$10+1,1))</f>
        <v>481.23392184981651</v>
      </c>
      <c r="AO101" s="59">
        <f t="shared" si="90"/>
        <v>275.88160405468193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99.18856370106198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99.18856370106198</v>
      </c>
      <c r="AY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328.00000000000006</v>
      </c>
      <c r="BE101" s="13">
        <f>BD101*VLOOKUP('Données projet'!$B$11,Paramètres!$A$1:$I$89,3,0)*VLOOKUP('Données projet'!$B$11,Paramètres!$A$1:$I$89,5,0)</f>
        <v>255.84000000000006</v>
      </c>
      <c r="BF101" s="13">
        <f t="shared" si="91"/>
        <v>61.834803371075836</v>
      </c>
      <c r="BG101" s="20">
        <f t="shared" si="61"/>
        <v>553.28361587129041</v>
      </c>
      <c r="BH101" s="59">
        <f t="shared" si="62"/>
        <v>830.12027480592178</v>
      </c>
      <c r="BI101" s="59">
        <f ca="1">AVERAGE(OFFSET($BH$3,0,0,'Données projet'!$E$11+1,1))-AVERAGE(OFFSET($H$3,0,0,'Données projet'!$E$11+1,1))</f>
        <v>308.85018589589453</v>
      </c>
      <c r="BJ101" s="59">
        <f t="shared" si="92"/>
        <v>302.59481222418219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28.368411072269669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28.368411072269669</v>
      </c>
      <c r="BT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9.9470000000000027</v>
      </c>
      <c r="BY101" s="12">
        <f>IF('Données projet'!$A$114&gt;35,BY100+BX101-CG100,IF(A101&lt;'Données projet'!$A$114,$BV$205^A101,IF(A101='Données projet'!$A$114,'Données projet'!$B$114,BY100+BX101-CG100)))</f>
        <v>454.85300000000012</v>
      </c>
      <c r="BZ101" s="13">
        <f>BY101*VLOOKUP('Données projet'!$B$12,Paramètres!$A$1:$I$89,3,0)*VLOOKUP('Données projet'!$B$12,Paramètres!$A$1:$I$89,5,0)</f>
        <v>439.93382160000016</v>
      </c>
      <c r="CA101" s="13">
        <f t="shared" si="93"/>
        <v>99.827254822201553</v>
      </c>
      <c r="CB101" s="20">
        <f t="shared" si="64"/>
        <v>940.08387476866801</v>
      </c>
      <c r="CC101" s="59">
        <f t="shared" si="65"/>
        <v>1216.9205337032995</v>
      </c>
      <c r="CD101" s="59">
        <f ca="1">AVERAGE(OFFSET($CC$3,0,0,'Données projet'!$E$12+1,1))-AVERAGE(OFFSET($H$3,0,0,'Données projet'!$E$12+1,1))</f>
        <v>600.96600099724276</v>
      </c>
      <c r="CE101" s="59">
        <f t="shared" si="94"/>
        <v>315.40159260706264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108.57732271110248</v>
      </c>
      <c r="CL101" s="21">
        <f>EXP(-LN(2)/25)*CL100+(1-EXP(-LN(2)/25))/(LN(2)/25)*Calculateur!CG101*Calculateur!CI101*VLOOKUP('Données projet'!$B$12,Paramètres!$A$1:$I$89,3,0)*0.475*44/12</f>
        <v>0</v>
      </c>
      <c r="CM101" s="21">
        <f>EXP(-LN(2)/2)*CM100+(1-EXP(-LN(2)/2))/(LN(2)/2)*CG101*CJ101*VLOOKUP('Données projet'!$B$12,Paramètres!$A$1:$I$89,3,0)*0.475*44/12</f>
        <v>0</v>
      </c>
      <c r="CN101" s="22">
        <f t="shared" si="66"/>
        <v>108.57732271110248</v>
      </c>
      <c r="CO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9.9470000000000027</v>
      </c>
      <c r="CT101" s="12">
        <f>IF('Données projet'!$A$140&gt;35,CT100+CS101-DB100,IF(A101&lt;'Données projet'!$A$140,$CQ$205^A101,IF(A101='Données projet'!$A$140,'Données projet'!$B$140,CT100+CS101-DB100)))</f>
        <v>454.85300000000012</v>
      </c>
      <c r="CU101" s="17">
        <f>CT101*VLOOKUP('Données projet'!$B$13,Paramètres!$A$1:$I$89,3,0)*VLOOKUP('Données projet'!$B$13,Paramètres!$A$1:$I$89,5,0)</f>
        <v>432.83811480000008</v>
      </c>
      <c r="CV101" s="13">
        <f t="shared" si="95"/>
        <v>98.403211842611611</v>
      </c>
      <c r="CW101" s="20">
        <f t="shared" si="67"/>
        <v>925.24531056921535</v>
      </c>
      <c r="CX101" s="59">
        <f t="shared" si="68"/>
        <v>1202.0819695038467</v>
      </c>
      <c r="CY101" s="59">
        <f ca="1">AVERAGE(OFFSET($CX$3,0,0,'Données projet'!$E$13+1,1))-AVERAGE(OFFSET($H$3,0,0,'Données projet'!$E$13+1,1))</f>
        <v>592.58528889137358</v>
      </c>
      <c r="CZ101" s="59">
        <f t="shared" si="96"/>
        <v>311.31528020403709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106.82607557060084</v>
      </c>
      <c r="DG101" s="21">
        <f>EXP(-LN(2)/25)*DG100+(1-EXP(-LN(2)/25))/(LN(2)/25)*Calculateur!DB101*Calculateur!DD101*VLOOKUP('Données projet'!$B$13,Paramètres!$A$1:$I$89,3,0)*0.475*44/12</f>
        <v>0</v>
      </c>
      <c r="DH101" s="21">
        <f>EXP(-LN(2)/2)*DH100+(1-EXP(-LN(2)/2))/(LN(2)/2)*DB101*DE101*VLOOKUP('Données projet'!$B$13,Paramètres!$A$1:$I$89,3,0)*0.475*44/12</f>
        <v>0</v>
      </c>
      <c r="DI101" s="22">
        <f t="shared" si="69"/>
        <v>106.82607557060084</v>
      </c>
      <c r="DJ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2">
        <f>'Scénario référence'!$B$16*5+'Scénario référence'!$B$17*0+'Scénario référence'!$B$18*5</f>
        <v>5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66">
        <f t="shared" si="56"/>
        <v>183.33333333333334</v>
      </c>
      <c r="I102" s="6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>
        <f>VLOOKUP(A102,'Données projet'!$A$35:$I$55,2,0)</f>
        <v>464.8</v>
      </c>
      <c r="L102" s="12">
        <f>VLOOKUP(A102,'Données projet'!$A$35:$I$55,9,0)</f>
        <v>9.9470000000000027</v>
      </c>
      <c r="M102" s="12">
        <f t="array" ref="M102">INDEX(L:L,MIN(IF(ISNUMBER(L102:L298),ROW(L102:L298),"")))</f>
        <v>9.9470000000000027</v>
      </c>
      <c r="N102" s="13">
        <f>IF('Données projet'!$A$36&gt;35,N101+M102-V101,IF(A102&lt;'Données projet'!$A$36,$K$205^A102,IF(A102='Données projet'!$A$36,'Données projet'!$B$36,N101+M102-V101)))</f>
        <v>464.80000000000013</v>
      </c>
      <c r="O102" s="13">
        <f>N102*VLOOKUP('Données projet'!$B$9,Paramètres!$A$1:$I$89,3,0)*VLOOKUP('Données projet'!$B$9,Paramètres!$A$1:$I$89,5,0)</f>
        <v>420.55104000000011</v>
      </c>
      <c r="P102" s="13">
        <f t="shared" si="87"/>
        <v>95.930846819060008</v>
      </c>
      <c r="Q102" s="20">
        <f t="shared" si="107"/>
        <v>899.53928620986301</v>
      </c>
      <c r="R102" s="59">
        <f t="shared" si="55"/>
        <v>1176.6621255642731</v>
      </c>
      <c r="S102" s="59">
        <f ca="1">AVERAGE(OFFSET($R$3,0,0,'Données projet'!$E$9+1,1))-AVERAGE(OFFSET($H$3,0,0,'Données projet'!$E$9+1,1))</f>
        <v>567.42635821507474</v>
      </c>
      <c r="T102" s="59">
        <f t="shared" si="88"/>
        <v>299.04735309930152</v>
      </c>
      <c r="U102" s="15">
        <f>IF(ISNA(VLOOKUP(A102,'Données projet'!$A$35:$I$55,3,0)),0,VLOOKUP(A102,'Données projet'!$A$35:$I$55,3,0))</f>
        <v>9</v>
      </c>
      <c r="V102" s="15">
        <f>IF(ISNA(VLOOKUP(A102,'Données projet'!$A$35:$I$55,4,0)),0,VLOOKUP(A102,'Données projet'!$A$35:$I$55,4,0))</f>
        <v>62.94</v>
      </c>
      <c r="W102" s="16">
        <f>IF(ISNA(VLOOKUP(A102,'Données projet'!$A$35:$I$55,5,0)),0%,VLOOKUP(A102,'Données projet'!$A$35:$I$55,5,0)*VLOOKUP('Données projet'!$B$9,Paramètres!$A$1:$I$89,7,0))</f>
        <v>0.43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126.65097655355829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126.65097655355829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7.2</v>
      </c>
      <c r="AI102" s="13">
        <f>IF('Données projet'!$A$62&gt;35,AI101+AH102-AQ101,IF(A102&lt;'Données projet'!$A$62,$AF$205^A102,IF(A102='Données projet'!$A$62,'Données projet'!$B$62,AI101+AH102-AQ101)))</f>
        <v>392.7999999999999</v>
      </c>
      <c r="AJ102" s="13">
        <f>AI102*VLOOKUP('Données projet'!$B$10,Paramètres!$A$1:$I$89,3,0)*VLOOKUP('Données projet'!$B$10,Paramètres!$A$1:$I$89,5,0)</f>
        <v>337.02239999999995</v>
      </c>
      <c r="AK102" s="13">
        <f t="shared" si="89"/>
        <v>78.884440823098231</v>
      </c>
      <c r="AL102" s="20">
        <f t="shared" si="58"/>
        <v>724.37108110022928</v>
      </c>
      <c r="AM102" s="59">
        <f t="shared" si="59"/>
        <v>1001.4939204546395</v>
      </c>
      <c r="AN102" s="59">
        <f ca="1">AVERAGE(OFFSET($AM$3,0,0,'Données projet'!$E$10+1,1))-AVERAGE(OFFSET($H$3,0,0,'Données projet'!$E$10+1,1))</f>
        <v>481.23392184981651</v>
      </c>
      <c r="AO102" s="59">
        <f t="shared" si="90"/>
        <v>275.88160405468193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97.243536465934227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97.243536465934227</v>
      </c>
      <c r="AY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328.00000000000006</v>
      </c>
      <c r="BE102" s="13">
        <f>BD102*VLOOKUP('Données projet'!$B$11,Paramètres!$A$1:$I$89,3,0)*VLOOKUP('Données projet'!$B$11,Paramètres!$A$1:$I$89,5,0)</f>
        <v>255.84000000000006</v>
      </c>
      <c r="BF102" s="13">
        <f t="shared" si="91"/>
        <v>61.834803371075836</v>
      </c>
      <c r="BG102" s="20">
        <f t="shared" si="61"/>
        <v>553.28361587129041</v>
      </c>
      <c r="BH102" s="59">
        <f t="shared" si="62"/>
        <v>830.40645522570048</v>
      </c>
      <c r="BI102" s="59">
        <f ca="1">AVERAGE(OFFSET($BH$3,0,0,'Données projet'!$E$11+1,1))-AVERAGE(OFFSET($H$3,0,0,'Données projet'!$E$11+1,1))</f>
        <v>308.85018589589453</v>
      </c>
      <c r="BJ102" s="59">
        <f t="shared" si="92"/>
        <v>302.59481222418219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27.812123834164684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27.812123834164684</v>
      </c>
      <c r="BT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>
        <f>VLOOKUP(A102,'Données projet'!$A$113:$I$133,2,0)</f>
        <v>464.8</v>
      </c>
      <c r="BW102" s="12">
        <f>VLOOKUP(A102,'Données projet'!$A$113:$I$133,9,0)</f>
        <v>9.9470000000000027</v>
      </c>
      <c r="BX102" s="12">
        <f t="array" ref="BX102">INDEX(BW:BW,MIN(IF(ISNUMBER(BW102:BW298),ROW(BW102:BW298),"")))</f>
        <v>9.9470000000000027</v>
      </c>
      <c r="BY102" s="12">
        <f>IF('Données projet'!$A$114&gt;35,BY101+BX102-CG101,IF(A102&lt;'Données projet'!$A$114,$BV$205^A102,IF(A102='Données projet'!$A$114,'Données projet'!$B$114,BY101+BX102-CG101)))</f>
        <v>464.80000000000013</v>
      </c>
      <c r="BZ102" s="13">
        <f>BY102*VLOOKUP('Données projet'!$B$12,Paramètres!$A$1:$I$89,3,0)*VLOOKUP('Données projet'!$B$12,Paramètres!$A$1:$I$89,5,0)</f>
        <v>449.55456000000015</v>
      </c>
      <c r="CA102" s="13">
        <f t="shared" si="93"/>
        <v>101.75379132078818</v>
      </c>
      <c r="CB102" s="20">
        <f t="shared" si="64"/>
        <v>960.19537855037299</v>
      </c>
      <c r="CC102" s="59">
        <f t="shared" si="65"/>
        <v>1237.3182179047831</v>
      </c>
      <c r="CD102" s="59">
        <f ca="1">AVERAGE(OFFSET($CC$3,0,0,'Données projet'!$E$12+1,1))-AVERAGE(OFFSET($H$3,0,0,'Données projet'!$E$12+1,1))</f>
        <v>600.96600099724276</v>
      </c>
      <c r="CE102" s="59">
        <f t="shared" si="94"/>
        <v>315.40159260706264</v>
      </c>
      <c r="CF102" s="15">
        <f>IF(ISNA(VLOOKUP(A102,'Données projet'!$A$113:$I$133,3,0)),0,VLOOKUP(A102,'Données projet'!$A$113:$I$133,3,0))</f>
        <v>9</v>
      </c>
      <c r="CG102" s="15">
        <f>IF(ISNA(VLOOKUP(A102,'Données projet'!$A$113:$I$133,4,0)),0,VLOOKUP(A102,'Données projet'!$A$113:$I$133,4,0))</f>
        <v>62.94</v>
      </c>
      <c r="CH102" s="16">
        <f>IF(ISNA(VLOOKUP(A102,'Données projet'!$A$113:$I$133,5,0)),0%,VLOOKUP(A102,'Données projet'!$A$113:$I$133,5,0)*VLOOKUP('Données projet'!$B$12,Paramètres!$A$1:$I$89,7,0))</f>
        <v>0.43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135.38552666070026</v>
      </c>
      <c r="CL102" s="21">
        <f>EXP(-LN(2)/25)*CL101+(1-EXP(-LN(2)/25))/(LN(2)/25)*Calculateur!CG102*Calculateur!CI102*VLOOKUP('Données projet'!$B$12,Paramètres!$A$1:$I$89,3,0)*0.475*44/12</f>
        <v>0</v>
      </c>
      <c r="CM102" s="21">
        <f>EXP(-LN(2)/2)*CM101+(1-EXP(-LN(2)/2))/(LN(2)/2)*CG102*CJ102*VLOOKUP('Données projet'!$B$12,Paramètres!$A$1:$I$89,3,0)*0.475*44/12</f>
        <v>0</v>
      </c>
      <c r="CN102" s="22">
        <f t="shared" si="66"/>
        <v>135.38552666070026</v>
      </c>
      <c r="CO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>
        <f>VLOOKUP(A102,'Données projet'!$A$139:$I$159,2,0)</f>
        <v>464.8</v>
      </c>
      <c r="CR102" s="12">
        <f>VLOOKUP(A102,'Données projet'!$A$139:$I$159,9,0)</f>
        <v>9.9470000000000027</v>
      </c>
      <c r="CS102" s="12">
        <f t="array" ref="CS102">INDEX(CR:CR,MIN(IF(ISNUMBER(CR102:CR298),ROW(CR102:CR298),"")))</f>
        <v>9.9470000000000027</v>
      </c>
      <c r="CT102" s="12">
        <f>IF('Données projet'!$A$140&gt;35,CT101+CS102-DB101,IF(A102&lt;'Données projet'!$A$140,$CQ$205^A102,IF(A102='Données projet'!$A$140,'Données projet'!$B$140,CT101+CS102-DB101)))</f>
        <v>464.80000000000013</v>
      </c>
      <c r="CU102" s="17">
        <f>CT102*VLOOKUP('Données projet'!$B$13,Paramètres!$A$1:$I$89,3,0)*VLOOKUP('Données projet'!$B$13,Paramètres!$A$1:$I$89,5,0)</f>
        <v>442.30368000000016</v>
      </c>
      <c r="CV102" s="13">
        <f t="shared" si="95"/>
        <v>100.30226615929689</v>
      </c>
      <c r="CW102" s="20">
        <f t="shared" si="67"/>
        <v>945.03868956077565</v>
      </c>
      <c r="CX102" s="59">
        <f t="shared" si="68"/>
        <v>1222.1615289151857</v>
      </c>
      <c r="CY102" s="59">
        <f ca="1">AVERAGE(OFFSET($CX$3,0,0,'Données projet'!$E$13+1,1))-AVERAGE(OFFSET($H$3,0,0,'Données projet'!$E$13+1,1))</f>
        <v>592.58528889137358</v>
      </c>
      <c r="CZ102" s="59">
        <f t="shared" si="96"/>
        <v>311.31528020403709</v>
      </c>
      <c r="DA102" s="15">
        <f>IF(ISNA(VLOOKUP(A102,'Données projet'!$A$139:$I$159,3,0)),0,VLOOKUP(A102,'Données projet'!$A$139:$I$159,3,0))</f>
        <v>9</v>
      </c>
      <c r="DB102" s="15">
        <f>IF(ISNA(VLOOKUP(A102,'Données projet'!$A$139:$I$159,4,0)),0,VLOOKUP(A102,'Données projet'!$A$139:$I$159,4,0))</f>
        <v>62.94</v>
      </c>
      <c r="DC102" s="16">
        <f>IF(ISNA(VLOOKUP(A102,'Données projet'!$A$139:$I$159,5,0)),0%,VLOOKUP(A102,'Données projet'!$A$139:$I$159,5,0)*VLOOKUP('Données projet'!$B$13,Paramètres!$A$1:$I$89,7,0))</f>
        <v>0.43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133.20188913391479</v>
      </c>
      <c r="DG102" s="21">
        <f>EXP(-LN(2)/25)*DG101+(1-EXP(-LN(2)/25))/(LN(2)/25)*Calculateur!DB102*Calculateur!DD102*VLOOKUP('Données projet'!$B$13,Paramètres!$A$1:$I$89,3,0)*0.475*44/12</f>
        <v>0</v>
      </c>
      <c r="DH102" s="21">
        <f>EXP(-LN(2)/2)*DH101+(1-EXP(-LN(2)/2))/(LN(2)/2)*DB102*DE102*VLOOKUP('Données projet'!$B$13,Paramètres!$A$1:$I$89,3,0)*0.475*44/12</f>
        <v>0</v>
      </c>
      <c r="DI102" s="22">
        <f t="shared" si="69"/>
        <v>133.20188913391479</v>
      </c>
      <c r="DJ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2">
        <f>'Scénario référence'!$B$16*5+'Scénario référence'!$B$17*0+'Scénario référence'!$B$18*5</f>
        <v>5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66">
        <f t="shared" si="56"/>
        <v>183.33333333333334</v>
      </c>
      <c r="I103" s="6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9.7110000000000021</v>
      </c>
      <c r="N103" s="13">
        <f>IF('Données projet'!$A$36&gt;35,N102+M103-V102,IF(A103&lt;'Données projet'!$A$36,$K$205^A103,IF(A103='Données projet'!$A$36,'Données projet'!$B$36,N102+M103-V102)))</f>
        <v>411.57100000000014</v>
      </c>
      <c r="O103" s="13">
        <f>N103*VLOOKUP('Données projet'!$B$9,Paramètres!$A$1:$I$89,3,0)*VLOOKUP('Données projet'!$B$9,Paramètres!$A$1:$I$89,5,0)</f>
        <v>372.3894408000001</v>
      </c>
      <c r="P103" s="13">
        <f t="shared" si="87"/>
        <v>86.155960872174461</v>
      </c>
      <c r="Q103" s="20">
        <f t="shared" si="107"/>
        <v>798.63324124570397</v>
      </c>
      <c r="R103" s="59">
        <f t="shared" si="55"/>
        <v>1076.0372964294131</v>
      </c>
      <c r="S103" s="59">
        <f ca="1">AVERAGE(OFFSET($R$3,0,0,'Données projet'!$E$9+1,1))-AVERAGE(OFFSET($H$3,0,0,'Données projet'!$E$9+1,1))</f>
        <v>567.42635821507474</v>
      </c>
      <c r="T103" s="59">
        <f t="shared" si="88"/>
        <v>299.04735309930152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124.16742815281096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124.16742815281096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>
        <f>VLOOKUP(A103,'Données projet'!$A$61:$I$81,2,0)</f>
        <v>400</v>
      </c>
      <c r="AG103" s="12">
        <f>VLOOKUP(A103,'Données projet'!$A$61:$I$81,9,0)</f>
        <v>7.2</v>
      </c>
      <c r="AH103" s="12">
        <f t="array" ref="AH103">INDEX(AG:AG,MIN(IF(ISNUMBER(AG103:AG299),ROW(AG103:AG299),"")))</f>
        <v>7.2</v>
      </c>
      <c r="AI103" s="13">
        <f>IF('Données projet'!$A$62&gt;35,AI102+AH103-AQ102,IF(A103&lt;'Données projet'!$A$62,$AF$205^A103,IF(A103='Données projet'!$A$62,'Données projet'!$B$62,AI102+AH103-AQ102)))</f>
        <v>399.99999999999989</v>
      </c>
      <c r="AJ103" s="13">
        <f>AI103*VLOOKUP('Données projet'!$B$10,Paramètres!$A$1:$I$89,3,0)*VLOOKUP('Données projet'!$B$10,Paramètres!$A$1:$I$89,5,0)</f>
        <v>343.19999999999993</v>
      </c>
      <c r="AK103" s="13">
        <f t="shared" si="89"/>
        <v>80.160725794932105</v>
      </c>
      <c r="AL103" s="20">
        <f t="shared" si="58"/>
        <v>737.35326409283982</v>
      </c>
      <c r="AM103" s="59">
        <f t="shared" si="59"/>
        <v>1014.757319276549</v>
      </c>
      <c r="AN103" s="59">
        <f ca="1">AVERAGE(OFFSET($AM$3,0,0,'Données projet'!$E$10+1,1))-AVERAGE(OFFSET($H$3,0,0,'Données projet'!$E$10+1,1))</f>
        <v>481.23392184981651</v>
      </c>
      <c r="AO103" s="59">
        <f t="shared" si="90"/>
        <v>275.88160405468193</v>
      </c>
      <c r="AP103" s="15">
        <f>IF(ISNA(VLOOKUP(A103,'Données projet'!$A$61:$I$81,3,0)),0,VLOOKUP(A103,'Données projet'!$A$61:$I$81,3,0))</f>
        <v>16</v>
      </c>
      <c r="AQ103" s="15">
        <f>IF(ISNA(VLOOKUP(A103,'Données projet'!$A$61:$I$81,4,0)),0,VLOOKUP(A103,'Données projet'!$A$61:$I$81,4,0))</f>
        <v>24</v>
      </c>
      <c r="AR103" s="16">
        <f>IF(ISNA(VLOOKUP(A103,'Données projet'!$A$61:$I$81,5,0)),0%,VLOOKUP(A103,'Données projet'!$A$61:$I$81,5,0)*VLOOKUP('Données projet'!$B$10,Paramètres!$A$1:$I$89,7,0))</f>
        <v>0.53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107.40148843786939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107.40148843786939</v>
      </c>
      <c r="AY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328.00000000000006</v>
      </c>
      <c r="BE103" s="13">
        <f>BD103*VLOOKUP('Données projet'!$B$11,Paramètres!$A$1:$I$89,3,0)*VLOOKUP('Données projet'!$B$11,Paramètres!$A$1:$I$89,5,0)</f>
        <v>255.84000000000006</v>
      </c>
      <c r="BF103" s="13">
        <f t="shared" si="91"/>
        <v>61.834803371075836</v>
      </c>
      <c r="BG103" s="20">
        <f t="shared" si="61"/>
        <v>553.28361587129041</v>
      </c>
      <c r="BH103" s="59">
        <f t="shared" si="62"/>
        <v>830.68767105499956</v>
      </c>
      <c r="BI103" s="59">
        <f ca="1">AVERAGE(OFFSET($BH$3,0,0,'Données projet'!$E$11+1,1))-AVERAGE(OFFSET($H$3,0,0,'Données projet'!$E$11+1,1))</f>
        <v>308.85018589589453</v>
      </c>
      <c r="BJ103" s="59">
        <f t="shared" si="92"/>
        <v>302.59481222418219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27.266745049497224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27.266745049497224</v>
      </c>
      <c r="BT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9.7110000000000021</v>
      </c>
      <c r="BY103" s="12">
        <f>IF('Données projet'!$A$114&gt;35,BY102+BX103-CG102,IF(A103&lt;'Données projet'!$A$114,$BV$205^A103,IF(A103='Données projet'!$A$114,'Données projet'!$B$114,BY102+BX103-CG102)))</f>
        <v>411.57100000000014</v>
      </c>
      <c r="BZ103" s="13">
        <f>BY103*VLOOKUP('Données projet'!$B$12,Paramètres!$A$1:$I$89,3,0)*VLOOKUP('Données projet'!$B$12,Paramètres!$A$1:$I$89,5,0)</f>
        <v>398.07147120000019</v>
      </c>
      <c r="CA103" s="13">
        <f t="shared" si="93"/>
        <v>91.385575696673854</v>
      </c>
      <c r="CB103" s="20">
        <f t="shared" si="64"/>
        <v>852.47102334504063</v>
      </c>
      <c r="CC103" s="59">
        <f t="shared" si="65"/>
        <v>1129.8750785287498</v>
      </c>
      <c r="CD103" s="59">
        <f ca="1">AVERAGE(OFFSET($CC$3,0,0,'Données projet'!$E$12+1,1))-AVERAGE(OFFSET($H$3,0,0,'Données projet'!$E$12+1,1))</f>
        <v>600.96600099724276</v>
      </c>
      <c r="CE103" s="59">
        <f t="shared" si="94"/>
        <v>315.40159260706264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132.73069905990138</v>
      </c>
      <c r="CL103" s="21">
        <f>EXP(-LN(2)/25)*CL102+(1-EXP(-LN(2)/25))/(LN(2)/25)*Calculateur!CG103*Calculateur!CI103*VLOOKUP('Données projet'!$B$12,Paramètres!$A$1:$I$89,3,0)*0.475*44/12</f>
        <v>0</v>
      </c>
      <c r="CM103" s="21">
        <f>EXP(-LN(2)/2)*CM102+(1-EXP(-LN(2)/2))/(LN(2)/2)*CG103*CJ103*VLOOKUP('Données projet'!$B$12,Paramètres!$A$1:$I$89,3,0)*0.475*44/12</f>
        <v>0</v>
      </c>
      <c r="CN103" s="22">
        <f t="shared" si="66"/>
        <v>132.73069905990138</v>
      </c>
      <c r="CO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9.7110000000000021</v>
      </c>
      <c r="CT103" s="12">
        <f>IF('Données projet'!$A$140&gt;35,CT102+CS103-DB102,IF(A103&lt;'Données projet'!$A$140,$CQ$205^A103,IF(A103='Données projet'!$A$140,'Données projet'!$B$140,CT102+CS103-DB102)))</f>
        <v>411.57100000000014</v>
      </c>
      <c r="CU103" s="17">
        <f>CT103*VLOOKUP('Données projet'!$B$13,Paramètres!$A$1:$I$89,3,0)*VLOOKUP('Données projet'!$B$13,Paramètres!$A$1:$I$89,5,0)</f>
        <v>391.65096360000018</v>
      </c>
      <c r="CV103" s="13">
        <f t="shared" si="95"/>
        <v>90.081953877778645</v>
      </c>
      <c r="CW103" s="20">
        <f t="shared" si="67"/>
        <v>839.01816460713133</v>
      </c>
      <c r="CX103" s="59">
        <f t="shared" si="68"/>
        <v>1116.4222197908405</v>
      </c>
      <c r="CY103" s="59">
        <f ca="1">AVERAGE(OFFSET($CX$3,0,0,'Données projet'!$E$13+1,1))-AVERAGE(OFFSET($H$3,0,0,'Données projet'!$E$13+1,1))</f>
        <v>592.58528889137358</v>
      </c>
      <c r="CZ103" s="59">
        <f t="shared" si="96"/>
        <v>311.31528020403709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130.5898813331288</v>
      </c>
      <c r="DG103" s="21">
        <f>EXP(-LN(2)/25)*DG102+(1-EXP(-LN(2)/25))/(LN(2)/25)*Calculateur!DB103*Calculateur!DD103*VLOOKUP('Données projet'!$B$13,Paramètres!$A$1:$I$89,3,0)*0.475*44/12</f>
        <v>0</v>
      </c>
      <c r="DH103" s="21">
        <f>EXP(-LN(2)/2)*DH102+(1-EXP(-LN(2)/2))/(LN(2)/2)*DB103*DE103*VLOOKUP('Données projet'!$B$13,Paramètres!$A$1:$I$89,3,0)*0.475*44/12</f>
        <v>0</v>
      </c>
      <c r="DI103" s="22">
        <f t="shared" si="69"/>
        <v>130.5898813331288</v>
      </c>
      <c r="DJ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2">
        <f>'Scénario référence'!$B$16*5+'Scénario référence'!$B$17*0+'Scénario référence'!$B$18*5</f>
        <v>5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66">
        <f t="shared" si="56"/>
        <v>183.33333333333334</v>
      </c>
      <c r="I104" s="6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9.7110000000000021</v>
      </c>
      <c r="N104" s="13">
        <f>IF('Données projet'!$A$36&gt;35,N103+M104-V103,IF(A104&lt;'Données projet'!$A$36,$K$205^A104,IF(A104='Données projet'!$A$36,'Données projet'!$B$36,N103+M104-V103)))</f>
        <v>421.28200000000015</v>
      </c>
      <c r="O104" s="13">
        <f>N104*VLOOKUP('Données projet'!$B$9,Paramètres!$A$1:$I$89,3,0)*VLOOKUP('Données projet'!$B$9,Paramètres!$A$1:$I$89,5,0)</f>
        <v>381.17595360000013</v>
      </c>
      <c r="P104" s="13">
        <f t="shared" si="87"/>
        <v>87.949738529484478</v>
      </c>
      <c r="Q104" s="20">
        <f t="shared" si="107"/>
        <v>817.06058045885231</v>
      </c>
      <c r="R104" s="59">
        <f t="shared" si="55"/>
        <v>1094.7409730059267</v>
      </c>
      <c r="S104" s="59">
        <f ca="1">AVERAGE(OFFSET($R$3,0,0,'Données projet'!$E$9+1,1))-AVERAGE(OFFSET($H$3,0,0,'Données projet'!$E$9+1,1))</f>
        <v>567.42635821507474</v>
      </c>
      <c r="T104" s="59">
        <f t="shared" si="88"/>
        <v>299.04735309930152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121.73258062138733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121.73258062138733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6.6</v>
      </c>
      <c r="AI104" s="13">
        <f>IF('Données projet'!$A$62&gt;35,AI103+AH104-AQ103,IF(A104&lt;'Données projet'!$A$62,$AF$205^A104,IF(A104='Données projet'!$A$62,'Données projet'!$B$62,AI103+AH104-AQ103)))</f>
        <v>382.59999999999991</v>
      </c>
      <c r="AJ104" s="13">
        <f>AI104*VLOOKUP('Données projet'!$B$10,Paramètres!$A$1:$I$89,3,0)*VLOOKUP('Données projet'!$B$10,Paramètres!$A$1:$I$89,5,0)</f>
        <v>328.27079999999995</v>
      </c>
      <c r="AK104" s="13">
        <f t="shared" si="89"/>
        <v>77.071690347038668</v>
      </c>
      <c r="AL104" s="20">
        <f t="shared" si="58"/>
        <v>705.97150402109219</v>
      </c>
      <c r="AM104" s="59">
        <f t="shared" si="59"/>
        <v>983.65189656816665</v>
      </c>
      <c r="AN104" s="59">
        <f ca="1">AVERAGE(OFFSET($AM$3,0,0,'Données projet'!$E$10+1,1))-AVERAGE(OFFSET($H$3,0,0,'Données projet'!$E$10+1,1))</f>
        <v>481.23392184981651</v>
      </c>
      <c r="AO104" s="59">
        <f t="shared" si="90"/>
        <v>275.88160405468193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105.29541075804229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105.29541075804229</v>
      </c>
      <c r="AY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328.00000000000006</v>
      </c>
      <c r="BE104" s="13">
        <f>BD104*VLOOKUP('Données projet'!$B$11,Paramètres!$A$1:$I$89,3,0)*VLOOKUP('Données projet'!$B$11,Paramètres!$A$1:$I$89,5,0)</f>
        <v>255.84000000000006</v>
      </c>
      <c r="BF104" s="13">
        <f t="shared" si="91"/>
        <v>61.834803371075836</v>
      </c>
      <c r="BG104" s="20">
        <f t="shared" si="61"/>
        <v>553.28361587129041</v>
      </c>
      <c r="BH104" s="59">
        <f t="shared" si="62"/>
        <v>830.96400841836476</v>
      </c>
      <c r="BI104" s="59">
        <f ca="1">AVERAGE(OFFSET($BH$3,0,0,'Données projet'!$E$11+1,1))-AVERAGE(OFFSET($H$3,0,0,'Données projet'!$E$11+1,1))</f>
        <v>308.85018589589453</v>
      </c>
      <c r="BJ104" s="59">
        <f t="shared" si="92"/>
        <v>302.59481222418219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26.732060810148884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26.732060810148884</v>
      </c>
      <c r="BT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9.7110000000000021</v>
      </c>
      <c r="BY104" s="12">
        <f>IF('Données projet'!$A$114&gt;35,BY103+BX104-CG103,IF(A104&lt;'Données projet'!$A$114,$BV$205^A104,IF(A104='Données projet'!$A$114,'Données projet'!$B$114,BY103+BX104-CG103)))</f>
        <v>421.28200000000015</v>
      </c>
      <c r="BZ104" s="13">
        <f>BY104*VLOOKUP('Données projet'!$B$12,Paramètres!$A$1:$I$89,3,0)*VLOOKUP('Données projet'!$B$12,Paramètres!$A$1:$I$89,5,0)</f>
        <v>407.46395040000021</v>
      </c>
      <c r="CA104" s="13">
        <f t="shared" si="93"/>
        <v>93.288234575126936</v>
      </c>
      <c r="CB104" s="20">
        <f t="shared" si="64"/>
        <v>872.14338883167966</v>
      </c>
      <c r="CC104" s="59">
        <f t="shared" si="65"/>
        <v>1149.8237813787541</v>
      </c>
      <c r="CD104" s="59">
        <f ca="1">AVERAGE(OFFSET($CC$3,0,0,'Données projet'!$E$12+1,1))-AVERAGE(OFFSET($H$3,0,0,'Données projet'!$E$12+1,1))</f>
        <v>600.96600099724276</v>
      </c>
      <c r="CE104" s="59">
        <f t="shared" si="94"/>
        <v>315.40159260706264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130.12793100906924</v>
      </c>
      <c r="CL104" s="21">
        <f>EXP(-LN(2)/25)*CL103+(1-EXP(-LN(2)/25))/(LN(2)/25)*Calculateur!CG104*Calculateur!CI104*VLOOKUP('Données projet'!$B$12,Paramètres!$A$1:$I$89,3,0)*0.475*44/12</f>
        <v>0</v>
      </c>
      <c r="CM104" s="21">
        <f>EXP(-LN(2)/2)*CM103+(1-EXP(-LN(2)/2))/(LN(2)/2)*CG104*CJ104*VLOOKUP('Données projet'!$B$12,Paramètres!$A$1:$I$89,3,0)*0.475*44/12</f>
        <v>0</v>
      </c>
      <c r="CN104" s="22">
        <f t="shared" si="66"/>
        <v>130.12793100906924</v>
      </c>
      <c r="CO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9.7110000000000021</v>
      </c>
      <c r="CT104" s="12">
        <f>IF('Données projet'!$A$140&gt;35,CT103+CS104-DB103,IF(A104&lt;'Données projet'!$A$140,$CQ$205^A104,IF(A104='Données projet'!$A$140,'Données projet'!$B$140,CT103+CS104-DB103)))</f>
        <v>421.28200000000015</v>
      </c>
      <c r="CU104" s="17">
        <f>CT104*VLOOKUP('Données projet'!$B$13,Paramètres!$A$1:$I$89,3,0)*VLOOKUP('Données projet'!$B$13,Paramètres!$A$1:$I$89,5,0)</f>
        <v>400.89195120000016</v>
      </c>
      <c r="CV104" s="13">
        <f t="shared" si="95"/>
        <v>91.957471190301248</v>
      </c>
      <c r="CW104" s="20">
        <f t="shared" si="67"/>
        <v>858.37941066310816</v>
      </c>
      <c r="CX104" s="59">
        <f t="shared" si="68"/>
        <v>1136.0598032101825</v>
      </c>
      <c r="CY104" s="59">
        <f ca="1">AVERAGE(OFFSET($CX$3,0,0,'Données projet'!$E$13+1,1))-AVERAGE(OFFSET($H$3,0,0,'Données projet'!$E$13+1,1))</f>
        <v>592.58528889137358</v>
      </c>
      <c r="CZ104" s="59">
        <f t="shared" si="96"/>
        <v>311.31528020403709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128.02909341214877</v>
      </c>
      <c r="DG104" s="21">
        <f>EXP(-LN(2)/25)*DG103+(1-EXP(-LN(2)/25))/(LN(2)/25)*Calculateur!DB104*Calculateur!DD104*VLOOKUP('Données projet'!$B$13,Paramètres!$A$1:$I$89,3,0)*0.475*44/12</f>
        <v>0</v>
      </c>
      <c r="DH104" s="21">
        <f>EXP(-LN(2)/2)*DH103+(1-EXP(-LN(2)/2))/(LN(2)/2)*DB104*DE104*VLOOKUP('Données projet'!$B$13,Paramètres!$A$1:$I$89,3,0)*0.475*44/12</f>
        <v>0</v>
      </c>
      <c r="DI104" s="22">
        <f t="shared" si="69"/>
        <v>128.02909341214877</v>
      </c>
      <c r="DJ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2">
        <f>'Scénario référence'!$B$16*5+'Scénario référence'!$B$17*0+'Scénario référence'!$B$18*5</f>
        <v>5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66">
        <f t="shared" si="56"/>
        <v>183.33333333333334</v>
      </c>
      <c r="I105" s="6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9.7110000000000021</v>
      </c>
      <c r="N105" s="13">
        <f>IF('Données projet'!$A$36&gt;35,N104+M105-V104,IF(A105&lt;'Données projet'!$A$36,$K$205^A105,IF(A105='Données projet'!$A$36,'Données projet'!$B$36,N104+M105-V104)))</f>
        <v>430.99300000000017</v>
      </c>
      <c r="O105" s="13">
        <f>N105*VLOOKUP('Données projet'!$B$9,Paramètres!$A$1:$I$89,3,0)*VLOOKUP('Données projet'!$B$9,Paramètres!$A$1:$I$89,5,0)</f>
        <v>389.9624664000001</v>
      </c>
      <c r="P105" s="13">
        <f t="shared" si="87"/>
        <v>89.738709223725238</v>
      </c>
      <c r="Q105" s="20">
        <f t="shared" si="107"/>
        <v>835.47954754465491</v>
      </c>
      <c r="R105" s="59">
        <f t="shared" si="55"/>
        <v>1113.4314836196379</v>
      </c>
      <c r="S105" s="59">
        <f ca="1">AVERAGE(OFFSET($R$3,0,0,'Données projet'!$E$9+1,1))-AVERAGE(OFFSET($H$3,0,0,'Données projet'!$E$9+1,1))</f>
        <v>567.42635821507474</v>
      </c>
      <c r="T105" s="59">
        <f t="shared" si="88"/>
        <v>299.04735309930152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119.34547896494456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119.34547896494456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6.6</v>
      </c>
      <c r="AI105" s="13">
        <f>IF('Données projet'!$A$62&gt;35,AI104+AH105-AQ104,IF(A105&lt;'Données projet'!$A$62,$AF$205^A105,IF(A105='Données projet'!$A$62,'Données projet'!$B$62,AI104+AH105-AQ104)))</f>
        <v>389.19999999999993</v>
      </c>
      <c r="AJ105" s="13">
        <f>AI105*VLOOKUP('Données projet'!$B$10,Paramètres!$A$1:$I$89,3,0)*VLOOKUP('Données projet'!$B$10,Paramètres!$A$1:$I$89,5,0)</f>
        <v>333.93359999999996</v>
      </c>
      <c r="AK105" s="13">
        <f t="shared" si="89"/>
        <v>78.245279532276854</v>
      </c>
      <c r="AL105" s="20">
        <f t="shared" si="58"/>
        <v>717.87821518538203</v>
      </c>
      <c r="AM105" s="59">
        <f t="shared" si="59"/>
        <v>995.83015126036503</v>
      </c>
      <c r="AN105" s="59">
        <f ca="1">AVERAGE(OFFSET($AM$3,0,0,'Données projet'!$E$10+1,1))-AVERAGE(OFFSET($H$3,0,0,'Données projet'!$E$10+1,1))</f>
        <v>481.23392184981651</v>
      </c>
      <c r="AO105" s="59">
        <f t="shared" si="90"/>
        <v>275.88160405468193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103.23063197693607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103.23063197693607</v>
      </c>
      <c r="AY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328.00000000000006</v>
      </c>
      <c r="BE105" s="13">
        <f>BD105*VLOOKUP('Données projet'!$B$11,Paramètres!$A$1:$I$89,3,0)*VLOOKUP('Données projet'!$B$11,Paramètres!$A$1:$I$89,5,0)</f>
        <v>255.84000000000006</v>
      </c>
      <c r="BF105" s="13">
        <f t="shared" si="91"/>
        <v>61.834803371075836</v>
      </c>
      <c r="BG105" s="20">
        <f t="shared" si="61"/>
        <v>553.28361587129041</v>
      </c>
      <c r="BH105" s="59">
        <f t="shared" si="62"/>
        <v>831.23555194627329</v>
      </c>
      <c r="BI105" s="59">
        <f ca="1">AVERAGE(OFFSET($BH$3,0,0,'Données projet'!$E$11+1,1))-AVERAGE(OFFSET($H$3,0,0,'Données projet'!$E$11+1,1))</f>
        <v>308.85018589589453</v>
      </c>
      <c r="BJ105" s="59">
        <f t="shared" si="92"/>
        <v>302.59481222418219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26.20786140260898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26.20786140260898</v>
      </c>
      <c r="BT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9.7110000000000021</v>
      </c>
      <c r="BY105" s="12">
        <f>IF('Données projet'!$A$114&gt;35,BY104+BX105-CG104,IF(A105&lt;'Données projet'!$A$114,$BV$205^A105,IF(A105='Données projet'!$A$114,'Données projet'!$B$114,BY104+BX105-CG104)))</f>
        <v>430.99300000000017</v>
      </c>
      <c r="BZ105" s="13">
        <f>BY105*VLOOKUP('Données projet'!$B$12,Paramètres!$A$1:$I$89,3,0)*VLOOKUP('Données projet'!$B$12,Paramètres!$A$1:$I$89,5,0)</f>
        <v>416.85642960000024</v>
      </c>
      <c r="CA105" s="13">
        <f t="shared" si="93"/>
        <v>95.185794710753839</v>
      </c>
      <c r="CB105" s="20">
        <f t="shared" si="64"/>
        <v>891.80687400789668</v>
      </c>
      <c r="CC105" s="59">
        <f t="shared" si="65"/>
        <v>1169.7588100828796</v>
      </c>
      <c r="CD105" s="59">
        <f ca="1">AVERAGE(OFFSET($CC$3,0,0,'Données projet'!$E$12+1,1))-AVERAGE(OFFSET($H$3,0,0,'Données projet'!$E$12+1,1))</f>
        <v>600.96600099724276</v>
      </c>
      <c r="CE105" s="59">
        <f t="shared" si="94"/>
        <v>315.40159260706264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127.57620165218215</v>
      </c>
      <c r="CL105" s="21">
        <f>EXP(-LN(2)/25)*CL104+(1-EXP(-LN(2)/25))/(LN(2)/25)*Calculateur!CG105*Calculateur!CI105*VLOOKUP('Données projet'!$B$12,Paramètres!$A$1:$I$89,3,0)*0.475*44/12</f>
        <v>0</v>
      </c>
      <c r="CM105" s="21">
        <f>EXP(-LN(2)/2)*CM104+(1-EXP(-LN(2)/2))/(LN(2)/2)*CG105*CJ105*VLOOKUP('Données projet'!$B$12,Paramètres!$A$1:$I$89,3,0)*0.475*44/12</f>
        <v>0</v>
      </c>
      <c r="CN105" s="22">
        <f t="shared" si="66"/>
        <v>127.57620165218215</v>
      </c>
      <c r="CO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9.7110000000000021</v>
      </c>
      <c r="CT105" s="12">
        <f>IF('Données projet'!$A$140&gt;35,CT104+CS105-DB104,IF(A105&lt;'Données projet'!$A$140,$CQ$205^A105,IF(A105='Données projet'!$A$140,'Données projet'!$B$140,CT104+CS105-DB104)))</f>
        <v>430.99300000000017</v>
      </c>
      <c r="CU105" s="17">
        <f>CT105*VLOOKUP('Données projet'!$B$13,Paramètres!$A$1:$I$89,3,0)*VLOOKUP('Données projet'!$B$13,Paramètres!$A$1:$I$89,5,0)</f>
        <v>410.1329388000002</v>
      </c>
      <c r="CV105" s="13">
        <f t="shared" si="95"/>
        <v>93.827962493931295</v>
      </c>
      <c r="CW105" s="20">
        <f t="shared" si="67"/>
        <v>877.73190308693063</v>
      </c>
      <c r="CX105" s="59">
        <f t="shared" si="68"/>
        <v>1155.6838391619135</v>
      </c>
      <c r="CY105" s="59">
        <f ca="1">AVERAGE(OFFSET($CX$3,0,0,'Données projet'!$E$13+1,1))-AVERAGE(OFFSET($H$3,0,0,'Données projet'!$E$13+1,1))</f>
        <v>592.58528889137358</v>
      </c>
      <c r="CZ105" s="59">
        <f t="shared" si="96"/>
        <v>311.31528020403709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125.51852098037276</v>
      </c>
      <c r="DG105" s="21">
        <f>EXP(-LN(2)/25)*DG104+(1-EXP(-LN(2)/25))/(LN(2)/25)*Calculateur!DB105*Calculateur!DD105*VLOOKUP('Données projet'!$B$13,Paramètres!$A$1:$I$89,3,0)*0.475*44/12</f>
        <v>0</v>
      </c>
      <c r="DH105" s="21">
        <f>EXP(-LN(2)/2)*DH104+(1-EXP(-LN(2)/2))/(LN(2)/2)*DB105*DE105*VLOOKUP('Données projet'!$B$13,Paramètres!$A$1:$I$89,3,0)*0.475*44/12</f>
        <v>0</v>
      </c>
      <c r="DI105" s="22">
        <f t="shared" si="69"/>
        <v>125.51852098037276</v>
      </c>
      <c r="DJ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2">
        <f>'Scénario référence'!$B$16*5+'Scénario référence'!$B$17*0+'Scénario référence'!$B$18*5</f>
        <v>5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66">
        <f t="shared" si="56"/>
        <v>183.33333333333334</v>
      </c>
      <c r="I106" s="6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9.7110000000000021</v>
      </c>
      <c r="N106" s="13">
        <f>IF('Données projet'!$A$36&gt;35,N105+M106-V105,IF(A106&lt;'Données projet'!$A$36,$K$205^A106,IF(A106='Données projet'!$A$36,'Données projet'!$B$36,N105+M106-V105)))</f>
        <v>440.70400000000018</v>
      </c>
      <c r="O106" s="13">
        <f>N106*VLOOKUP('Données projet'!$B$9,Paramètres!$A$1:$I$89,3,0)*VLOOKUP('Données projet'!$B$9,Paramètres!$A$1:$I$89,5,0)</f>
        <v>398.74897920000012</v>
      </c>
      <c r="P106" s="13">
        <f t="shared" si="87"/>
        <v>91.522993733283613</v>
      </c>
      <c r="Q106" s="20">
        <f t="shared" si="107"/>
        <v>853.89035285880254</v>
      </c>
      <c r="R106" s="59">
        <f t="shared" si="55"/>
        <v>1132.1091217885653</v>
      </c>
      <c r="S106" s="59">
        <f ca="1">AVERAGE(OFFSET($R$3,0,0,'Données projet'!$E$9+1,1))-AVERAGE(OFFSET($H$3,0,0,'Données projet'!$E$9+1,1))</f>
        <v>567.42635821507474</v>
      </c>
      <c r="T106" s="59">
        <f t="shared" si="88"/>
        <v>299.04735309930152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117.0051869159964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117.0051869159964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6.6</v>
      </c>
      <c r="AI106" s="13">
        <f>IF('Données projet'!$A$62&gt;35,AI105+AH106-AQ105,IF(A106&lt;'Données projet'!$A$62,$AF$205^A106,IF(A106='Données projet'!$A$62,'Données projet'!$B$62,AI105+AH106-AQ105)))</f>
        <v>395.79999999999995</v>
      </c>
      <c r="AJ106" s="13">
        <f>AI106*VLOOKUP('Données projet'!$B$10,Paramètres!$A$1:$I$89,3,0)*VLOOKUP('Données projet'!$B$10,Paramètres!$A$1:$I$89,5,0)</f>
        <v>339.59640000000002</v>
      </c>
      <c r="AK106" s="13">
        <f t="shared" si="89"/>
        <v>79.416554343021332</v>
      </c>
      <c r="AL106" s="20">
        <f t="shared" si="58"/>
        <v>729.7808954807623</v>
      </c>
      <c r="AM106" s="59">
        <f t="shared" si="59"/>
        <v>1007.9996644105249</v>
      </c>
      <c r="AN106" s="59">
        <f ca="1">AVERAGE(OFFSET($AM$3,0,0,'Données projet'!$E$10+1,1))-AVERAGE(OFFSET($H$3,0,0,'Données projet'!$E$10+1,1))</f>
        <v>481.23392184981651</v>
      </c>
      <c r="AO106" s="59">
        <f t="shared" si="90"/>
        <v>275.88160405468193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101.20634224833663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101.20634224833663</v>
      </c>
      <c r="AY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328.00000000000006</v>
      </c>
      <c r="BE106" s="13">
        <f>BD106*VLOOKUP('Données projet'!$B$11,Paramètres!$A$1:$I$89,3,0)*VLOOKUP('Données projet'!$B$11,Paramètres!$A$1:$I$89,5,0)</f>
        <v>255.84000000000006</v>
      </c>
      <c r="BF106" s="13">
        <f t="shared" si="91"/>
        <v>61.834803371075836</v>
      </c>
      <c r="BG106" s="20">
        <f t="shared" si="61"/>
        <v>553.28361587129041</v>
      </c>
      <c r="BH106" s="59">
        <f t="shared" si="62"/>
        <v>831.50238480105304</v>
      </c>
      <c r="BI106" s="59">
        <f ca="1">AVERAGE(OFFSET($BH$3,0,0,'Données projet'!$E$11+1,1))-AVERAGE(OFFSET($H$3,0,0,'Données projet'!$E$11+1,1))</f>
        <v>308.85018589589453</v>
      </c>
      <c r="BJ106" s="59">
        <f t="shared" si="92"/>
        <v>302.59481222418219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25.693941225720863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25.693941225720863</v>
      </c>
      <c r="BT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9.7110000000000021</v>
      </c>
      <c r="BY106" s="12">
        <f>IF('Données projet'!$A$114&gt;35,BY105+BX106-CG105,IF(A106&lt;'Données projet'!$A$114,$BV$205^A106,IF(A106='Données projet'!$A$114,'Données projet'!$B$114,BY105+BX106-CG105)))</f>
        <v>440.70400000000018</v>
      </c>
      <c r="BZ106" s="13">
        <f>BY106*VLOOKUP('Données projet'!$B$12,Paramètres!$A$1:$I$89,3,0)*VLOOKUP('Données projet'!$B$12,Paramètres!$A$1:$I$89,5,0)</f>
        <v>426.24890880000015</v>
      </c>
      <c r="CA106" s="13">
        <f t="shared" si="93"/>
        <v>97.07838421311655</v>
      </c>
      <c r="CB106" s="20">
        <f t="shared" si="64"/>
        <v>911.4617019978449</v>
      </c>
      <c r="CC106" s="59">
        <f t="shared" si="65"/>
        <v>1189.6804709276075</v>
      </c>
      <c r="CD106" s="59">
        <f ca="1">AVERAGE(OFFSET($CC$3,0,0,'Données projet'!$E$12+1,1))-AVERAGE(OFFSET($H$3,0,0,'Données projet'!$E$12+1,1))</f>
        <v>600.96600099724276</v>
      </c>
      <c r="CE106" s="59">
        <f t="shared" si="94"/>
        <v>315.40159260706264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125.07451015158239</v>
      </c>
      <c r="CL106" s="21">
        <f>EXP(-LN(2)/25)*CL105+(1-EXP(-LN(2)/25))/(LN(2)/25)*Calculateur!CG106*Calculateur!CI106*VLOOKUP('Données projet'!$B$12,Paramètres!$A$1:$I$89,3,0)*0.475*44/12</f>
        <v>0</v>
      </c>
      <c r="CM106" s="21">
        <f>EXP(-LN(2)/2)*CM105+(1-EXP(-LN(2)/2))/(LN(2)/2)*CG106*CJ106*VLOOKUP('Données projet'!$B$12,Paramètres!$A$1:$I$89,3,0)*0.475*44/12</f>
        <v>0</v>
      </c>
      <c r="CN106" s="22">
        <f t="shared" si="66"/>
        <v>125.07451015158239</v>
      </c>
      <c r="CO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9.7110000000000021</v>
      </c>
      <c r="CT106" s="12">
        <f>IF('Données projet'!$A$140&gt;35,CT105+CS106-DB105,IF(A106&lt;'Données projet'!$A$140,$CQ$205^A106,IF(A106='Données projet'!$A$140,'Données projet'!$B$140,CT105+CS106-DB105)))</f>
        <v>440.70400000000018</v>
      </c>
      <c r="CU106" s="17">
        <f>CT106*VLOOKUP('Données projet'!$B$13,Paramètres!$A$1:$I$89,3,0)*VLOOKUP('Données projet'!$B$13,Paramètres!$A$1:$I$89,5,0)</f>
        <v>419.37392640000013</v>
      </c>
      <c r="CV106" s="13">
        <f t="shared" si="95"/>
        <v>95.693554070738656</v>
      </c>
      <c r="CW106" s="20">
        <f t="shared" si="67"/>
        <v>897.07586181987006</v>
      </c>
      <c r="CX106" s="59">
        <f t="shared" si="68"/>
        <v>1175.2946307496327</v>
      </c>
      <c r="CY106" s="59">
        <f ca="1">AVERAGE(OFFSET($CX$3,0,0,'Données projet'!$E$13+1,1))-AVERAGE(OFFSET($H$3,0,0,'Données projet'!$E$13+1,1))</f>
        <v>592.58528889137358</v>
      </c>
      <c r="CZ106" s="59">
        <f t="shared" si="96"/>
        <v>311.31528020403709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123.0571793426859</v>
      </c>
      <c r="DG106" s="21">
        <f>EXP(-LN(2)/25)*DG105+(1-EXP(-LN(2)/25))/(LN(2)/25)*Calculateur!DB106*Calculateur!DD106*VLOOKUP('Données projet'!$B$13,Paramètres!$A$1:$I$89,3,0)*0.475*44/12</f>
        <v>0</v>
      </c>
      <c r="DH106" s="21">
        <f>EXP(-LN(2)/2)*DH105+(1-EXP(-LN(2)/2))/(LN(2)/2)*DB106*DE106*VLOOKUP('Données projet'!$B$13,Paramètres!$A$1:$I$89,3,0)*0.475*44/12</f>
        <v>0</v>
      </c>
      <c r="DI106" s="22">
        <f t="shared" si="69"/>
        <v>123.0571793426859</v>
      </c>
      <c r="DJ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2">
        <f>'Scénario référence'!$B$16*5+'Scénario référence'!$B$17*0+'Scénario référence'!$B$18*5</f>
        <v>5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66">
        <f t="shared" si="56"/>
        <v>183.33333333333334</v>
      </c>
      <c r="I107" s="6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9.7110000000000021</v>
      </c>
      <c r="N107" s="13">
        <f>IF('Données projet'!$A$36&gt;35,N106+M107-V106,IF(A107&lt;'Données projet'!$A$36,$K$205^A107,IF(A107='Données projet'!$A$36,'Données projet'!$B$36,N106+M107-V106)))</f>
        <v>450.41500000000019</v>
      </c>
      <c r="O107" s="13">
        <f>N107*VLOOKUP('Données projet'!$B$9,Paramètres!$A$1:$I$89,3,0)*VLOOKUP('Données projet'!$B$9,Paramètres!$A$1:$I$89,5,0)</f>
        <v>407.5354920000002</v>
      </c>
      <c r="P107" s="13">
        <f t="shared" si="87"/>
        <v>93.30270720985969</v>
      </c>
      <c r="Q107" s="20">
        <f t="shared" si="107"/>
        <v>872.29319695717265</v>
      </c>
      <c r="R107" s="59">
        <f t="shared" si="55"/>
        <v>1150.7741697882336</v>
      </c>
      <c r="S107" s="59">
        <f ca="1">AVERAGE(OFFSET($R$3,0,0,'Données projet'!$E$9+1,1))-AVERAGE(OFFSET($H$3,0,0,'Données projet'!$E$9+1,1))</f>
        <v>567.42635821507474</v>
      </c>
      <c r="T107" s="59">
        <f t="shared" si="88"/>
        <v>299.04735309930152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114.71078656669091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114.71078656669091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6.6</v>
      </c>
      <c r="AI107" s="13">
        <f>IF('Données projet'!$A$62&gt;35,AI106+AH107-AQ106,IF(A107&lt;'Données projet'!$A$62,$AF$205^A107,IF(A107='Données projet'!$A$62,'Données projet'!$B$62,AI106+AH107-AQ106)))</f>
        <v>402.4</v>
      </c>
      <c r="AJ107" s="13">
        <f>AI107*VLOOKUP('Données projet'!$B$10,Paramètres!$A$1:$I$89,3,0)*VLOOKUP('Données projet'!$B$10,Paramètres!$A$1:$I$89,5,0)</f>
        <v>345.25920000000002</v>
      </c>
      <c r="AK107" s="13">
        <f t="shared" si="89"/>
        <v>80.585557826060622</v>
      </c>
      <c r="AL107" s="20">
        <f t="shared" si="58"/>
        <v>741.67961988038894</v>
      </c>
      <c r="AM107" s="59">
        <f t="shared" si="59"/>
        <v>1020.1605927114499</v>
      </c>
      <c r="AN107" s="59">
        <f ca="1">AVERAGE(OFFSET($AM$3,0,0,'Données projet'!$E$10+1,1))-AVERAGE(OFFSET($H$3,0,0,'Données projet'!$E$10+1,1))</f>
        <v>481.23392184981651</v>
      </c>
      <c r="AO107" s="59">
        <f t="shared" si="90"/>
        <v>275.88160405468193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99.221747606620212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99.221747606620212</v>
      </c>
      <c r="AY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328.00000000000006</v>
      </c>
      <c r="BE107" s="13">
        <f>BD107*VLOOKUP('Données projet'!$B$11,Paramètres!$A$1:$I$89,3,0)*VLOOKUP('Données projet'!$B$11,Paramètres!$A$1:$I$89,5,0)</f>
        <v>255.84000000000006</v>
      </c>
      <c r="BF107" s="13">
        <f t="shared" si="91"/>
        <v>61.834803371075836</v>
      </c>
      <c r="BG107" s="20">
        <f t="shared" si="61"/>
        <v>553.28361587129041</v>
      </c>
      <c r="BH107" s="59">
        <f t="shared" si="62"/>
        <v>831.76458870235138</v>
      </c>
      <c r="BI107" s="59">
        <f ca="1">AVERAGE(OFFSET($BH$3,0,0,'Données projet'!$E$11+1,1))-AVERAGE(OFFSET($H$3,0,0,'Données projet'!$E$11+1,1))</f>
        <v>308.85018589589453</v>
      </c>
      <c r="BJ107" s="59">
        <f t="shared" si="92"/>
        <v>302.59481222418219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25.190098710041166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25.190098710041166</v>
      </c>
      <c r="BT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9.7110000000000021</v>
      </c>
      <c r="BY107" s="12">
        <f>IF('Données projet'!$A$114&gt;35,BY106+BX107-CG106,IF(A107&lt;'Données projet'!$A$114,$BV$205^A107,IF(A107='Données projet'!$A$114,'Données projet'!$B$114,BY106+BX107-CG106)))</f>
        <v>450.41500000000019</v>
      </c>
      <c r="BZ107" s="13">
        <f>BY107*VLOOKUP('Données projet'!$B$12,Paramètres!$A$1:$I$89,3,0)*VLOOKUP('Données projet'!$B$12,Paramètres!$A$1:$I$89,5,0)</f>
        <v>435.64138800000018</v>
      </c>
      <c r="CA107" s="13">
        <f t="shared" si="93"/>
        <v>98.966125223553831</v>
      </c>
      <c r="CB107" s="20">
        <f t="shared" si="64"/>
        <v>931.10808553102299</v>
      </c>
      <c r="CC107" s="59">
        <f t="shared" si="65"/>
        <v>1209.589058362084</v>
      </c>
      <c r="CD107" s="59">
        <f ca="1">AVERAGE(OFFSET($CC$3,0,0,'Données projet'!$E$12+1,1))-AVERAGE(OFFSET($H$3,0,0,'Données projet'!$E$12+1,1))</f>
        <v>600.96600099724276</v>
      </c>
      <c r="CE107" s="59">
        <f t="shared" si="94"/>
        <v>315.40159260706264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122.62187529542824</v>
      </c>
      <c r="CL107" s="21">
        <f>EXP(-LN(2)/25)*CL106+(1-EXP(-LN(2)/25))/(LN(2)/25)*Calculateur!CG107*Calculateur!CI107*VLOOKUP('Données projet'!$B$12,Paramètres!$A$1:$I$89,3,0)*0.475*44/12</f>
        <v>0</v>
      </c>
      <c r="CM107" s="21">
        <f>EXP(-LN(2)/2)*CM106+(1-EXP(-LN(2)/2))/(LN(2)/2)*CG107*CJ107*VLOOKUP('Données projet'!$B$12,Paramètres!$A$1:$I$89,3,0)*0.475*44/12</f>
        <v>0</v>
      </c>
      <c r="CN107" s="22">
        <f t="shared" si="66"/>
        <v>122.62187529542824</v>
      </c>
      <c r="CO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9.7110000000000021</v>
      </c>
      <c r="CT107" s="12">
        <f>IF('Données projet'!$A$140&gt;35,CT106+CS107-DB106,IF(A107&lt;'Données projet'!$A$140,$CQ$205^A107,IF(A107='Données projet'!$A$140,'Données projet'!$B$140,CT106+CS107-DB106)))</f>
        <v>450.41500000000019</v>
      </c>
      <c r="CU107" s="17">
        <f>CT107*VLOOKUP('Données projet'!$B$13,Paramètres!$A$1:$I$89,3,0)*VLOOKUP('Données projet'!$B$13,Paramètres!$A$1:$I$89,5,0)</f>
        <v>428.61491400000023</v>
      </c>
      <c r="CV107" s="13">
        <f t="shared" si="95"/>
        <v>97.554366319707086</v>
      </c>
      <c r="CW107" s="20">
        <f t="shared" si="67"/>
        <v>916.41149655682364</v>
      </c>
      <c r="CX107" s="59">
        <f t="shared" si="68"/>
        <v>1194.8924693878846</v>
      </c>
      <c r="CY107" s="59">
        <f ca="1">AVERAGE(OFFSET($CX$3,0,0,'Données projet'!$E$13+1,1))-AVERAGE(OFFSET($H$3,0,0,'Données projet'!$E$13+1,1))</f>
        <v>592.58528889137358</v>
      </c>
      <c r="CZ107" s="59">
        <f t="shared" si="96"/>
        <v>311.31528020403709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120.64410311324392</v>
      </c>
      <c r="DG107" s="21">
        <f>EXP(-LN(2)/25)*DG106+(1-EXP(-LN(2)/25))/(LN(2)/25)*Calculateur!DB107*Calculateur!DD107*VLOOKUP('Données projet'!$B$13,Paramètres!$A$1:$I$89,3,0)*0.475*44/12</f>
        <v>0</v>
      </c>
      <c r="DH107" s="21">
        <f>EXP(-LN(2)/2)*DH106+(1-EXP(-LN(2)/2))/(LN(2)/2)*DB107*DE107*VLOOKUP('Données projet'!$B$13,Paramètres!$A$1:$I$89,3,0)*0.475*44/12</f>
        <v>0</v>
      </c>
      <c r="DI107" s="22">
        <f t="shared" si="69"/>
        <v>120.64410311324392</v>
      </c>
      <c r="DJ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2">
        <f>'Scénario référence'!$B$16*5+'Scénario référence'!$B$17*0+'Scénario référence'!$B$18*5</f>
        <v>5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66">
        <f t="shared" si="56"/>
        <v>183.33333333333334</v>
      </c>
      <c r="I108" s="6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9.7110000000000021</v>
      </c>
      <c r="N108" s="13">
        <f>IF('Données projet'!$A$36&gt;35,N107+M108-V107,IF(A108&lt;'Données projet'!$A$36,$K$205^A108,IF(A108='Données projet'!$A$36,'Données projet'!$B$36,N107+M108-V107)))</f>
        <v>460.1260000000002</v>
      </c>
      <c r="O108" s="13">
        <f>N108*VLOOKUP('Données projet'!$B$9,Paramètres!$A$1:$I$89,3,0)*VLOOKUP('Données projet'!$B$9,Paramètres!$A$1:$I$89,5,0)</f>
        <v>416.32200480000012</v>
      </c>
      <c r="P108" s="13">
        <f t="shared" si="87"/>
        <v>95.077959556166732</v>
      </c>
      <c r="Q108" s="20">
        <f t="shared" si="107"/>
        <v>890.68827125365715</v>
      </c>
      <c r="R108" s="59">
        <f t="shared" si="55"/>
        <v>1169.426899334529</v>
      </c>
      <c r="S108" s="59">
        <f ca="1">AVERAGE(OFFSET($R$3,0,0,'Données projet'!$E$9+1,1))-AVERAGE(OFFSET($H$3,0,0,'Données projet'!$E$9+1,1))</f>
        <v>567.42635821507474</v>
      </c>
      <c r="T108" s="59">
        <f t="shared" si="88"/>
        <v>299.04735309930152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112.46137800878928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112.46137800878928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>
        <f>VLOOKUP(A108,'Données projet'!$A$61:$I$81,2,0)</f>
        <v>409</v>
      </c>
      <c r="AG108" s="12">
        <f>VLOOKUP(A108,'Données projet'!$A$61:$I$81,9,0)</f>
        <v>6.6</v>
      </c>
      <c r="AH108" s="12">
        <f t="array" ref="AH108">INDEX(AG:AG,MIN(IF(ISNUMBER(AG108:AG304),ROW(AG108:AG304),"")))</f>
        <v>6.6</v>
      </c>
      <c r="AI108" s="13">
        <f>IF('Données projet'!$A$62&gt;35,AI107+AH108-AQ107,IF(A108&lt;'Données projet'!$A$62,$AF$205^A108,IF(A108='Données projet'!$A$62,'Données projet'!$B$62,AI107+AH108-AQ107)))</f>
        <v>409</v>
      </c>
      <c r="AJ108" s="13">
        <f>AI108*VLOOKUP('Données projet'!$B$10,Paramètres!$A$1:$I$89,3,0)*VLOOKUP('Données projet'!$B$10,Paramètres!$A$1:$I$89,5,0)</f>
        <v>350.92200000000003</v>
      </c>
      <c r="AK108" s="13">
        <f t="shared" si="89"/>
        <v>81.752331535154511</v>
      </c>
      <c r="AL108" s="20">
        <f t="shared" si="58"/>
        <v>753.57446075706082</v>
      </c>
      <c r="AM108" s="59">
        <f t="shared" si="59"/>
        <v>1032.3130888379326</v>
      </c>
      <c r="AN108" s="59">
        <f ca="1">AVERAGE(OFFSET($AM$3,0,0,'Données projet'!$E$10+1,1))-AVERAGE(OFFSET($H$3,0,0,'Données projet'!$E$10+1,1))</f>
        <v>481.23392184981651</v>
      </c>
      <c r="AO108" s="59">
        <f t="shared" si="90"/>
        <v>275.88160405468193</v>
      </c>
      <c r="AP108" s="15">
        <f>IF(ISNA(VLOOKUP(A108,'Données projet'!$A$61:$I$81,3,0)),0,VLOOKUP(A108,'Données projet'!$A$61:$I$81,3,0))</f>
        <v>17</v>
      </c>
      <c r="AQ108" s="15">
        <f>IF(ISNA(VLOOKUP(A108,'Données projet'!$A$61:$I$81,4,0)),0,VLOOKUP(A108,'Données projet'!$A$61:$I$81,4,0))</f>
        <v>23</v>
      </c>
      <c r="AR108" s="16">
        <f>IF(ISNA(VLOOKUP(A108,'Données projet'!$A$61:$I$81,5,0)),0%,VLOOKUP(A108,'Données projet'!$A$61:$I$81,5,0)*VLOOKUP('Données projet'!$B$10,Paramètres!$A$1:$I$89,7,0))</f>
        <v>0.53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108.83820646428737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108.83820646428737</v>
      </c>
      <c r="AY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328.00000000000006</v>
      </c>
      <c r="BE108" s="13">
        <f>BD108*VLOOKUP('Données projet'!$B$11,Paramètres!$A$1:$I$89,3,0)*VLOOKUP('Données projet'!$B$11,Paramètres!$A$1:$I$89,5,0)</f>
        <v>255.84000000000006</v>
      </c>
      <c r="BF108" s="13">
        <f t="shared" si="91"/>
        <v>61.834803371075836</v>
      </c>
      <c r="BG108" s="20">
        <f t="shared" si="61"/>
        <v>553.28361587129041</v>
      </c>
      <c r="BH108" s="59">
        <f t="shared" si="62"/>
        <v>832.02224395216217</v>
      </c>
      <c r="BI108" s="59">
        <f ca="1">AVERAGE(OFFSET($BH$3,0,0,'Données projet'!$E$11+1,1))-AVERAGE(OFFSET($H$3,0,0,'Données projet'!$E$11+1,1))</f>
        <v>308.85018589589453</v>
      </c>
      <c r="BJ108" s="59">
        <f t="shared" si="92"/>
        <v>302.59481222418219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24.696136238780358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24.696136238780358</v>
      </c>
      <c r="BT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9.7110000000000021</v>
      </c>
      <c r="BY108" s="12">
        <f>IF('Données projet'!$A$114&gt;35,BY107+BX108-CG107,IF(A108&lt;'Données projet'!$A$114,$BV$205^A108,IF(A108='Données projet'!$A$114,'Données projet'!$B$114,BY107+BX108-CG107)))</f>
        <v>460.1260000000002</v>
      </c>
      <c r="BZ108" s="13">
        <f>BY108*VLOOKUP('Données projet'!$B$12,Paramètres!$A$1:$I$89,3,0)*VLOOKUP('Données projet'!$B$12,Paramètres!$A$1:$I$89,5,0)</f>
        <v>445.0338672000002</v>
      </c>
      <c r="CA108" s="13">
        <f t="shared" si="93"/>
        <v>100.8491343158074</v>
      </c>
      <c r="CB108" s="20">
        <f t="shared" si="64"/>
        <v>950.74622764003141</v>
      </c>
      <c r="CC108" s="59">
        <f t="shared" si="65"/>
        <v>1229.4848557209032</v>
      </c>
      <c r="CD108" s="59">
        <f ca="1">AVERAGE(OFFSET($CC$3,0,0,'Données projet'!$E$12+1,1))-AVERAGE(OFFSET($H$3,0,0,'Données projet'!$E$12+1,1))</f>
        <v>600.96600099724276</v>
      </c>
      <c r="CE108" s="59">
        <f t="shared" si="94"/>
        <v>315.40159260706264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120.21733511284373</v>
      </c>
      <c r="CL108" s="21">
        <f>EXP(-LN(2)/25)*CL107+(1-EXP(-LN(2)/25))/(LN(2)/25)*Calculateur!CG108*Calculateur!CI108*VLOOKUP('Données projet'!$B$12,Paramètres!$A$1:$I$89,3,0)*0.475*44/12</f>
        <v>0</v>
      </c>
      <c r="CM108" s="21">
        <f>EXP(-LN(2)/2)*CM107+(1-EXP(-LN(2)/2))/(LN(2)/2)*CG108*CJ108*VLOOKUP('Données projet'!$B$12,Paramètres!$A$1:$I$89,3,0)*0.475*44/12</f>
        <v>0</v>
      </c>
      <c r="CN108" s="22">
        <f t="shared" si="66"/>
        <v>120.21733511284373</v>
      </c>
      <c r="CO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9.7110000000000021</v>
      </c>
      <c r="CT108" s="12">
        <f>IF('Données projet'!$A$140&gt;35,CT107+CS108-DB107,IF(A108&lt;'Données projet'!$A$140,$CQ$205^A108,IF(A108='Données projet'!$A$140,'Données projet'!$B$140,CT107+CS108-DB107)))</f>
        <v>460.1260000000002</v>
      </c>
      <c r="CU108" s="17">
        <f>CT108*VLOOKUP('Données projet'!$B$13,Paramètres!$A$1:$I$89,3,0)*VLOOKUP('Données projet'!$B$13,Paramètres!$A$1:$I$89,5,0)</f>
        <v>437.85590160000015</v>
      </c>
      <c r="CV108" s="13">
        <f t="shared" si="95"/>
        <v>99.410514151645486</v>
      </c>
      <c r="CW108" s="20">
        <f t="shared" si="67"/>
        <v>935.73900743411593</v>
      </c>
      <c r="CX108" s="59">
        <f t="shared" si="68"/>
        <v>1214.4776355149877</v>
      </c>
      <c r="CY108" s="59">
        <f ca="1">AVERAGE(OFFSET($CX$3,0,0,'Données projet'!$E$13+1,1))-AVERAGE(OFFSET($H$3,0,0,'Données projet'!$E$13+1,1))</f>
        <v>592.58528889137358</v>
      </c>
      <c r="CZ108" s="59">
        <f t="shared" si="96"/>
        <v>311.31528020403709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118.27834583683013</v>
      </c>
      <c r="DG108" s="21">
        <f>EXP(-LN(2)/25)*DG107+(1-EXP(-LN(2)/25))/(LN(2)/25)*Calculateur!DB108*Calculateur!DD108*VLOOKUP('Données projet'!$B$13,Paramètres!$A$1:$I$89,3,0)*0.475*44/12</f>
        <v>0</v>
      </c>
      <c r="DH108" s="21">
        <f>EXP(-LN(2)/2)*DH107+(1-EXP(-LN(2)/2))/(LN(2)/2)*DB108*DE108*VLOOKUP('Données projet'!$B$13,Paramètres!$A$1:$I$89,3,0)*0.475*44/12</f>
        <v>0</v>
      </c>
      <c r="DI108" s="22">
        <f t="shared" si="69"/>
        <v>118.27834583683013</v>
      </c>
      <c r="DJ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2">
        <f>'Scénario référence'!$B$16*5+'Scénario référence'!$B$17*0+'Scénario référence'!$B$18*5</f>
        <v>5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66">
        <f t="shared" si="56"/>
        <v>183.33333333333334</v>
      </c>
      <c r="I109" s="6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9.7110000000000021</v>
      </c>
      <c r="N109" s="13">
        <f>IF('Données projet'!$A$36&gt;35,N108+M109-V108,IF(A109&lt;'Données projet'!$A$36,$K$205^A109,IF(A109='Données projet'!$A$36,'Données projet'!$B$36,N108+M109-V108)))</f>
        <v>469.83700000000022</v>
      </c>
      <c r="O109" s="13">
        <f>N109*VLOOKUP('Données projet'!$B$9,Paramètres!$A$1:$I$89,3,0)*VLOOKUP('Données projet'!$B$9,Paramètres!$A$1:$I$89,5,0)</f>
        <v>425.10851760000014</v>
      </c>
      <c r="P109" s="13">
        <f t="shared" si="87"/>
        <v>96.848855770846484</v>
      </c>
      <c r="Q109" s="20">
        <f t="shared" si="107"/>
        <v>909.07575862089118</v>
      </c>
      <c r="R109" s="59">
        <f t="shared" si="55"/>
        <v>1188.0675722090202</v>
      </c>
      <c r="S109" s="59">
        <f ca="1">AVERAGE(OFFSET($R$3,0,0,'Données projet'!$E$9+1,1))-AVERAGE(OFFSET($H$3,0,0,'Données projet'!$E$9+1,1))</f>
        <v>567.42635821507474</v>
      </c>
      <c r="T109" s="59">
        <f t="shared" si="88"/>
        <v>299.04735309930152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110.25607898070434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110.25607898070434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6.8</v>
      </c>
      <c r="AI109" s="13">
        <f>IF('Données projet'!$A$62&gt;35,AI108+AH109-AQ108,IF(A109&lt;'Données projet'!$A$62,$AF$205^A109,IF(A109='Données projet'!$A$62,'Données projet'!$B$62,AI108+AH109-AQ108)))</f>
        <v>392.8</v>
      </c>
      <c r="AJ109" s="13">
        <f>AI109*VLOOKUP('Données projet'!$B$10,Paramètres!$A$1:$I$89,3,0)*VLOOKUP('Données projet'!$B$10,Paramètres!$A$1:$I$89,5,0)</f>
        <v>337.02240000000006</v>
      </c>
      <c r="AK109" s="13">
        <f t="shared" si="89"/>
        <v>78.884440823098231</v>
      </c>
      <c r="AL109" s="20">
        <f t="shared" si="58"/>
        <v>724.37108110022939</v>
      </c>
      <c r="AM109" s="59">
        <f t="shared" si="59"/>
        <v>1003.3628946883584</v>
      </c>
      <c r="AN109" s="59">
        <f ca="1">AVERAGE(OFFSET($AM$3,0,0,'Données projet'!$E$10+1,1))-AVERAGE(OFFSET($H$3,0,0,'Données projet'!$E$10+1,1))</f>
        <v>481.23392184981651</v>
      </c>
      <c r="AO109" s="59">
        <f t="shared" si="90"/>
        <v>275.88160405468193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106.70395562027369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106.70395562027369</v>
      </c>
      <c r="AY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328.00000000000006</v>
      </c>
      <c r="BE109" s="13">
        <f>BD109*VLOOKUP('Données projet'!$B$11,Paramètres!$A$1:$I$89,3,0)*VLOOKUP('Données projet'!$B$11,Paramètres!$A$1:$I$89,5,0)</f>
        <v>255.84000000000006</v>
      </c>
      <c r="BF109" s="13">
        <f t="shared" si="91"/>
        <v>61.834803371075836</v>
      </c>
      <c r="BG109" s="20">
        <f t="shared" si="61"/>
        <v>553.28361587129041</v>
      </c>
      <c r="BH109" s="59">
        <f t="shared" si="62"/>
        <v>832.27542945941946</v>
      </c>
      <c r="BI109" s="59">
        <f ca="1">AVERAGE(OFFSET($BH$3,0,0,'Données projet'!$E$11+1,1))-AVERAGE(OFFSET($H$3,0,0,'Données projet'!$E$11+1,1))</f>
        <v>308.85018589589453</v>
      </c>
      <c r="BJ109" s="59">
        <f t="shared" si="92"/>
        <v>302.59481222418219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24.211860070293618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24.211860070293618</v>
      </c>
      <c r="BT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9.7110000000000021</v>
      </c>
      <c r="BY109" s="12">
        <f>IF('Données projet'!$A$114&gt;35,BY108+BX109-CG108,IF(A109&lt;'Données projet'!$A$114,$BV$205^A109,IF(A109='Données projet'!$A$114,'Données projet'!$B$114,BY108+BX109-CG108)))</f>
        <v>469.83700000000022</v>
      </c>
      <c r="BZ109" s="13">
        <f>BY109*VLOOKUP('Données projet'!$B$12,Paramètres!$A$1:$I$89,3,0)*VLOOKUP('Données projet'!$B$12,Paramètres!$A$1:$I$89,5,0)</f>
        <v>454.42634640000023</v>
      </c>
      <c r="CA109" s="13">
        <f t="shared" si="93"/>
        <v>102.72752286187283</v>
      </c>
      <c r="CB109" s="20">
        <f t="shared" si="64"/>
        <v>970.37632229776216</v>
      </c>
      <c r="CC109" s="59">
        <f t="shared" si="65"/>
        <v>1249.3681358858912</v>
      </c>
      <c r="CD109" s="59">
        <f ca="1">AVERAGE(OFFSET($CC$3,0,0,'Données projet'!$E$12+1,1))-AVERAGE(OFFSET($H$3,0,0,'Données projet'!$E$12+1,1))</f>
        <v>600.96600099724276</v>
      </c>
      <c r="CE109" s="59">
        <f t="shared" si="94"/>
        <v>315.40159260706264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117.85994649661501</v>
      </c>
      <c r="CL109" s="21">
        <f>EXP(-LN(2)/25)*CL108+(1-EXP(-LN(2)/25))/(LN(2)/25)*Calculateur!CG109*Calculateur!CI109*VLOOKUP('Données projet'!$B$12,Paramètres!$A$1:$I$89,3,0)*0.475*44/12</f>
        <v>0</v>
      </c>
      <c r="CM109" s="21">
        <f>EXP(-LN(2)/2)*CM108+(1-EXP(-LN(2)/2))/(LN(2)/2)*CG109*CJ109*VLOOKUP('Données projet'!$B$12,Paramètres!$A$1:$I$89,3,0)*0.475*44/12</f>
        <v>0</v>
      </c>
      <c r="CN109" s="22">
        <f t="shared" si="66"/>
        <v>117.85994649661501</v>
      </c>
      <c r="CO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9.7110000000000021</v>
      </c>
      <c r="CT109" s="12">
        <f>IF('Données projet'!$A$140&gt;35,CT108+CS109-DB108,IF(A109&lt;'Données projet'!$A$140,$CQ$205^A109,IF(A109='Données projet'!$A$140,'Données projet'!$B$140,CT108+CS109-DB108)))</f>
        <v>469.83700000000022</v>
      </c>
      <c r="CU109" s="17">
        <f>CT109*VLOOKUP('Données projet'!$B$13,Paramètres!$A$1:$I$89,3,0)*VLOOKUP('Données projet'!$B$13,Paramètres!$A$1:$I$89,5,0)</f>
        <v>447.09688920000019</v>
      </c>
      <c r="CV109" s="13">
        <f t="shared" si="95"/>
        <v>101.26210734981989</v>
      </c>
      <c r="CW109" s="20">
        <f t="shared" si="67"/>
        <v>955.0585856576032</v>
      </c>
      <c r="CX109" s="59">
        <f t="shared" si="68"/>
        <v>1234.0503992457323</v>
      </c>
      <c r="CY109" s="59">
        <f ca="1">AVERAGE(OFFSET($CX$3,0,0,'Données projet'!$E$13+1,1))-AVERAGE(OFFSET($H$3,0,0,'Données projet'!$E$13+1,1))</f>
        <v>592.58528889137358</v>
      </c>
      <c r="CZ109" s="59">
        <f t="shared" si="96"/>
        <v>311.31528020403709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115.95897961763735</v>
      </c>
      <c r="DG109" s="21">
        <f>EXP(-LN(2)/25)*DG108+(1-EXP(-LN(2)/25))/(LN(2)/25)*Calculateur!DB109*Calculateur!DD109*VLOOKUP('Données projet'!$B$13,Paramètres!$A$1:$I$89,3,0)*0.475*44/12</f>
        <v>0</v>
      </c>
      <c r="DH109" s="21">
        <f>EXP(-LN(2)/2)*DH108+(1-EXP(-LN(2)/2))/(LN(2)/2)*DB109*DE109*VLOOKUP('Données projet'!$B$13,Paramètres!$A$1:$I$89,3,0)*0.475*44/12</f>
        <v>0</v>
      </c>
      <c r="DI109" s="22">
        <f t="shared" si="69"/>
        <v>115.95897961763735</v>
      </c>
      <c r="DJ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2">
        <f>'Scénario référence'!$B$16*5+'Scénario référence'!$B$17*0+'Scénario référence'!$B$18*5</f>
        <v>5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66">
        <f t="shared" si="56"/>
        <v>183.33333333333334</v>
      </c>
      <c r="I110" s="6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9.7110000000000021</v>
      </c>
      <c r="N110" s="13">
        <f>IF('Données projet'!$A$36&gt;35,N109+M110-V109,IF(A110&lt;'Données projet'!$A$36,$K$205^A110,IF(A110='Données projet'!$A$36,'Données projet'!$B$36,N109+M110-V109)))</f>
        <v>479.54800000000023</v>
      </c>
      <c r="O110" s="13">
        <f>N110*VLOOKUP('Données projet'!$B$9,Paramètres!$A$1:$I$89,3,0)*VLOOKUP('Données projet'!$B$9,Paramètres!$A$1:$I$89,5,0)</f>
        <v>433.89503040000017</v>
      </c>
      <c r="P110" s="13">
        <f t="shared" si="87"/>
        <v>98.615496264061846</v>
      </c>
      <c r="Q110" s="20">
        <f t="shared" si="107"/>
        <v>927.45583393990785</v>
      </c>
      <c r="R110" s="59">
        <f t="shared" si="55"/>
        <v>1206.6964408327815</v>
      </c>
      <c r="S110" s="59">
        <f ca="1">AVERAGE(OFFSET($R$3,0,0,'Données projet'!$E$9+1,1))-AVERAGE(OFFSET($H$3,0,0,'Données projet'!$E$9+1,1))</f>
        <v>567.42635821507474</v>
      </c>
      <c r="T110" s="59">
        <f t="shared" si="88"/>
        <v>299.04735309930152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108.09402452146057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108.09402452146057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6.8</v>
      </c>
      <c r="AI110" s="13">
        <f>IF('Données projet'!$A$62&gt;35,AI109+AH110-AQ109,IF(A110&lt;'Données projet'!$A$62,$AF$205^A110,IF(A110='Données projet'!$A$62,'Données projet'!$B$62,AI109+AH110-AQ109)))</f>
        <v>399.6</v>
      </c>
      <c r="AJ110" s="13">
        <f>AI110*VLOOKUP('Données projet'!$B$10,Paramètres!$A$1:$I$89,3,0)*VLOOKUP('Données projet'!$B$10,Paramètres!$A$1:$I$89,5,0)</f>
        <v>342.85680000000008</v>
      </c>
      <c r="AK110" s="13">
        <f t="shared" si="89"/>
        <v>80.089891653777826</v>
      </c>
      <c r="AL110" s="20">
        <f t="shared" si="58"/>
        <v>736.63215463032975</v>
      </c>
      <c r="AM110" s="59">
        <f t="shared" si="59"/>
        <v>1015.8727615232034</v>
      </c>
      <c r="AN110" s="59">
        <f ca="1">AVERAGE(OFFSET($AM$3,0,0,'Données projet'!$E$10+1,1))-AVERAGE(OFFSET($H$3,0,0,'Données projet'!$E$10+1,1))</f>
        <v>481.23392184981651</v>
      </c>
      <c r="AO110" s="59">
        <f t="shared" si="90"/>
        <v>275.88160405468193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104.61155613354664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104.61155613354664</v>
      </c>
      <c r="AY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328.00000000000006</v>
      </c>
      <c r="BE110" s="13">
        <f>BD110*VLOOKUP('Données projet'!$B$11,Paramètres!$A$1:$I$89,3,0)*VLOOKUP('Données projet'!$B$11,Paramètres!$A$1:$I$89,5,0)</f>
        <v>255.84000000000006</v>
      </c>
      <c r="BF110" s="13">
        <f t="shared" si="91"/>
        <v>61.834803371075836</v>
      </c>
      <c r="BG110" s="20">
        <f t="shared" si="61"/>
        <v>553.28361587129041</v>
      </c>
      <c r="BH110" s="59">
        <f t="shared" si="62"/>
        <v>832.52422276416405</v>
      </c>
      <c r="BI110" s="59">
        <f ca="1">AVERAGE(OFFSET($BH$3,0,0,'Données projet'!$E$11+1,1))-AVERAGE(OFFSET($H$3,0,0,'Données projet'!$E$11+1,1))</f>
        <v>308.85018589589453</v>
      </c>
      <c r="BJ110" s="59">
        <f t="shared" si="92"/>
        <v>302.59481222418219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23.737080262091606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23.737080262091606</v>
      </c>
      <c r="BT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9.7110000000000021</v>
      </c>
      <c r="BY110" s="12">
        <f>IF('Données projet'!$A$114&gt;35,BY109+BX110-CG109,IF(A110&lt;'Données projet'!$A$114,$BV$205^A110,IF(A110='Données projet'!$A$114,'Données projet'!$B$114,BY109+BX110-CG109)))</f>
        <v>479.54800000000023</v>
      </c>
      <c r="BZ110" s="13">
        <f>BY110*VLOOKUP('Données projet'!$B$12,Paramètres!$A$1:$I$89,3,0)*VLOOKUP('Données projet'!$B$12,Paramètres!$A$1:$I$89,5,0)</f>
        <v>463.81882560000025</v>
      </c>
      <c r="CA110" s="13">
        <f t="shared" si="93"/>
        <v>104.60139736674985</v>
      </c>
      <c r="CB110" s="20">
        <f t="shared" si="64"/>
        <v>989.99855500042293</v>
      </c>
      <c r="CC110" s="59">
        <f t="shared" si="65"/>
        <v>1269.2391618932966</v>
      </c>
      <c r="CD110" s="59">
        <f ca="1">AVERAGE(OFFSET($CC$3,0,0,'Données projet'!$E$12+1,1))-AVERAGE(OFFSET($H$3,0,0,'Données projet'!$E$12+1,1))</f>
        <v>600.96600099724276</v>
      </c>
      <c r="CE110" s="59">
        <f t="shared" si="94"/>
        <v>315.40159260706264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115.54878483328545</v>
      </c>
      <c r="CL110" s="21">
        <f>EXP(-LN(2)/25)*CL109+(1-EXP(-LN(2)/25))/(LN(2)/25)*Calculateur!CG110*Calculateur!CI110*VLOOKUP('Données projet'!$B$12,Paramètres!$A$1:$I$89,3,0)*0.475*44/12</f>
        <v>0</v>
      </c>
      <c r="CM110" s="21">
        <f>EXP(-LN(2)/2)*CM109+(1-EXP(-LN(2)/2))/(LN(2)/2)*CG110*CJ110*VLOOKUP('Données projet'!$B$12,Paramètres!$A$1:$I$89,3,0)*0.475*44/12</f>
        <v>0</v>
      </c>
      <c r="CN110" s="22">
        <f t="shared" si="66"/>
        <v>115.54878483328545</v>
      </c>
      <c r="CO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9.7110000000000021</v>
      </c>
      <c r="CT110" s="12">
        <f>IF('Données projet'!$A$140&gt;35,CT109+CS110-DB109,IF(A110&lt;'Données projet'!$A$140,$CQ$205^A110,IF(A110='Données projet'!$A$140,'Données projet'!$B$140,CT109+CS110-DB109)))</f>
        <v>479.54800000000023</v>
      </c>
      <c r="CU110" s="17">
        <f>CT110*VLOOKUP('Données projet'!$B$13,Paramètres!$A$1:$I$89,3,0)*VLOOKUP('Données projet'!$B$13,Paramètres!$A$1:$I$89,5,0)</f>
        <v>456.33787680000023</v>
      </c>
      <c r="CV110" s="13">
        <f t="shared" si="95"/>
        <v>103.10925089992845</v>
      </c>
      <c r="CW110" s="20">
        <f t="shared" si="67"/>
        <v>974.37041407737581</v>
      </c>
      <c r="CX110" s="59">
        <f t="shared" si="68"/>
        <v>1253.6110209702495</v>
      </c>
      <c r="CY110" s="59">
        <f ca="1">AVERAGE(OFFSET($CX$3,0,0,'Données projet'!$E$13+1,1))-AVERAGE(OFFSET($H$3,0,0,'Données projet'!$E$13+1,1))</f>
        <v>592.58528889137358</v>
      </c>
      <c r="CZ110" s="59">
        <f t="shared" si="96"/>
        <v>311.31528020403709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113.68509475532925</v>
      </c>
      <c r="DG110" s="21">
        <f>EXP(-LN(2)/25)*DG109+(1-EXP(-LN(2)/25))/(LN(2)/25)*Calculateur!DB110*Calculateur!DD110*VLOOKUP('Données projet'!$B$13,Paramètres!$A$1:$I$89,3,0)*0.475*44/12</f>
        <v>0</v>
      </c>
      <c r="DH110" s="21">
        <f>EXP(-LN(2)/2)*DH109+(1-EXP(-LN(2)/2))/(LN(2)/2)*DB110*DE110*VLOOKUP('Données projet'!$B$13,Paramètres!$A$1:$I$89,3,0)*0.475*44/12</f>
        <v>0</v>
      </c>
      <c r="DI110" s="22">
        <f t="shared" si="69"/>
        <v>113.68509475532925</v>
      </c>
      <c r="DJ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2">
        <f>'Scénario référence'!$B$16*5+'Scénario référence'!$B$17*0+'Scénario référence'!$B$18*5</f>
        <v>5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66">
        <f t="shared" si="56"/>
        <v>183.33333333333334</v>
      </c>
      <c r="I111" s="6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9.7110000000000021</v>
      </c>
      <c r="N111" s="13">
        <f>IF('Données projet'!$A$36&gt;35,N110+M111-V110,IF(A111&lt;'Données projet'!$A$36,$K$205^A111,IF(A111='Données projet'!$A$36,'Données projet'!$B$36,N110+M111-V110)))</f>
        <v>489.25900000000024</v>
      </c>
      <c r="O111" s="13">
        <f>N111*VLOOKUP('Données projet'!$B$9,Paramètres!$A$1:$I$89,3,0)*VLOOKUP('Données projet'!$B$9,Paramètres!$A$1:$I$89,5,0)</f>
        <v>442.68154320000019</v>
      </c>
      <c r="P111" s="13">
        <f t="shared" si="87"/>
        <v>100.37797714680627</v>
      </c>
      <c r="Q111" s="20">
        <f t="shared" si="107"/>
        <v>945.82866460402113</v>
      </c>
      <c r="R111" s="59">
        <f t="shared" si="55"/>
        <v>1225.3137487940205</v>
      </c>
      <c r="S111" s="59">
        <f ca="1">AVERAGE(OFFSET($R$3,0,0,'Données projet'!$E$9+1,1))-AVERAGE(OFFSET($H$3,0,0,'Données projet'!$E$9+1,1))</f>
        <v>567.42635821507474</v>
      </c>
      <c r="T111" s="59">
        <f t="shared" si="88"/>
        <v>299.04735309930152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105.97436663143955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105.97436663143955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6.8</v>
      </c>
      <c r="AI111" s="13">
        <f>IF('Données projet'!$A$62&gt;35,AI110+AH111-AQ110,IF(A111&lt;'Données projet'!$A$62,$AF$205^A111,IF(A111='Données projet'!$A$62,'Données projet'!$B$62,AI110+AH111-AQ110)))</f>
        <v>406.40000000000003</v>
      </c>
      <c r="AJ111" s="13">
        <f>AI111*VLOOKUP('Données projet'!$B$10,Paramètres!$A$1:$I$89,3,0)*VLOOKUP('Données projet'!$B$10,Paramètres!$A$1:$I$89,5,0)</f>
        <v>348.69120000000009</v>
      </c>
      <c r="AK111" s="13">
        <f t="shared" si="89"/>
        <v>81.292956992128126</v>
      </c>
      <c r="AL111" s="20">
        <f t="shared" si="58"/>
        <v>748.88907342795665</v>
      </c>
      <c r="AM111" s="59">
        <f t="shared" si="59"/>
        <v>1028.3741576179559</v>
      </c>
      <c r="AN111" s="59">
        <f ca="1">AVERAGE(OFFSET($AM$3,0,0,'Données projet'!$E$10+1,1))-AVERAGE(OFFSET($H$3,0,0,'Données projet'!$E$10+1,1))</f>
        <v>481.23392184981651</v>
      </c>
      <c r="AO111" s="59">
        <f t="shared" si="90"/>
        <v>275.88160405468193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102.56018732451665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102.56018732451665</v>
      </c>
      <c r="AY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328.00000000000006</v>
      </c>
      <c r="BE111" s="13">
        <f>BD111*VLOOKUP('Données projet'!$B$11,Paramètres!$A$1:$I$89,3,0)*VLOOKUP('Données projet'!$B$11,Paramètres!$A$1:$I$89,5,0)</f>
        <v>255.84000000000006</v>
      </c>
      <c r="BF111" s="13">
        <f t="shared" si="91"/>
        <v>61.834803371075836</v>
      </c>
      <c r="BG111" s="20">
        <f t="shared" si="61"/>
        <v>553.28361587129041</v>
      </c>
      <c r="BH111" s="59">
        <f t="shared" si="62"/>
        <v>832.76870006128979</v>
      </c>
      <c r="BI111" s="59">
        <f ca="1">AVERAGE(OFFSET($BH$3,0,0,'Données projet'!$E$11+1,1))-AVERAGE(OFFSET($H$3,0,0,'Données projet'!$E$11+1,1))</f>
        <v>308.85018589589453</v>
      </c>
      <c r="BJ111" s="59">
        <f t="shared" si="92"/>
        <v>302.59481222418219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23.271610596341347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23.271610596341347</v>
      </c>
      <c r="BT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9.7110000000000021</v>
      </c>
      <c r="BY111" s="12">
        <f>IF('Données projet'!$A$114&gt;35,BY110+BX111-CG110,IF(A111&lt;'Données projet'!$A$114,$BV$205^A111,IF(A111='Données projet'!$A$114,'Données projet'!$B$114,BY110+BX111-CG110)))</f>
        <v>489.25900000000024</v>
      </c>
      <c r="BZ111" s="13">
        <f>BY111*VLOOKUP('Données projet'!$B$12,Paramètres!$A$1:$I$89,3,0)*VLOOKUP('Données projet'!$B$12,Paramètres!$A$1:$I$89,5,0)</f>
        <v>473.21130480000028</v>
      </c>
      <c r="CA111" s="13">
        <f t="shared" si="93"/>
        <v>106.47085977531083</v>
      </c>
      <c r="CB111" s="20">
        <f t="shared" si="64"/>
        <v>1009.6131033020002</v>
      </c>
      <c r="CC111" s="59">
        <f t="shared" si="65"/>
        <v>1289.0981874919996</v>
      </c>
      <c r="CD111" s="59">
        <f ca="1">AVERAGE(OFFSET($CC$3,0,0,'Données projet'!$E$12+1,1))-AVERAGE(OFFSET($H$3,0,0,'Données projet'!$E$12+1,1))</f>
        <v>600.96600099724276</v>
      </c>
      <c r="CE111" s="59">
        <f t="shared" si="94"/>
        <v>315.40159260706264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113.28294364050437</v>
      </c>
      <c r="CL111" s="21">
        <f>EXP(-LN(2)/25)*CL110+(1-EXP(-LN(2)/25))/(LN(2)/25)*Calculateur!CG111*Calculateur!CI111*VLOOKUP('Données projet'!$B$12,Paramètres!$A$1:$I$89,3,0)*0.475*44/12</f>
        <v>0</v>
      </c>
      <c r="CM111" s="21">
        <f>EXP(-LN(2)/2)*CM110+(1-EXP(-LN(2)/2))/(LN(2)/2)*CG111*CJ111*VLOOKUP('Données projet'!$B$12,Paramètres!$A$1:$I$89,3,0)*0.475*44/12</f>
        <v>0</v>
      </c>
      <c r="CN111" s="22">
        <f t="shared" si="66"/>
        <v>113.28294364050437</v>
      </c>
      <c r="CO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9.7110000000000021</v>
      </c>
      <c r="CT111" s="12">
        <f>IF('Données projet'!$A$140&gt;35,CT110+CS111-DB110,IF(A111&lt;'Données projet'!$A$140,$CQ$205^A111,IF(A111='Données projet'!$A$140,'Données projet'!$B$140,CT110+CS111-DB110)))</f>
        <v>489.25900000000024</v>
      </c>
      <c r="CU111" s="17">
        <f>CT111*VLOOKUP('Données projet'!$B$13,Paramètres!$A$1:$I$89,3,0)*VLOOKUP('Données projet'!$B$13,Paramètres!$A$1:$I$89,5,0)</f>
        <v>465.57886440000021</v>
      </c>
      <c r="CV111" s="13">
        <f t="shared" si="95"/>
        <v>104.95204529259286</v>
      </c>
      <c r="CW111" s="20">
        <f t="shared" si="67"/>
        <v>993.67466771459942</v>
      </c>
      <c r="CX111" s="59">
        <f t="shared" si="68"/>
        <v>1273.1597519045988</v>
      </c>
      <c r="CY111" s="59">
        <f ca="1">AVERAGE(OFFSET($CX$3,0,0,'Données projet'!$E$13+1,1))-AVERAGE(OFFSET($H$3,0,0,'Données projet'!$E$13+1,1))</f>
        <v>592.58528889137358</v>
      </c>
      <c r="CZ111" s="59">
        <f t="shared" si="96"/>
        <v>311.31528020403709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111.45579938823818</v>
      </c>
      <c r="DG111" s="21">
        <f>EXP(-LN(2)/25)*DG110+(1-EXP(-LN(2)/25))/(LN(2)/25)*Calculateur!DB111*Calculateur!DD111*VLOOKUP('Données projet'!$B$13,Paramètres!$A$1:$I$89,3,0)*0.475*44/12</f>
        <v>0</v>
      </c>
      <c r="DH111" s="21">
        <f>EXP(-LN(2)/2)*DH110+(1-EXP(-LN(2)/2))/(LN(2)/2)*DB111*DE111*VLOOKUP('Données projet'!$B$13,Paramètres!$A$1:$I$89,3,0)*0.475*44/12</f>
        <v>0</v>
      </c>
      <c r="DI111" s="22">
        <f t="shared" si="69"/>
        <v>111.45579938823818</v>
      </c>
      <c r="DJ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2">
        <f>'Scénario référence'!$B$16*5+'Scénario référence'!$B$17*0+'Scénario référence'!$B$18*5</f>
        <v>5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66">
        <f t="shared" si="56"/>
        <v>183.33333333333334</v>
      </c>
      <c r="I112" s="6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>
        <f>VLOOKUP(A112,'Données projet'!$A$35:$I$55,2,0)</f>
        <v>498.97</v>
      </c>
      <c r="L112" s="12">
        <f>VLOOKUP(A112,'Données projet'!$A$35:$I$55,9,0)</f>
        <v>9.7110000000000021</v>
      </c>
      <c r="M112" s="12">
        <f t="array" ref="M112">INDEX(L:L,MIN(IF(ISNUMBER(L112:L308),ROW(L112:L308),"")))</f>
        <v>9.7110000000000021</v>
      </c>
      <c r="N112" s="13">
        <f>IF('Données projet'!$A$36&gt;35,N111+M112-V111,IF(A112&lt;'Données projet'!$A$36,$K$205^A112,IF(A112='Données projet'!$A$36,'Données projet'!$B$36,N111+M112-V111)))</f>
        <v>498.97000000000025</v>
      </c>
      <c r="O112" s="13">
        <f>N112*VLOOKUP('Données projet'!$B$9,Paramètres!$A$1:$I$89,3,0)*VLOOKUP('Données projet'!$B$9,Paramètres!$A$1:$I$89,5,0)</f>
        <v>451.46805600000022</v>
      </c>
      <c r="P112" s="13">
        <f t="shared" si="87"/>
        <v>102.13639049659324</v>
      </c>
      <c r="Q112" s="20">
        <f t="shared" si="107"/>
        <v>964.19441098156688</v>
      </c>
      <c r="R112" s="59">
        <f t="shared" si="55"/>
        <v>1243.919731334156</v>
      </c>
      <c r="S112" s="59">
        <f ca="1">AVERAGE(OFFSET($R$3,0,0,'Données projet'!$E$9+1,1))-AVERAGE(OFFSET($H$3,0,0,'Données projet'!$E$9+1,1))</f>
        <v>567.42635821507474</v>
      </c>
      <c r="T112" s="59">
        <f t="shared" si="88"/>
        <v>299.04735309930152</v>
      </c>
      <c r="U112" s="15">
        <f>IF(ISNA(VLOOKUP(A112,'Données projet'!$A$35:$I$55,3,0)),0,VLOOKUP(A112,'Données projet'!$A$35:$I$55,3,0))</f>
        <v>10</v>
      </c>
      <c r="V112" s="15">
        <f>IF(ISNA(VLOOKUP(A112,'Données projet'!$A$35:$I$55,4,0)),0,VLOOKUP(A112,'Données projet'!$A$35:$I$55,4,0))</f>
        <v>66.959999999999994</v>
      </c>
      <c r="W112" s="16">
        <f>IF(ISNA(VLOOKUP(A112,'Données projet'!$A$35:$I$55,5,0)),0%,VLOOKUP(A112,'Données projet'!$A$35:$I$55,5,0)*VLOOKUP('Données projet'!$B$9,Paramètres!$A$1:$I$89,7,0))</f>
        <v>0.43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132.69568474942321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132.69568474942321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6.8</v>
      </c>
      <c r="AI112" s="13">
        <f>IF('Données projet'!$A$62&gt;35,AI111+AH112-AQ111,IF(A112&lt;'Données projet'!$A$62,$AF$205^A112,IF(A112='Données projet'!$A$62,'Données projet'!$B$62,AI111+AH112-AQ111)))</f>
        <v>413.20000000000005</v>
      </c>
      <c r="AJ112" s="13">
        <f>AI112*VLOOKUP('Données projet'!$B$10,Paramètres!$A$1:$I$89,3,0)*VLOOKUP('Données projet'!$B$10,Paramètres!$A$1:$I$89,5,0)</f>
        <v>354.52560000000011</v>
      </c>
      <c r="AK112" s="13">
        <f t="shared" si="89"/>
        <v>82.493681359778094</v>
      </c>
      <c r="AL112" s="20">
        <f t="shared" si="58"/>
        <v>761.14191503494703</v>
      </c>
      <c r="AM112" s="59">
        <f t="shared" si="59"/>
        <v>1040.8672353875363</v>
      </c>
      <c r="AN112" s="59">
        <f ca="1">AVERAGE(OFFSET($AM$3,0,0,'Données projet'!$E$10+1,1))-AVERAGE(OFFSET($H$3,0,0,'Données projet'!$E$10+1,1))</f>
        <v>481.23392184981651</v>
      </c>
      <c r="AO112" s="59">
        <f t="shared" si="90"/>
        <v>275.88160405468193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100.5490446066203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100.5490446066203</v>
      </c>
      <c r="AY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328.00000000000006</v>
      </c>
      <c r="BE112" s="13">
        <f>BD112*VLOOKUP('Données projet'!$B$11,Paramètres!$A$1:$I$89,3,0)*VLOOKUP('Données projet'!$B$11,Paramètres!$A$1:$I$89,5,0)</f>
        <v>255.84000000000006</v>
      </c>
      <c r="BF112" s="13">
        <f t="shared" si="91"/>
        <v>61.834803371075836</v>
      </c>
      <c r="BG112" s="20">
        <f t="shared" si="61"/>
        <v>553.28361587129041</v>
      </c>
      <c r="BH112" s="59">
        <f t="shared" si="62"/>
        <v>833.00893622387969</v>
      </c>
      <c r="BI112" s="59">
        <f ca="1">AVERAGE(OFFSET($BH$3,0,0,'Données projet'!$E$11+1,1))-AVERAGE(OFFSET($H$3,0,0,'Données projet'!$E$11+1,1))</f>
        <v>308.85018589589453</v>
      </c>
      <c r="BJ112" s="59">
        <f t="shared" si="92"/>
        <v>302.59481222418219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22.815268506827987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22.815268506827987</v>
      </c>
      <c r="BT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>
        <f>VLOOKUP(A112,'Données projet'!$A$113:$I$133,2,0)</f>
        <v>498.97</v>
      </c>
      <c r="BW112" s="12">
        <f>VLOOKUP(A112,'Données projet'!$A$113:$I$133,9,0)</f>
        <v>9.7110000000000021</v>
      </c>
      <c r="BX112" s="12">
        <f t="array" ref="BX112">INDEX(BW:BW,MIN(IF(ISNUMBER(BW112:BW308),ROW(BW112:BW308),"")))</f>
        <v>9.7110000000000021</v>
      </c>
      <c r="BY112" s="12">
        <f>IF('Données projet'!$A$114&gt;35,BY111+BX112-CG111,IF(A112&lt;'Données projet'!$A$114,$BV$205^A112,IF(A112='Données projet'!$A$114,'Données projet'!$B$114,BY111+BX112-CG111)))</f>
        <v>498.97000000000025</v>
      </c>
      <c r="BZ112" s="13">
        <f>BY112*VLOOKUP('Données projet'!$B$12,Paramètres!$A$1:$I$89,3,0)*VLOOKUP('Données projet'!$B$12,Paramètres!$A$1:$I$89,5,0)</f>
        <v>482.6037840000003</v>
      </c>
      <c r="CA112" s="13">
        <f t="shared" si="93"/>
        <v>108.33600775411885</v>
      </c>
      <c r="CB112" s="20">
        <f t="shared" si="64"/>
        <v>1029.2201373050909</v>
      </c>
      <c r="CC112" s="59">
        <f t="shared" si="65"/>
        <v>1308.9454576576802</v>
      </c>
      <c r="CD112" s="59">
        <f ca="1">AVERAGE(OFFSET($CC$3,0,0,'Données projet'!$E$12+1,1))-AVERAGE(OFFSET($H$3,0,0,'Données projet'!$E$12+1,1))</f>
        <v>600.96600099724276</v>
      </c>
      <c r="CE112" s="59">
        <f t="shared" si="94"/>
        <v>315.40159260706264</v>
      </c>
      <c r="CF112" s="15">
        <f>IF(ISNA(VLOOKUP(A112,'Données projet'!$A$113:$I$133,3,0)),0,VLOOKUP(A112,'Données projet'!$A$113:$I$133,3,0))</f>
        <v>10</v>
      </c>
      <c r="CG112" s="15">
        <f>IF(ISNA(VLOOKUP(A112,'Données projet'!$A$113:$I$133,4,0)),0,VLOOKUP(A112,'Données projet'!$A$113:$I$133,4,0))</f>
        <v>66.959999999999994</v>
      </c>
      <c r="CH112" s="16">
        <f>IF(ISNA(VLOOKUP(A112,'Données projet'!$A$113:$I$133,5,0)),0%,VLOOKUP(A112,'Données projet'!$A$113:$I$133,5,0)*VLOOKUP('Données projet'!$B$12,Paramètres!$A$1:$I$89,7,0))</f>
        <v>0.43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141.84711128386621</v>
      </c>
      <c r="CL112" s="21">
        <f>EXP(-LN(2)/25)*CL111+(1-EXP(-LN(2)/25))/(LN(2)/25)*Calculateur!CG112*Calculateur!CI112*VLOOKUP('Données projet'!$B$12,Paramètres!$A$1:$I$89,3,0)*0.475*44/12</f>
        <v>0</v>
      </c>
      <c r="CM112" s="21">
        <f>EXP(-LN(2)/2)*CM111+(1-EXP(-LN(2)/2))/(LN(2)/2)*CG112*CJ112*VLOOKUP('Données projet'!$B$12,Paramètres!$A$1:$I$89,3,0)*0.475*44/12</f>
        <v>0</v>
      </c>
      <c r="CN112" s="22">
        <f t="shared" si="66"/>
        <v>141.84711128386621</v>
      </c>
      <c r="CO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>
        <f>VLOOKUP(A112,'Données projet'!$A$139:$I$159,2,0)</f>
        <v>498.97</v>
      </c>
      <c r="CR112" s="12">
        <f>VLOOKUP(A112,'Données projet'!$A$139:$I$159,9,0)</f>
        <v>9.7110000000000021</v>
      </c>
      <c r="CS112" s="12">
        <f t="array" ref="CS112">INDEX(CR:CR,MIN(IF(ISNUMBER(CR112:CR308),ROW(CR112:CR308),"")))</f>
        <v>9.7110000000000021</v>
      </c>
      <c r="CT112" s="12">
        <f>IF('Données projet'!$A$140&gt;35,CT111+CS112-DB111,IF(A112&lt;'Données projet'!$A$140,$CQ$205^A112,IF(A112='Données projet'!$A$140,'Données projet'!$B$140,CT111+CS112-DB111)))</f>
        <v>498.97000000000025</v>
      </c>
      <c r="CU112" s="17">
        <f>CT112*VLOOKUP('Données projet'!$B$13,Paramètres!$A$1:$I$89,3,0)*VLOOKUP('Données projet'!$B$13,Paramètres!$A$1:$I$89,5,0)</f>
        <v>474.81985200000025</v>
      </c>
      <c r="CV112" s="13">
        <f t="shared" si="95"/>
        <v>106.79058680115537</v>
      </c>
      <c r="CW112" s="20">
        <f t="shared" si="67"/>
        <v>1012.971514245346</v>
      </c>
      <c r="CX112" s="59">
        <f t="shared" si="68"/>
        <v>1292.6968345979353</v>
      </c>
      <c r="CY112" s="59">
        <f ca="1">AVERAGE(OFFSET($CX$3,0,0,'Données projet'!$E$13+1,1))-AVERAGE(OFFSET($H$3,0,0,'Données projet'!$E$13+1,1))</f>
        <v>592.58528889137358</v>
      </c>
      <c r="CZ112" s="59">
        <f t="shared" si="96"/>
        <v>311.31528020403709</v>
      </c>
      <c r="DA112" s="15">
        <f>IF(ISNA(VLOOKUP(A112,'Données projet'!$A$139:$I$159,3,0)),0,VLOOKUP(A112,'Données projet'!$A$139:$I$159,3,0))</f>
        <v>10</v>
      </c>
      <c r="DB112" s="15">
        <f>IF(ISNA(VLOOKUP(A112,'Données projet'!$A$139:$I$159,4,0)),0,VLOOKUP(A112,'Données projet'!$A$139:$I$159,4,0))</f>
        <v>66.959999999999994</v>
      </c>
      <c r="DC112" s="16">
        <f>IF(ISNA(VLOOKUP(A112,'Données projet'!$A$139:$I$159,5,0)),0%,VLOOKUP(A112,'Données projet'!$A$139:$I$159,5,0)*VLOOKUP('Données projet'!$B$13,Paramètres!$A$1:$I$89,7,0))</f>
        <v>0.43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139.55925465025547</v>
      </c>
      <c r="DG112" s="21">
        <f>EXP(-LN(2)/25)*DG111+(1-EXP(-LN(2)/25))/(LN(2)/25)*Calculateur!DB112*Calculateur!DD112*VLOOKUP('Données projet'!$B$13,Paramètres!$A$1:$I$89,3,0)*0.475*44/12</f>
        <v>0</v>
      </c>
      <c r="DH112" s="21">
        <f>EXP(-LN(2)/2)*DH111+(1-EXP(-LN(2)/2))/(LN(2)/2)*DB112*DE112*VLOOKUP('Données projet'!$B$13,Paramètres!$A$1:$I$89,3,0)*0.475*44/12</f>
        <v>0</v>
      </c>
      <c r="DI112" s="22">
        <f t="shared" si="69"/>
        <v>139.55925465025547</v>
      </c>
      <c r="DJ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2">
        <f>'Scénario référence'!$B$16*5+'Scénario référence'!$B$17*0+'Scénario référence'!$B$18*5</f>
        <v>5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66">
        <f t="shared" si="56"/>
        <v>183.33333333333334</v>
      </c>
      <c r="I113" s="6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9.4029999999999916</v>
      </c>
      <c r="N113" s="13">
        <f>IF('Données projet'!$A$36&gt;35,N112+M113-V112,IF(A113&lt;'Données projet'!$A$36,$K$205^A113,IF(A113='Données projet'!$A$36,'Données projet'!$B$36,N112+M113-V112)))</f>
        <v>441.4130000000003</v>
      </c>
      <c r="O113" s="13">
        <f>N113*VLOOKUP('Données projet'!$B$9,Paramètres!$A$1:$I$89,3,0)*VLOOKUP('Données projet'!$B$9,Paramètres!$A$1:$I$89,5,0)</f>
        <v>399.39048240000028</v>
      </c>
      <c r="P113" s="13">
        <f t="shared" si="87"/>
        <v>91.653083916792113</v>
      </c>
      <c r="Q113" s="20">
        <f t="shared" si="107"/>
        <v>855.23421133508009</v>
      </c>
      <c r="R113" s="59">
        <f t="shared" si="55"/>
        <v>1135.195600289926</v>
      </c>
      <c r="S113" s="59">
        <f ca="1">AVERAGE(OFFSET($R$3,0,0,'Données projet'!$E$9+1,1))-AVERAGE(OFFSET($H$3,0,0,'Données projet'!$E$9+1,1))</f>
        <v>567.42635821507474</v>
      </c>
      <c r="T113" s="59">
        <f t="shared" si="88"/>
        <v>299.04735309930152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130.09360330786291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130.09360330786291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>
        <f>VLOOKUP(A113,'Données projet'!$A$61:$I$81,2,0)</f>
        <v>420</v>
      </c>
      <c r="AG113" s="12">
        <f>VLOOKUP(A113,'Données projet'!$A$61:$I$81,9,0)</f>
        <v>6.8</v>
      </c>
      <c r="AH113" s="12">
        <f t="array" ref="AH113">INDEX(AG:AG,MIN(IF(ISNUMBER(AG113:AG309),ROW(AG113:AG309),"")))</f>
        <v>6.8</v>
      </c>
      <c r="AI113" s="13">
        <f>IF('Données projet'!$A$62&gt;35,AI112+AH113-AQ112,IF(A113&lt;'Données projet'!$A$62,$AF$205^A113,IF(A113='Données projet'!$A$62,'Données projet'!$B$62,AI112+AH113-AQ112)))</f>
        <v>420.00000000000006</v>
      </c>
      <c r="AJ113" s="13">
        <f>AI113*VLOOKUP('Données projet'!$B$10,Paramètres!$A$1:$I$89,3,0)*VLOOKUP('Données projet'!$B$10,Paramètres!$A$1:$I$89,5,0)</f>
        <v>360.36000000000013</v>
      </c>
      <c r="AK113" s="13">
        <f t="shared" si="89"/>
        <v>83.692107728969603</v>
      </c>
      <c r="AL113" s="20">
        <f t="shared" si="58"/>
        <v>773.3907542946223</v>
      </c>
      <c r="AM113" s="59">
        <f t="shared" si="59"/>
        <v>1053.3521432494681</v>
      </c>
      <c r="AN113" s="59">
        <f ca="1">AVERAGE(OFFSET($AM$3,0,0,'Données projet'!$E$10+1,1))-AVERAGE(OFFSET($H$3,0,0,'Données projet'!$E$10+1,1))</f>
        <v>481.23392184981651</v>
      </c>
      <c r="AO113" s="59">
        <f t="shared" si="90"/>
        <v>275.88160405468193</v>
      </c>
      <c r="AP113" s="15">
        <f>IF(ISNA(VLOOKUP(A113,'Données projet'!$A$61:$I$81,3,0)),0,VLOOKUP(A113,'Données projet'!$A$61:$I$81,3,0))</f>
        <v>18</v>
      </c>
      <c r="AQ113" s="15">
        <f>IF(ISNA(VLOOKUP(A113,'Données projet'!$A$61:$I$81,4,0)),0,VLOOKUP(A113,'Données projet'!$A$61:$I$81,4,0))</f>
        <v>22</v>
      </c>
      <c r="AR113" s="16">
        <f>IF(ISNA(VLOOKUP(A113,'Données projet'!$A$61:$I$81,5,0)),0%,VLOOKUP(A113,'Données projet'!$A$61:$I$81,5,0)*VLOOKUP('Données projet'!$B$10,Paramètres!$A$1:$I$89,7,0))</f>
        <v>0.53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109.63677437929987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109.63677437929987</v>
      </c>
      <c r="AY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328.00000000000006</v>
      </c>
      <c r="BE113" s="13">
        <f>BD113*VLOOKUP('Données projet'!$B$11,Paramètres!$A$1:$I$89,3,0)*VLOOKUP('Données projet'!$B$11,Paramètres!$A$1:$I$89,5,0)</f>
        <v>255.84000000000006</v>
      </c>
      <c r="BF113" s="13">
        <f t="shared" si="91"/>
        <v>61.834803371075836</v>
      </c>
      <c r="BG113" s="20">
        <f t="shared" si="61"/>
        <v>553.28361587129041</v>
      </c>
      <c r="BH113" s="59">
        <f t="shared" si="62"/>
        <v>833.24500482613621</v>
      </c>
      <c r="BI113" s="59">
        <f ca="1">AVERAGE(OFFSET($BH$3,0,0,'Données projet'!$E$11+1,1))-AVERAGE(OFFSET($H$3,0,0,'Données projet'!$E$11+1,1))</f>
        <v>308.85018589589453</v>
      </c>
      <c r="BJ113" s="59">
        <f t="shared" si="92"/>
        <v>302.59481222418219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22.367875007348793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22.367875007348793</v>
      </c>
      <c r="BT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9.4029999999999916</v>
      </c>
      <c r="BY113" s="12">
        <f>IF('Données projet'!$A$114&gt;35,BY112+BX113-CG112,IF(A113&lt;'Données projet'!$A$114,$BV$205^A113,IF(A113='Données projet'!$A$114,'Données projet'!$B$114,BY112+BX113-CG112)))</f>
        <v>441.4130000000003</v>
      </c>
      <c r="BZ113" s="13">
        <f>BY113*VLOOKUP('Données projet'!$B$12,Paramètres!$A$1:$I$89,3,0)*VLOOKUP('Données projet'!$B$12,Paramètres!$A$1:$I$89,5,0)</f>
        <v>426.93465360000027</v>
      </c>
      <c r="CA113" s="13">
        <f t="shared" si="93"/>
        <v>97.216370792246551</v>
      </c>
      <c r="CB113" s="20">
        <f t="shared" si="64"/>
        <v>912.89636748316332</v>
      </c>
      <c r="CC113" s="59">
        <f t="shared" si="65"/>
        <v>1192.8577564380091</v>
      </c>
      <c r="CD113" s="59">
        <f ca="1">AVERAGE(OFFSET($CC$3,0,0,'Données projet'!$E$12+1,1))-AVERAGE(OFFSET($H$3,0,0,'Données projet'!$E$12+1,1))</f>
        <v>600.96600099724276</v>
      </c>
      <c r="CE113" s="59">
        <f t="shared" si="94"/>
        <v>315.40159260706264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139.06557594978452</v>
      </c>
      <c r="CL113" s="21">
        <f>EXP(-LN(2)/25)*CL112+(1-EXP(-LN(2)/25))/(LN(2)/25)*Calculateur!CG113*Calculateur!CI113*VLOOKUP('Données projet'!$B$12,Paramètres!$A$1:$I$89,3,0)*0.475*44/12</f>
        <v>0</v>
      </c>
      <c r="CM113" s="21">
        <f>EXP(-LN(2)/2)*CM112+(1-EXP(-LN(2)/2))/(LN(2)/2)*CG113*CJ113*VLOOKUP('Données projet'!$B$12,Paramètres!$A$1:$I$89,3,0)*0.475*44/12</f>
        <v>0</v>
      </c>
      <c r="CN113" s="22">
        <f t="shared" si="66"/>
        <v>139.06557594978452</v>
      </c>
      <c r="CO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9.4029999999999916</v>
      </c>
      <c r="CT113" s="12">
        <f>IF('Données projet'!$A$140&gt;35,CT112+CS113-DB112,IF(A113&lt;'Données projet'!$A$140,$CQ$205^A113,IF(A113='Données projet'!$A$140,'Données projet'!$B$140,CT112+CS113-DB112)))</f>
        <v>441.4130000000003</v>
      </c>
      <c r="CU113" s="17">
        <f>CT113*VLOOKUP('Données projet'!$B$13,Paramètres!$A$1:$I$89,3,0)*VLOOKUP('Données projet'!$B$13,Paramètres!$A$1:$I$89,5,0)</f>
        <v>420.04861080000029</v>
      </c>
      <c r="CV113" s="13">
        <f t="shared" si="95"/>
        <v>95.829572261379582</v>
      </c>
      <c r="CW113" s="20">
        <f t="shared" si="67"/>
        <v>898.48783549856989</v>
      </c>
      <c r="CX113" s="59">
        <f t="shared" si="68"/>
        <v>1178.4492244534158</v>
      </c>
      <c r="CY113" s="59">
        <f ca="1">AVERAGE(OFFSET($CX$3,0,0,'Données projet'!$E$13+1,1))-AVERAGE(OFFSET($H$3,0,0,'Données projet'!$E$13+1,1))</f>
        <v>592.58528889137358</v>
      </c>
      <c r="CZ113" s="59">
        <f t="shared" si="96"/>
        <v>311.31528020403709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136.82258278930414</v>
      </c>
      <c r="DG113" s="21">
        <f>EXP(-LN(2)/25)*DG112+(1-EXP(-LN(2)/25))/(LN(2)/25)*Calculateur!DB113*Calculateur!DD113*VLOOKUP('Données projet'!$B$13,Paramètres!$A$1:$I$89,3,0)*0.475*44/12</f>
        <v>0</v>
      </c>
      <c r="DH113" s="21">
        <f>EXP(-LN(2)/2)*DH112+(1-EXP(-LN(2)/2))/(LN(2)/2)*DB113*DE113*VLOOKUP('Données projet'!$B$13,Paramètres!$A$1:$I$89,3,0)*0.475*44/12</f>
        <v>0</v>
      </c>
      <c r="DI113" s="22">
        <f t="shared" si="69"/>
        <v>136.82258278930414</v>
      </c>
      <c r="DJ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2">
        <f>'Scénario référence'!$B$16*5+'Scénario référence'!$B$17*0+'Scénario référence'!$B$18*5</f>
        <v>5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66">
        <f t="shared" si="56"/>
        <v>183.33333333333334</v>
      </c>
      <c r="I114" s="6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9.4029999999999916</v>
      </c>
      <c r="N114" s="13">
        <f>IF('Données projet'!$A$36&gt;35,N113+M114-V113,IF(A114&lt;'Données projet'!$A$36,$K$205^A114,IF(A114='Données projet'!$A$36,'Données projet'!$B$36,N113+M114-V113)))</f>
        <v>450.81600000000026</v>
      </c>
      <c r="O114" s="13">
        <f>N114*VLOOKUP('Données projet'!$B$9,Paramètres!$A$1:$I$89,3,0)*VLOOKUP('Données projet'!$B$9,Paramètres!$A$1:$I$89,5,0)</f>
        <v>407.89831680000026</v>
      </c>
      <c r="P114" s="13">
        <f t="shared" si="87"/>
        <v>93.376100943881056</v>
      </c>
      <c r="Q114" s="20">
        <f t="shared" si="107"/>
        <v>873.05294423725991</v>
      </c>
      <c r="R114" s="59">
        <f t="shared" si="55"/>
        <v>1153.2463065318834</v>
      </c>
      <c r="S114" s="59">
        <f ca="1">AVERAGE(OFFSET($R$3,0,0,'Données projet'!$E$9+1,1))-AVERAGE(OFFSET($H$3,0,0,'Données projet'!$E$9+1,1))</f>
        <v>567.42635821507474</v>
      </c>
      <c r="T114" s="59">
        <f t="shared" si="88"/>
        <v>299.04735309930152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127.54254709625864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127.54254709625864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5.6</v>
      </c>
      <c r="AI114" s="13">
        <f>IF('Données projet'!$A$62&gt;35,AI113+AH114-AQ113,IF(A114&lt;'Données projet'!$A$62,$AF$205^A114,IF(A114='Données projet'!$A$62,'Données projet'!$B$62,AI113+AH114-AQ113)))</f>
        <v>403.60000000000008</v>
      </c>
      <c r="AJ114" s="13">
        <f>AI114*VLOOKUP('Données projet'!$B$10,Paramètres!$A$1:$I$89,3,0)*VLOOKUP('Données projet'!$B$10,Paramètres!$A$1:$I$89,5,0)</f>
        <v>346.28880000000015</v>
      </c>
      <c r="AK114" s="13">
        <f t="shared" si="89"/>
        <v>80.797863156901414</v>
      </c>
      <c r="AL114" s="20">
        <f t="shared" si="58"/>
        <v>743.8426049982703</v>
      </c>
      <c r="AM114" s="59">
        <f t="shared" si="59"/>
        <v>1024.0359672928939</v>
      </c>
      <c r="AN114" s="59">
        <f ca="1">AVERAGE(OFFSET($AM$3,0,0,'Données projet'!$E$10+1,1))-AVERAGE(OFFSET($H$3,0,0,'Données projet'!$E$10+1,1))</f>
        <v>481.23392184981651</v>
      </c>
      <c r="AO114" s="59">
        <f t="shared" si="90"/>
        <v>275.88160405468193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107.48686410555112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107.48686410555112</v>
      </c>
      <c r="AY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328.00000000000006</v>
      </c>
      <c r="BE114" s="13">
        <f>BD114*VLOOKUP('Données projet'!$B$11,Paramètres!$A$1:$I$89,3,0)*VLOOKUP('Données projet'!$B$11,Paramètres!$A$1:$I$89,5,0)</f>
        <v>255.84000000000006</v>
      </c>
      <c r="BF114" s="13">
        <f t="shared" si="91"/>
        <v>61.834803371075836</v>
      </c>
      <c r="BG114" s="20">
        <f t="shared" si="61"/>
        <v>553.28361587129041</v>
      </c>
      <c r="BH114" s="59">
        <f t="shared" si="62"/>
        <v>833.47697816591403</v>
      </c>
      <c r="BI114" s="59">
        <f ca="1">AVERAGE(OFFSET($BH$3,0,0,'Données projet'!$E$11+1,1))-AVERAGE(OFFSET($H$3,0,0,'Données projet'!$E$11+1,1))</f>
        <v>308.85018589589453</v>
      </c>
      <c r="BJ114" s="59">
        <f t="shared" si="92"/>
        <v>302.59481222418219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21.929254621511298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21.929254621511298</v>
      </c>
      <c r="BT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9.4029999999999916</v>
      </c>
      <c r="BY114" s="12">
        <f>IF('Données projet'!$A$114&gt;35,BY113+BX114-CG113,IF(A114&lt;'Données projet'!$A$114,$BV$205^A114,IF(A114='Données projet'!$A$114,'Données projet'!$B$114,BY113+BX114-CG113)))</f>
        <v>450.81600000000026</v>
      </c>
      <c r="BZ114" s="13">
        <f>BY114*VLOOKUP('Données projet'!$B$12,Paramètres!$A$1:$I$89,3,0)*VLOOKUP('Données projet'!$B$12,Paramètres!$A$1:$I$89,5,0)</f>
        <v>436.0292352000003</v>
      </c>
      <c r="CA114" s="13">
        <f t="shared" si="93"/>
        <v>99.043973912932643</v>
      </c>
      <c r="CB114" s="20">
        <f t="shared" si="64"/>
        <v>931.91917253835834</v>
      </c>
      <c r="CC114" s="59">
        <f t="shared" si="65"/>
        <v>1212.112534832982</v>
      </c>
      <c r="CD114" s="59">
        <f ca="1">AVERAGE(OFFSET($CC$3,0,0,'Données projet'!$E$12+1,1))-AVERAGE(OFFSET($H$3,0,0,'Données projet'!$E$12+1,1))</f>
        <v>600.96600099724276</v>
      </c>
      <c r="CE114" s="59">
        <f t="shared" si="94"/>
        <v>315.40159260706264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136.33858482703513</v>
      </c>
      <c r="CL114" s="21">
        <f>EXP(-LN(2)/25)*CL113+(1-EXP(-LN(2)/25))/(LN(2)/25)*Calculateur!CG114*Calculateur!CI114*VLOOKUP('Données projet'!$B$12,Paramètres!$A$1:$I$89,3,0)*0.475*44/12</f>
        <v>0</v>
      </c>
      <c r="CM114" s="21">
        <f>EXP(-LN(2)/2)*CM113+(1-EXP(-LN(2)/2))/(LN(2)/2)*CG114*CJ114*VLOOKUP('Données projet'!$B$12,Paramètres!$A$1:$I$89,3,0)*0.475*44/12</f>
        <v>0</v>
      </c>
      <c r="CN114" s="22">
        <f t="shared" si="66"/>
        <v>136.33858482703513</v>
      </c>
      <c r="CO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9.4029999999999916</v>
      </c>
      <c r="CT114" s="12">
        <f>IF('Données projet'!$A$140&gt;35,CT113+CS114-DB113,IF(A114&lt;'Données projet'!$A$140,$CQ$205^A114,IF(A114='Données projet'!$A$140,'Données projet'!$B$140,CT113+CS114-DB113)))</f>
        <v>450.81600000000026</v>
      </c>
      <c r="CU114" s="17">
        <f>CT114*VLOOKUP('Données projet'!$B$13,Paramètres!$A$1:$I$89,3,0)*VLOOKUP('Données projet'!$B$13,Paramètres!$A$1:$I$89,5,0)</f>
        <v>428.99650560000026</v>
      </c>
      <c r="CV114" s="13">
        <f t="shared" si="95"/>
        <v>97.631104491925242</v>
      </c>
      <c r="CW114" s="20">
        <f t="shared" si="67"/>
        <v>917.20975424343681</v>
      </c>
      <c r="CX114" s="59">
        <f t="shared" si="68"/>
        <v>1197.4031165380604</v>
      </c>
      <c r="CY114" s="59">
        <f ca="1">AVERAGE(OFFSET($CX$3,0,0,'Données projet'!$E$13+1,1))-AVERAGE(OFFSET($H$3,0,0,'Données projet'!$E$13+1,1))</f>
        <v>592.58528889137358</v>
      </c>
      <c r="CZ114" s="59">
        <f t="shared" si="96"/>
        <v>311.31528020403709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134.13957539434102</v>
      </c>
      <c r="DG114" s="21">
        <f>EXP(-LN(2)/25)*DG113+(1-EXP(-LN(2)/25))/(LN(2)/25)*Calculateur!DB114*Calculateur!DD114*VLOOKUP('Données projet'!$B$13,Paramètres!$A$1:$I$89,3,0)*0.475*44/12</f>
        <v>0</v>
      </c>
      <c r="DH114" s="21">
        <f>EXP(-LN(2)/2)*DH113+(1-EXP(-LN(2)/2))/(LN(2)/2)*DB114*DE114*VLOOKUP('Données projet'!$B$13,Paramètres!$A$1:$I$89,3,0)*0.475*44/12</f>
        <v>0</v>
      </c>
      <c r="DI114" s="22">
        <f t="shared" si="69"/>
        <v>134.13957539434102</v>
      </c>
      <c r="DJ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2">
        <f>'Scénario référence'!$B$16*5+'Scénario référence'!$B$17*0+'Scénario référence'!$B$18*5</f>
        <v>5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66">
        <f t="shared" si="56"/>
        <v>183.33333333333334</v>
      </c>
      <c r="I115" s="6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9.4029999999999916</v>
      </c>
      <c r="N115" s="13">
        <f>IF('Données projet'!$A$36&gt;35,N114+M115-V114,IF(A115&lt;'Données projet'!$A$36,$K$205^A115,IF(A115='Données projet'!$A$36,'Données projet'!$B$36,N114+M115-V114)))</f>
        <v>460.21900000000028</v>
      </c>
      <c r="O115" s="13">
        <f>N115*VLOOKUP('Données projet'!$B$9,Paramètres!$A$1:$I$89,3,0)*VLOOKUP('Données projet'!$B$9,Paramètres!$A$1:$I$89,5,0)</f>
        <v>416.40615120000024</v>
      </c>
      <c r="P115" s="13">
        <f t="shared" si="87"/>
        <v>95.094939514723933</v>
      </c>
      <c r="Q115" s="20">
        <f t="shared" si="107"/>
        <v>890.86439966147793</v>
      </c>
      <c r="R115" s="59">
        <f t="shared" si="55"/>
        <v>1171.2857110770487</v>
      </c>
      <c r="S115" s="59">
        <f ca="1">AVERAGE(OFFSET($R$3,0,0,'Données projet'!$E$9+1,1))-AVERAGE(OFFSET($H$3,0,0,'Données projet'!$E$9+1,1))</f>
        <v>567.42635821507474</v>
      </c>
      <c r="T115" s="59">
        <f t="shared" si="88"/>
        <v>299.04735309930152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125.04151554097329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125.04151554097329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5.6</v>
      </c>
      <c r="AI115" s="13">
        <f>IF('Données projet'!$A$62&gt;35,AI114+AH115-AQ114,IF(A115&lt;'Données projet'!$A$62,$AF$205^A115,IF(A115='Données projet'!$A$62,'Données projet'!$B$62,AI114+AH115-AQ114)))</f>
        <v>409.2000000000001</v>
      </c>
      <c r="AJ115" s="13">
        <f>AI115*VLOOKUP('Données projet'!$B$10,Paramètres!$A$1:$I$89,3,0)*VLOOKUP('Données projet'!$B$10,Paramètres!$A$1:$I$89,5,0)</f>
        <v>351.09360000000015</v>
      </c>
      <c r="AK115" s="13">
        <f t="shared" si="89"/>
        <v>81.787653933539119</v>
      </c>
      <c r="AL115" s="20">
        <f t="shared" si="58"/>
        <v>753.93485060091416</v>
      </c>
      <c r="AM115" s="59">
        <f t="shared" si="59"/>
        <v>1034.3561620164851</v>
      </c>
      <c r="AN115" s="59">
        <f ca="1">AVERAGE(OFFSET($AM$3,0,0,'Données projet'!$E$10+1,1))-AVERAGE(OFFSET($H$3,0,0,'Données projet'!$E$10+1,1))</f>
        <v>481.23392184981651</v>
      </c>
      <c r="AO115" s="59">
        <f t="shared" si="90"/>
        <v>275.88160405468193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105.3791122609548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105.3791122609548</v>
      </c>
      <c r="AY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328.00000000000006</v>
      </c>
      <c r="BE115" s="13">
        <f>BD115*VLOOKUP('Données projet'!$B$11,Paramètres!$A$1:$I$89,3,0)*VLOOKUP('Données projet'!$B$11,Paramètres!$A$1:$I$89,5,0)</f>
        <v>255.84000000000006</v>
      </c>
      <c r="BF115" s="13">
        <f t="shared" si="91"/>
        <v>61.834803371075836</v>
      </c>
      <c r="BG115" s="20">
        <f t="shared" si="61"/>
        <v>553.28361587129041</v>
      </c>
      <c r="BH115" s="59">
        <f t="shared" si="62"/>
        <v>833.70492728686122</v>
      </c>
      <c r="BI115" s="59">
        <f ca="1">AVERAGE(OFFSET($BH$3,0,0,'Données projet'!$E$11+1,1))-AVERAGE(OFFSET($H$3,0,0,'Données projet'!$E$11+1,1))</f>
        <v>308.85018589589453</v>
      </c>
      <c r="BJ115" s="59">
        <f t="shared" si="92"/>
        <v>302.59481222418219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21.499235313908056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21.499235313908056</v>
      </c>
      <c r="BT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9.4029999999999916</v>
      </c>
      <c r="BY115" s="12">
        <f>IF('Données projet'!$A$114&gt;35,BY114+BX115-CG114,IF(A115&lt;'Données projet'!$A$114,$BV$205^A115,IF(A115='Données projet'!$A$114,'Données projet'!$B$114,BY114+BX115-CG114)))</f>
        <v>460.21900000000028</v>
      </c>
      <c r="BZ115" s="13">
        <f>BY115*VLOOKUP('Données projet'!$B$12,Paramètres!$A$1:$I$89,3,0)*VLOOKUP('Données projet'!$B$12,Paramètres!$A$1:$I$89,5,0)</f>
        <v>445.12381680000027</v>
      </c>
      <c r="CA115" s="13">
        <f t="shared" si="93"/>
        <v>100.86714494760049</v>
      </c>
      <c r="CB115" s="20">
        <f t="shared" si="64"/>
        <v>950.93425837707116</v>
      </c>
      <c r="CC115" s="59">
        <f t="shared" si="65"/>
        <v>1231.355569792642</v>
      </c>
      <c r="CD115" s="59">
        <f ca="1">AVERAGE(OFFSET($CC$3,0,0,'Données projet'!$E$12+1,1))-AVERAGE(OFFSET($H$3,0,0,'Données projet'!$E$12+1,1))</f>
        <v>600.96600099724276</v>
      </c>
      <c r="CE115" s="59">
        <f t="shared" si="94"/>
        <v>315.40159260706264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133.66506833690252</v>
      </c>
      <c r="CL115" s="21">
        <f>EXP(-LN(2)/25)*CL114+(1-EXP(-LN(2)/25))/(LN(2)/25)*Calculateur!CG115*Calculateur!CI115*VLOOKUP('Données projet'!$B$12,Paramètres!$A$1:$I$89,3,0)*0.475*44/12</f>
        <v>0</v>
      </c>
      <c r="CM115" s="21">
        <f>EXP(-LN(2)/2)*CM114+(1-EXP(-LN(2)/2))/(LN(2)/2)*CG115*CJ115*VLOOKUP('Données projet'!$B$12,Paramètres!$A$1:$I$89,3,0)*0.475*44/12</f>
        <v>0</v>
      </c>
      <c r="CN115" s="22">
        <f t="shared" si="66"/>
        <v>133.66506833690252</v>
      </c>
      <c r="CO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9.4029999999999916</v>
      </c>
      <c r="CT115" s="12">
        <f>IF('Données projet'!$A$140&gt;35,CT114+CS115-DB114,IF(A115&lt;'Données projet'!$A$140,$CQ$205^A115,IF(A115='Données projet'!$A$140,'Données projet'!$B$140,CT114+CS115-DB114)))</f>
        <v>460.21900000000028</v>
      </c>
      <c r="CU115" s="17">
        <f>CT115*VLOOKUP('Données projet'!$B$13,Paramètres!$A$1:$I$89,3,0)*VLOOKUP('Données projet'!$B$13,Paramètres!$A$1:$I$89,5,0)</f>
        <v>437.94440040000029</v>
      </c>
      <c r="CV115" s="13">
        <f t="shared" si="95"/>
        <v>99.428267860478925</v>
      </c>
      <c r="CW115" s="20">
        <f t="shared" si="67"/>
        <v>935.92406388700135</v>
      </c>
      <c r="CX115" s="59">
        <f t="shared" si="68"/>
        <v>1216.3453753025722</v>
      </c>
      <c r="CY115" s="59">
        <f ca="1">AVERAGE(OFFSET($CX$3,0,0,'Données projet'!$E$13+1,1))-AVERAGE(OFFSET($H$3,0,0,'Données projet'!$E$13+1,1))</f>
        <v>592.58528889137358</v>
      </c>
      <c r="CZ115" s="59">
        <f t="shared" si="96"/>
        <v>311.31528020403709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131.50918013792023</v>
      </c>
      <c r="DG115" s="21">
        <f>EXP(-LN(2)/25)*DG114+(1-EXP(-LN(2)/25))/(LN(2)/25)*Calculateur!DB115*Calculateur!DD115*VLOOKUP('Données projet'!$B$13,Paramètres!$A$1:$I$89,3,0)*0.475*44/12</f>
        <v>0</v>
      </c>
      <c r="DH115" s="21">
        <f>EXP(-LN(2)/2)*DH114+(1-EXP(-LN(2)/2))/(LN(2)/2)*DB115*DE115*VLOOKUP('Données projet'!$B$13,Paramètres!$A$1:$I$89,3,0)*0.475*44/12</f>
        <v>0</v>
      </c>
      <c r="DI115" s="22">
        <f t="shared" si="69"/>
        <v>131.50918013792023</v>
      </c>
      <c r="DJ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2">
        <f>'Scénario référence'!$B$16*5+'Scénario référence'!$B$17*0+'Scénario référence'!$B$18*5</f>
        <v>5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66">
        <f t="shared" si="56"/>
        <v>183.33333333333334</v>
      </c>
      <c r="I116" s="6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9.4029999999999916</v>
      </c>
      <c r="N116" s="13">
        <f>IF('Données projet'!$A$36&gt;35,N115+M116-V115,IF(A116&lt;'Données projet'!$A$36,$K$205^A116,IF(A116='Données projet'!$A$36,'Données projet'!$B$36,N115+M116-V115)))</f>
        <v>469.6220000000003</v>
      </c>
      <c r="O116" s="13">
        <f>N116*VLOOKUP('Données projet'!$B$9,Paramètres!$A$1:$I$89,3,0)*VLOOKUP('Données projet'!$B$9,Paramètres!$A$1:$I$89,5,0)</f>
        <v>424.91398560000027</v>
      </c>
      <c r="P116" s="13">
        <f t="shared" si="87"/>
        <v>96.809694839252401</v>
      </c>
      <c r="Q116" s="20">
        <f t="shared" si="107"/>
        <v>908.66874343169832</v>
      </c>
      <c r="R116" s="59">
        <f t="shared" si="55"/>
        <v>1189.314049560586</v>
      </c>
      <c r="S116" s="59">
        <f ca="1">AVERAGE(OFFSET($R$3,0,0,'Données projet'!$E$9+1,1))-AVERAGE(OFFSET($H$3,0,0,'Données projet'!$E$9+1,1))</f>
        <v>567.42635821507474</v>
      </c>
      <c r="T116" s="59">
        <f t="shared" si="88"/>
        <v>299.04735309930152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122.58952768900846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122.58952768900846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5.6</v>
      </c>
      <c r="AI116" s="13">
        <f>IF('Données projet'!$A$62&gt;35,AI115+AH116-AQ115,IF(A116&lt;'Données projet'!$A$62,$AF$205^A116,IF(A116='Données projet'!$A$62,'Données projet'!$B$62,AI115+AH116-AQ115)))</f>
        <v>414.80000000000013</v>
      </c>
      <c r="AJ116" s="13">
        <f>AI116*VLOOKUP('Données projet'!$B$10,Paramètres!$A$1:$I$89,3,0)*VLOOKUP('Données projet'!$B$10,Paramètres!$A$1:$I$89,5,0)</f>
        <v>355.89840000000015</v>
      </c>
      <c r="AK116" s="13">
        <f t="shared" si="89"/>
        <v>82.775869214346599</v>
      </c>
      <c r="AL116" s="20">
        <f t="shared" si="58"/>
        <v>764.02435221498718</v>
      </c>
      <c r="AM116" s="59">
        <f t="shared" si="59"/>
        <v>1044.6696583438747</v>
      </c>
      <c r="AN116" s="59">
        <f ca="1">AVERAGE(OFFSET($AM$3,0,0,'Données projet'!$E$10+1,1))-AVERAGE(OFFSET($H$3,0,0,'Données projet'!$E$10+1,1))</f>
        <v>481.23392184981651</v>
      </c>
      <c r="AO116" s="59">
        <f t="shared" si="90"/>
        <v>275.88160405468193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103.31269214442933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103.31269214442933</v>
      </c>
      <c r="AY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328.00000000000006</v>
      </c>
      <c r="BE116" s="13">
        <f>BD116*VLOOKUP('Données projet'!$B$11,Paramètres!$A$1:$I$89,3,0)*VLOOKUP('Données projet'!$B$11,Paramètres!$A$1:$I$89,5,0)</f>
        <v>255.84000000000006</v>
      </c>
      <c r="BF116" s="13">
        <f t="shared" si="91"/>
        <v>61.834803371075836</v>
      </c>
      <c r="BG116" s="20">
        <f t="shared" si="61"/>
        <v>553.28361587129041</v>
      </c>
      <c r="BH116" s="59">
        <f t="shared" si="62"/>
        <v>833.92892200017809</v>
      </c>
      <c r="BI116" s="59">
        <f ca="1">AVERAGE(OFFSET($BH$3,0,0,'Données projet'!$E$11+1,1))-AVERAGE(OFFSET($H$3,0,0,'Données projet'!$E$11+1,1))</f>
        <v>308.85018589589453</v>
      </c>
      <c r="BJ116" s="59">
        <f t="shared" si="92"/>
        <v>302.59481222418219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21.077648422641037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21.077648422641037</v>
      </c>
      <c r="BT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9.4029999999999916</v>
      </c>
      <c r="BY116" s="12">
        <f>IF('Données projet'!$A$114&gt;35,BY115+BX116-CG115,IF(A116&lt;'Données projet'!$A$114,$BV$205^A116,IF(A116='Données projet'!$A$114,'Données projet'!$B$114,BY115+BX116-CG115)))</f>
        <v>469.6220000000003</v>
      </c>
      <c r="BZ116" s="13">
        <f>BY116*VLOOKUP('Données projet'!$B$12,Paramètres!$A$1:$I$89,3,0)*VLOOKUP('Données projet'!$B$12,Paramètres!$A$1:$I$89,5,0)</f>
        <v>454.2183984000003</v>
      </c>
      <c r="CA116" s="13">
        <f t="shared" si="93"/>
        <v>102.68598488536712</v>
      </c>
      <c r="CB116" s="20">
        <f t="shared" si="64"/>
        <v>969.94180088868143</v>
      </c>
      <c r="CC116" s="59">
        <f t="shared" si="65"/>
        <v>1250.587107017569</v>
      </c>
      <c r="CD116" s="59">
        <f ca="1">AVERAGE(OFFSET($CC$3,0,0,'Données projet'!$E$12+1,1))-AVERAGE(OFFSET($H$3,0,0,'Données projet'!$E$12+1,1))</f>
        <v>600.96600099724276</v>
      </c>
      <c r="CE116" s="59">
        <f t="shared" si="94"/>
        <v>315.40159260706264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131.04397787445737</v>
      </c>
      <c r="CL116" s="21">
        <f>EXP(-LN(2)/25)*CL115+(1-EXP(-LN(2)/25))/(LN(2)/25)*Calculateur!CG116*Calculateur!CI116*VLOOKUP('Données projet'!$B$12,Paramètres!$A$1:$I$89,3,0)*0.475*44/12</f>
        <v>0</v>
      </c>
      <c r="CM116" s="21">
        <f>EXP(-LN(2)/2)*CM115+(1-EXP(-LN(2)/2))/(LN(2)/2)*CG116*CJ116*VLOOKUP('Données projet'!$B$12,Paramètres!$A$1:$I$89,3,0)*0.475*44/12</f>
        <v>0</v>
      </c>
      <c r="CN116" s="22">
        <f t="shared" si="66"/>
        <v>131.04397787445737</v>
      </c>
      <c r="CO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9.4029999999999916</v>
      </c>
      <c r="CT116" s="12">
        <f>IF('Données projet'!$A$140&gt;35,CT115+CS116-DB115,IF(A116&lt;'Données projet'!$A$140,$CQ$205^A116,IF(A116='Données projet'!$A$140,'Données projet'!$B$140,CT115+CS116-DB115)))</f>
        <v>469.6220000000003</v>
      </c>
      <c r="CU116" s="17">
        <f>CT116*VLOOKUP('Données projet'!$B$13,Paramètres!$A$1:$I$89,3,0)*VLOOKUP('Données projet'!$B$13,Paramètres!$A$1:$I$89,5,0)</f>
        <v>446.89229520000032</v>
      </c>
      <c r="CV116" s="13">
        <f t="shared" si="95"/>
        <v>101.22116191554059</v>
      </c>
      <c r="CW116" s="20">
        <f t="shared" si="67"/>
        <v>954.63093780956694</v>
      </c>
      <c r="CX116" s="59">
        <f t="shared" si="68"/>
        <v>1235.2762439384546</v>
      </c>
      <c r="CY116" s="59">
        <f ca="1">AVERAGE(OFFSET($CX$3,0,0,'Données projet'!$E$13+1,1))-AVERAGE(OFFSET($H$3,0,0,'Données projet'!$E$13+1,1))</f>
        <v>592.58528889137358</v>
      </c>
      <c r="CZ116" s="59">
        <f t="shared" si="96"/>
        <v>311.31528020403709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128.93036532809515</v>
      </c>
      <c r="DG116" s="21">
        <f>EXP(-LN(2)/25)*DG115+(1-EXP(-LN(2)/25))/(LN(2)/25)*Calculateur!DB116*Calculateur!DD116*VLOOKUP('Données projet'!$B$13,Paramètres!$A$1:$I$89,3,0)*0.475*44/12</f>
        <v>0</v>
      </c>
      <c r="DH116" s="21">
        <f>EXP(-LN(2)/2)*DH115+(1-EXP(-LN(2)/2))/(LN(2)/2)*DB116*DE116*VLOOKUP('Données projet'!$B$13,Paramètres!$A$1:$I$89,3,0)*0.475*44/12</f>
        <v>0</v>
      </c>
      <c r="DI116" s="22">
        <f t="shared" si="69"/>
        <v>128.93036532809515</v>
      </c>
      <c r="DJ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2">
        <f>'Scénario référence'!$B$16*5+'Scénario référence'!$B$17*0+'Scénario référence'!$B$18*5</f>
        <v>5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66">
        <f t="shared" si="56"/>
        <v>183.33333333333334</v>
      </c>
      <c r="I117" s="6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9.4029999999999916</v>
      </c>
      <c r="N117" s="13">
        <f>IF('Données projet'!$A$36&gt;35,N116+M117-V116,IF(A117&lt;'Données projet'!$A$36,$K$205^A117,IF(A117='Données projet'!$A$36,'Données projet'!$B$36,N116+M117-V116)))</f>
        <v>479.02500000000032</v>
      </c>
      <c r="O117" s="13">
        <f>N117*VLOOKUP('Données projet'!$B$9,Paramètres!$A$1:$I$89,3,0)*VLOOKUP('Données projet'!$B$9,Paramètres!$A$1:$I$89,5,0)</f>
        <v>433.42182000000025</v>
      </c>
      <c r="P117" s="13">
        <f t="shared" si="87"/>
        <v>98.520458096711138</v>
      </c>
      <c r="Q117" s="20">
        <f t="shared" si="107"/>
        <v>926.46613435177221</v>
      </c>
      <c r="R117" s="59">
        <f t="shared" si="55"/>
        <v>1207.3315493864777</v>
      </c>
      <c r="S117" s="59">
        <f ca="1">AVERAGE(OFFSET($R$3,0,0,'Données projet'!$E$9+1,1))-AVERAGE(OFFSET($H$3,0,0,'Données projet'!$E$9+1,1))</f>
        <v>567.42635821507474</v>
      </c>
      <c r="T117" s="59">
        <f t="shared" si="88"/>
        <v>299.04735309930152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120.18562182325576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120.18562182325576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5.6</v>
      </c>
      <c r="AI117" s="13">
        <f>IF('Données projet'!$A$62&gt;35,AI116+AH117-AQ116,IF(A117&lt;'Données projet'!$A$62,$AF$205^A117,IF(A117='Données projet'!$A$62,'Données projet'!$B$62,AI116+AH117-AQ116)))</f>
        <v>420.40000000000015</v>
      </c>
      <c r="AJ117" s="13">
        <f>AI117*VLOOKUP('Données projet'!$B$10,Paramètres!$A$1:$I$89,3,0)*VLOOKUP('Données projet'!$B$10,Paramètres!$A$1:$I$89,5,0)</f>
        <v>360.70320000000021</v>
      </c>
      <c r="AK117" s="13">
        <f t="shared" si="89"/>
        <v>83.762532727902268</v>
      </c>
      <c r="AL117" s="20">
        <f t="shared" si="58"/>
        <v>774.11115116776352</v>
      </c>
      <c r="AM117" s="59">
        <f t="shared" si="59"/>
        <v>1054.976566202469</v>
      </c>
      <c r="AN117" s="59">
        <f ca="1">AVERAGE(OFFSET($AM$3,0,0,'Données projet'!$E$10+1,1))-AVERAGE(OFFSET($H$3,0,0,'Données projet'!$E$10+1,1))</f>
        <v>481.23392184981651</v>
      </c>
      <c r="AO117" s="59">
        <f t="shared" si="90"/>
        <v>275.88160405468193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101.28679326599712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101.28679326599712</v>
      </c>
      <c r="AY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328.00000000000006</v>
      </c>
      <c r="BE117" s="13">
        <f>BD117*VLOOKUP('Données projet'!$B$11,Paramètres!$A$1:$I$89,3,0)*VLOOKUP('Données projet'!$B$11,Paramètres!$A$1:$I$89,5,0)</f>
        <v>255.84000000000006</v>
      </c>
      <c r="BF117" s="13">
        <f t="shared" si="91"/>
        <v>61.834803371075836</v>
      </c>
      <c r="BG117" s="20">
        <f t="shared" si="61"/>
        <v>553.28361587129041</v>
      </c>
      <c r="BH117" s="59">
        <f t="shared" si="62"/>
        <v>834.14903090599591</v>
      </c>
      <c r="BI117" s="59">
        <f ca="1">AVERAGE(OFFSET($BH$3,0,0,'Données projet'!$E$11+1,1))-AVERAGE(OFFSET($H$3,0,0,'Données projet'!$E$11+1,1))</f>
        <v>308.85018589589453</v>
      </c>
      <c r="BJ117" s="59">
        <f t="shared" si="92"/>
        <v>302.59481222418219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20.664328593169149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20.664328593169149</v>
      </c>
      <c r="BT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9.4029999999999916</v>
      </c>
      <c r="BY117" s="12">
        <f>IF('Données projet'!$A$114&gt;35,BY116+BX117-CG116,IF(A117&lt;'Données projet'!$A$114,$BV$205^A117,IF(A117='Données projet'!$A$114,'Données projet'!$B$114,BY116+BX117-CG116)))</f>
        <v>479.02500000000032</v>
      </c>
      <c r="BZ117" s="13">
        <f>BY117*VLOOKUP('Données projet'!$B$12,Paramètres!$A$1:$I$89,3,0)*VLOOKUP('Données projet'!$B$12,Paramètres!$A$1:$I$89,5,0)</f>
        <v>463.31298000000038</v>
      </c>
      <c r="CA117" s="13">
        <f t="shared" si="93"/>
        <v>104.50059044000244</v>
      </c>
      <c r="CB117" s="20">
        <f t="shared" si="64"/>
        <v>988.94196851633842</v>
      </c>
      <c r="CC117" s="59">
        <f t="shared" si="65"/>
        <v>1269.8073835510438</v>
      </c>
      <c r="CD117" s="59">
        <f ca="1">AVERAGE(OFFSET($CC$3,0,0,'Données projet'!$E$12+1,1))-AVERAGE(OFFSET($H$3,0,0,'Données projet'!$E$12+1,1))</f>
        <v>600.96600099724276</v>
      </c>
      <c r="CE117" s="59">
        <f t="shared" si="94"/>
        <v>315.40159260706264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128.47428539727343</v>
      </c>
      <c r="CL117" s="21">
        <f>EXP(-LN(2)/25)*CL116+(1-EXP(-LN(2)/25))/(LN(2)/25)*Calculateur!CG117*Calculateur!CI117*VLOOKUP('Données projet'!$B$12,Paramètres!$A$1:$I$89,3,0)*0.475*44/12</f>
        <v>0</v>
      </c>
      <c r="CM117" s="21">
        <f>EXP(-LN(2)/2)*CM116+(1-EXP(-LN(2)/2))/(LN(2)/2)*CG117*CJ117*VLOOKUP('Données projet'!$B$12,Paramètres!$A$1:$I$89,3,0)*0.475*44/12</f>
        <v>0</v>
      </c>
      <c r="CN117" s="22">
        <f t="shared" si="66"/>
        <v>128.47428539727343</v>
      </c>
      <c r="CO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9.4029999999999916</v>
      </c>
      <c r="CT117" s="12">
        <f>IF('Données projet'!$A$140&gt;35,CT116+CS117-DB116,IF(A117&lt;'Données projet'!$A$140,$CQ$205^A117,IF(A117='Données projet'!$A$140,'Données projet'!$B$140,CT116+CS117-DB116)))</f>
        <v>479.02500000000032</v>
      </c>
      <c r="CU117" s="17">
        <f>CT117*VLOOKUP('Données projet'!$B$13,Paramètres!$A$1:$I$89,3,0)*VLOOKUP('Données projet'!$B$13,Paramètres!$A$1:$I$89,5,0)</f>
        <v>455.84019000000035</v>
      </c>
      <c r="CV117" s="13">
        <f t="shared" si="95"/>
        <v>103.00988199125129</v>
      </c>
      <c r="CW117" s="20">
        <f t="shared" si="67"/>
        <v>973.3305420514298</v>
      </c>
      <c r="CX117" s="59">
        <f t="shared" si="68"/>
        <v>1254.1959570861352</v>
      </c>
      <c r="CY117" s="59">
        <f ca="1">AVERAGE(OFFSET($CX$3,0,0,'Données projet'!$E$13+1,1))-AVERAGE(OFFSET($H$3,0,0,'Données projet'!$E$13+1,1))</f>
        <v>592.58528889137358</v>
      </c>
      <c r="CZ117" s="59">
        <f t="shared" si="96"/>
        <v>311.31528020403709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126.40211950376903</v>
      </c>
      <c r="DG117" s="21">
        <f>EXP(-LN(2)/25)*DG116+(1-EXP(-LN(2)/25))/(LN(2)/25)*Calculateur!DB117*Calculateur!DD117*VLOOKUP('Données projet'!$B$13,Paramètres!$A$1:$I$89,3,0)*0.475*44/12</f>
        <v>0</v>
      </c>
      <c r="DH117" s="21">
        <f>EXP(-LN(2)/2)*DH116+(1-EXP(-LN(2)/2))/(LN(2)/2)*DB117*DE117*VLOOKUP('Données projet'!$B$13,Paramètres!$A$1:$I$89,3,0)*0.475*44/12</f>
        <v>0</v>
      </c>
      <c r="DI117" s="22">
        <f t="shared" si="69"/>
        <v>126.40211950376903</v>
      </c>
      <c r="DJ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2">
        <f>'Scénario référence'!$B$16*5+'Scénario référence'!$B$17*0+'Scénario référence'!$B$18*5</f>
        <v>5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66">
        <f t="shared" si="56"/>
        <v>183.33333333333334</v>
      </c>
      <c r="I118" s="6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9.4029999999999916</v>
      </c>
      <c r="N118" s="13">
        <f>IF('Données projet'!$A$36&gt;35,N117+M118-V117,IF(A118&lt;'Données projet'!$A$36,$K$205^A118,IF(A118='Données projet'!$A$36,'Données projet'!$B$36,N117+M118-V117)))</f>
        <v>488.42800000000034</v>
      </c>
      <c r="O118" s="13">
        <f>N118*VLOOKUP('Données projet'!$B$9,Paramètres!$A$1:$I$89,3,0)*VLOOKUP('Données projet'!$B$9,Paramètres!$A$1:$I$89,5,0)</f>
        <v>441.92965440000035</v>
      </c>
      <c r="P118" s="13">
        <f t="shared" si="87"/>
        <v>100.22731668201004</v>
      </c>
      <c r="Q118" s="20">
        <f t="shared" si="107"/>
        <v>944.25672463450144</v>
      </c>
      <c r="R118" s="59">
        <f t="shared" si="55"/>
        <v>1225.3384301775986</v>
      </c>
      <c r="S118" s="59">
        <f ca="1">AVERAGE(OFFSET($R$3,0,0,'Données projet'!$E$9+1,1))-AVERAGE(OFFSET($H$3,0,0,'Données projet'!$E$9+1,1))</f>
        <v>567.42635821507474</v>
      </c>
      <c r="T118" s="59">
        <f t="shared" si="88"/>
        <v>299.04735309930152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117.82885508529266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117.82885508529266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>
        <f>VLOOKUP(A118,'Données projet'!$A$61:$I$81,2,0)</f>
        <v>426</v>
      </c>
      <c r="AG118" s="12">
        <f>VLOOKUP(A118,'Données projet'!$A$61:$I$81,9,0)</f>
        <v>5.6</v>
      </c>
      <c r="AH118" s="12">
        <f t="array" ref="AH118">INDEX(AG:AG,MIN(IF(ISNUMBER(AG118:AG314),ROW(AG118:AG314),"")))</f>
        <v>5.6</v>
      </c>
      <c r="AI118" s="13">
        <f>IF('Données projet'!$A$62&gt;35,AI117+AH118-AQ117,IF(A118&lt;'Données projet'!$A$62,$AF$205^A118,IF(A118='Données projet'!$A$62,'Données projet'!$B$62,AI117+AH118-AQ117)))</f>
        <v>426.00000000000017</v>
      </c>
      <c r="AJ118" s="13">
        <f>AI118*VLOOKUP('Données projet'!$B$10,Paramètres!$A$1:$I$89,3,0)*VLOOKUP('Données projet'!$B$10,Paramètres!$A$1:$I$89,5,0)</f>
        <v>365.50800000000021</v>
      </c>
      <c r="AK118" s="13">
        <f t="shared" si="89"/>
        <v>84.747667534292177</v>
      </c>
      <c r="AL118" s="20">
        <f t="shared" si="58"/>
        <v>784.19528762222581</v>
      </c>
      <c r="AM118" s="59">
        <f t="shared" si="59"/>
        <v>1065.2769931653231</v>
      </c>
      <c r="AN118" s="59">
        <f ca="1">AVERAGE(OFFSET($AM$3,0,0,'Données projet'!$E$10+1,1))-AVERAGE(OFFSET($H$3,0,0,'Données projet'!$E$10+1,1))</f>
        <v>481.23392184981651</v>
      </c>
      <c r="AO118" s="59">
        <f t="shared" si="90"/>
        <v>275.88160405468193</v>
      </c>
      <c r="AP118" s="15">
        <f>IF(ISNA(VLOOKUP(A118,'Données projet'!$A$61:$I$81,3,0)),0,VLOOKUP(A118,'Données projet'!$A$61:$I$81,3,0))</f>
        <v>19</v>
      </c>
      <c r="AQ118" s="15">
        <f>IF(ISNA(VLOOKUP(A118,'Données projet'!$A$61:$I$81,4,0)),0,VLOOKUP(A118,'Données projet'!$A$61:$I$81,4,0))</f>
        <v>22</v>
      </c>
      <c r="AR118" s="16">
        <f>IF(ISNA(VLOOKUP(A118,'Données projet'!$A$61:$I$81,5,0)),0%,VLOOKUP(A118,'Données projet'!$A$61:$I$81,5,0)*VLOOKUP('Données projet'!$B$10,Paramètres!$A$1:$I$89,7,0))</f>
        <v>0.53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110.36005623744856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110.36005623744856</v>
      </c>
      <c r="AY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328.00000000000006</v>
      </c>
      <c r="BE118" s="13">
        <f>BD118*VLOOKUP('Données projet'!$B$11,Paramètres!$A$1:$I$89,3,0)*VLOOKUP('Données projet'!$B$11,Paramètres!$A$1:$I$89,5,0)</f>
        <v>255.84000000000006</v>
      </c>
      <c r="BF118" s="13">
        <f t="shared" si="91"/>
        <v>61.834803371075836</v>
      </c>
      <c r="BG118" s="20">
        <f t="shared" si="61"/>
        <v>553.28361587129041</v>
      </c>
      <c r="BH118" s="59">
        <f t="shared" si="62"/>
        <v>834.36532141438761</v>
      </c>
      <c r="BI118" s="59">
        <f ca="1">AVERAGE(OFFSET($BH$3,0,0,'Données projet'!$E$11+1,1))-AVERAGE(OFFSET($H$3,0,0,'Données projet'!$E$11+1,1))</f>
        <v>308.85018589589453</v>
      </c>
      <c r="BJ118" s="59">
        <f t="shared" si="92"/>
        <v>302.59481222418219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20.259113713453001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20.259113713453001</v>
      </c>
      <c r="BT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9.4029999999999916</v>
      </c>
      <c r="BY118" s="12">
        <f>IF('Données projet'!$A$114&gt;35,BY117+BX118-CG117,IF(A118&lt;'Données projet'!$A$114,$BV$205^A118,IF(A118='Données projet'!$A$114,'Données projet'!$B$114,BY117+BX118-CG117)))</f>
        <v>488.42800000000034</v>
      </c>
      <c r="BZ118" s="13">
        <f>BY118*VLOOKUP('Données projet'!$B$12,Paramètres!$A$1:$I$89,3,0)*VLOOKUP('Données projet'!$B$12,Paramètres!$A$1:$I$89,5,0)</f>
        <v>472.40756160000035</v>
      </c>
      <c r="CA118" s="13">
        <f t="shared" si="93"/>
        <v>106.31105431123427</v>
      </c>
      <c r="CB118" s="20">
        <f t="shared" si="64"/>
        <v>1007.9349227120669</v>
      </c>
      <c r="CC118" s="59">
        <f t="shared" si="65"/>
        <v>1289.0166282551641</v>
      </c>
      <c r="CD118" s="59">
        <f ca="1">AVERAGE(OFFSET($CC$3,0,0,'Données projet'!$E$12+1,1))-AVERAGE(OFFSET($H$3,0,0,'Données projet'!$E$12+1,1))</f>
        <v>600.96600099724276</v>
      </c>
      <c r="CE118" s="59">
        <f t="shared" si="94"/>
        <v>315.40159260706264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125.95498302220943</v>
      </c>
      <c r="CL118" s="21">
        <f>EXP(-LN(2)/25)*CL117+(1-EXP(-LN(2)/25))/(LN(2)/25)*Calculateur!CG118*Calculateur!CI118*VLOOKUP('Données projet'!$B$12,Paramètres!$A$1:$I$89,3,0)*0.475*44/12</f>
        <v>0</v>
      </c>
      <c r="CM118" s="21">
        <f>EXP(-LN(2)/2)*CM117+(1-EXP(-LN(2)/2))/(LN(2)/2)*CG118*CJ118*VLOOKUP('Données projet'!$B$12,Paramètres!$A$1:$I$89,3,0)*0.475*44/12</f>
        <v>0</v>
      </c>
      <c r="CN118" s="22">
        <f t="shared" si="66"/>
        <v>125.95498302220943</v>
      </c>
      <c r="CO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9.4029999999999916</v>
      </c>
      <c r="CT118" s="12">
        <f>IF('Données projet'!$A$140&gt;35,CT117+CS118-DB117,IF(A118&lt;'Données projet'!$A$140,$CQ$205^A118,IF(A118='Données projet'!$A$140,'Données projet'!$B$140,CT117+CS118-DB117)))</f>
        <v>488.42800000000034</v>
      </c>
      <c r="CU118" s="17">
        <f>CT118*VLOOKUP('Données projet'!$B$13,Paramètres!$A$1:$I$89,3,0)*VLOOKUP('Données projet'!$B$13,Paramètres!$A$1:$I$89,5,0)</f>
        <v>464.78808480000038</v>
      </c>
      <c r="CV118" s="13">
        <f t="shared" si="95"/>
        <v>104.79451946497053</v>
      </c>
      <c r="CW118" s="20">
        <f t="shared" si="67"/>
        <v>992.02303576149086</v>
      </c>
      <c r="CX118" s="59">
        <f t="shared" si="68"/>
        <v>1273.1047413045881</v>
      </c>
      <c r="CY118" s="59">
        <f ca="1">AVERAGE(OFFSET($CX$3,0,0,'Données projet'!$E$13+1,1))-AVERAGE(OFFSET($H$3,0,0,'Données projet'!$E$13+1,1))</f>
        <v>592.58528889137358</v>
      </c>
      <c r="CZ118" s="59">
        <f t="shared" si="96"/>
        <v>311.31528020403709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123.92345103798026</v>
      </c>
      <c r="DG118" s="21">
        <f>EXP(-LN(2)/25)*DG117+(1-EXP(-LN(2)/25))/(LN(2)/25)*Calculateur!DB118*Calculateur!DD118*VLOOKUP('Données projet'!$B$13,Paramètres!$A$1:$I$89,3,0)*0.475*44/12</f>
        <v>0</v>
      </c>
      <c r="DH118" s="21">
        <f>EXP(-LN(2)/2)*DH117+(1-EXP(-LN(2)/2))/(LN(2)/2)*DB118*DE118*VLOOKUP('Données projet'!$B$13,Paramètres!$A$1:$I$89,3,0)*0.475*44/12</f>
        <v>0</v>
      </c>
      <c r="DI118" s="22">
        <f t="shared" si="69"/>
        <v>123.92345103798026</v>
      </c>
      <c r="DJ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2">
        <f>'Scénario référence'!$B$16*5+'Scénario référence'!$B$17*0+'Scénario référence'!$B$18*5</f>
        <v>5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66">
        <f t="shared" si="56"/>
        <v>183.33333333333334</v>
      </c>
      <c r="I119" s="6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9.4029999999999916</v>
      </c>
      <c r="N119" s="13">
        <f>IF('Données projet'!$A$36&gt;35,N118+M119-V118,IF(A119&lt;'Données projet'!$A$36,$K$205^A119,IF(A119='Données projet'!$A$36,'Données projet'!$B$36,N118+M119-V118)))</f>
        <v>497.83100000000036</v>
      </c>
      <c r="O119" s="13">
        <f>N119*VLOOKUP('Données projet'!$B$9,Paramètres!$A$1:$I$89,3,0)*VLOOKUP('Données projet'!$B$9,Paramètres!$A$1:$I$89,5,0)</f>
        <v>450.43748880000032</v>
      </c>
      <c r="P119" s="13">
        <f t="shared" si="87"/>
        <v>101.93035443256859</v>
      </c>
      <c r="Q119" s="20">
        <f t="shared" si="107"/>
        <v>962.04066029672424</v>
      </c>
      <c r="R119" s="59">
        <f t="shared" si="55"/>
        <v>1243.3349041914457</v>
      </c>
      <c r="S119" s="59">
        <f ca="1">AVERAGE(OFFSET($R$3,0,0,'Données projet'!$E$9+1,1))-AVERAGE(OFFSET($H$3,0,0,'Données projet'!$E$9+1,1))</f>
        <v>567.42635821507474</v>
      </c>
      <c r="T119" s="59">
        <f t="shared" si="88"/>
        <v>299.04735309930152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115.51830310557524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115.51830310557524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404.00000000000017</v>
      </c>
      <c r="AJ119" s="13">
        <f>AI119*VLOOKUP('Données projet'!$B$10,Paramètres!$A$1:$I$89,3,0)*VLOOKUP('Données projet'!$B$10,Paramètres!$A$1:$I$89,5,0)</f>
        <v>346.63200000000018</v>
      </c>
      <c r="AK119" s="13">
        <f t="shared" si="89"/>
        <v>80.868615263336864</v>
      </c>
      <c r="AL119" s="20">
        <f t="shared" si="58"/>
        <v>744.56357158364528</v>
      </c>
      <c r="AM119" s="59">
        <f t="shared" si="59"/>
        <v>1025.8578154783668</v>
      </c>
      <c r="AN119" s="59">
        <f ca="1">AVERAGE(OFFSET($AM$3,0,0,'Données projet'!$E$10+1,1))-AVERAGE(OFFSET($H$3,0,0,'Données projet'!$E$10+1,1))</f>
        <v>481.23392184981651</v>
      </c>
      <c r="AO119" s="59">
        <f t="shared" si="90"/>
        <v>275.88160405468193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108.1959628476199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108.1959628476199</v>
      </c>
      <c r="AY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328.00000000000006</v>
      </c>
      <c r="BE119" s="13">
        <f>BD119*VLOOKUP('Données projet'!$B$11,Paramètres!$A$1:$I$89,3,0)*VLOOKUP('Données projet'!$B$11,Paramètres!$A$1:$I$89,5,0)</f>
        <v>255.84000000000006</v>
      </c>
      <c r="BF119" s="13">
        <f t="shared" si="91"/>
        <v>61.834803371075836</v>
      </c>
      <c r="BG119" s="20">
        <f t="shared" si="61"/>
        <v>553.28361587129041</v>
      </c>
      <c r="BH119" s="59">
        <f t="shared" si="62"/>
        <v>834.5778597660119</v>
      </c>
      <c r="BI119" s="59">
        <f ca="1">AVERAGE(OFFSET($BH$3,0,0,'Données projet'!$E$11+1,1))-AVERAGE(OFFSET($H$3,0,0,'Données projet'!$E$11+1,1))</f>
        <v>308.85018589589453</v>
      </c>
      <c r="BJ119" s="59">
        <f t="shared" si="92"/>
        <v>302.59481222418219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19.861844850371416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19.861844850371416</v>
      </c>
      <c r="BT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9.4029999999999916</v>
      </c>
      <c r="BY119" s="12">
        <f>IF('Données projet'!$A$114&gt;35,BY118+BX119-CG118,IF(A119&lt;'Données projet'!$A$114,$BV$205^A119,IF(A119='Données projet'!$A$114,'Données projet'!$B$114,BY118+BX119-CG118)))</f>
        <v>497.83100000000036</v>
      </c>
      <c r="BZ119" s="13">
        <f>BY119*VLOOKUP('Données projet'!$B$12,Paramètres!$A$1:$I$89,3,0)*VLOOKUP('Données projet'!$B$12,Paramètres!$A$1:$I$89,5,0)</f>
        <v>481.50214320000038</v>
      </c>
      <c r="CA119" s="13">
        <f t="shared" si="93"/>
        <v>108.11746542536339</v>
      </c>
      <c r="CB119" s="20">
        <f t="shared" si="64"/>
        <v>1026.9208183558419</v>
      </c>
      <c r="CC119" s="59">
        <f t="shared" si="65"/>
        <v>1308.2150622505633</v>
      </c>
      <c r="CD119" s="59">
        <f ca="1">AVERAGE(OFFSET($CC$3,0,0,'Données projet'!$E$12+1,1))-AVERAGE(OFFSET($H$3,0,0,'Données projet'!$E$12+1,1))</f>
        <v>600.96600099724276</v>
      </c>
      <c r="CE119" s="59">
        <f t="shared" si="94"/>
        <v>315.40159260706264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123.48508263009772</v>
      </c>
      <c r="CL119" s="21">
        <f>EXP(-LN(2)/25)*CL118+(1-EXP(-LN(2)/25))/(LN(2)/25)*Calculateur!CG119*Calculateur!CI119*VLOOKUP('Données projet'!$B$12,Paramètres!$A$1:$I$89,3,0)*0.475*44/12</f>
        <v>0</v>
      </c>
      <c r="CM119" s="21">
        <f>EXP(-LN(2)/2)*CM118+(1-EXP(-LN(2)/2))/(LN(2)/2)*CG119*CJ119*VLOOKUP('Données projet'!$B$12,Paramètres!$A$1:$I$89,3,0)*0.475*44/12</f>
        <v>0</v>
      </c>
      <c r="CN119" s="22">
        <f t="shared" si="66"/>
        <v>123.48508263009772</v>
      </c>
      <c r="CO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9.4029999999999916</v>
      </c>
      <c r="CT119" s="12">
        <f>IF('Données projet'!$A$140&gt;35,CT118+CS119-DB118,IF(A119&lt;'Données projet'!$A$140,$CQ$205^A119,IF(A119='Données projet'!$A$140,'Données projet'!$B$140,CT118+CS119-DB118)))</f>
        <v>497.83100000000036</v>
      </c>
      <c r="CU119" s="17">
        <f>CT119*VLOOKUP('Données projet'!$B$13,Paramètres!$A$1:$I$89,3,0)*VLOOKUP('Données projet'!$B$13,Paramètres!$A$1:$I$89,5,0)</f>
        <v>473.73597960000029</v>
      </c>
      <c r="CV119" s="13">
        <f t="shared" si="95"/>
        <v>106.57516199445891</v>
      </c>
      <c r="CW119" s="20">
        <f t="shared" si="67"/>
        <v>1010.7085716103497</v>
      </c>
      <c r="CX119" s="59">
        <f t="shared" si="68"/>
        <v>1292.0028155050713</v>
      </c>
      <c r="CY119" s="59">
        <f ca="1">AVERAGE(OFFSET($CX$3,0,0,'Données projet'!$E$13+1,1))-AVERAGE(OFFSET($H$3,0,0,'Données projet'!$E$13+1,1))</f>
        <v>592.58528889137358</v>
      </c>
      <c r="CZ119" s="59">
        <f t="shared" si="96"/>
        <v>311.31528020403709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121.49338774896711</v>
      </c>
      <c r="DG119" s="21">
        <f>EXP(-LN(2)/25)*DG118+(1-EXP(-LN(2)/25))/(LN(2)/25)*Calculateur!DB119*Calculateur!DD119*VLOOKUP('Données projet'!$B$13,Paramètres!$A$1:$I$89,3,0)*0.475*44/12</f>
        <v>0</v>
      </c>
      <c r="DH119" s="21">
        <f>EXP(-LN(2)/2)*DH118+(1-EXP(-LN(2)/2))/(LN(2)/2)*DB119*DE119*VLOOKUP('Données projet'!$B$13,Paramètres!$A$1:$I$89,3,0)*0.475*44/12</f>
        <v>0</v>
      </c>
      <c r="DI119" s="22">
        <f t="shared" si="69"/>
        <v>121.49338774896711</v>
      </c>
      <c r="DJ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2">
        <f>'Scénario référence'!$B$16*5+'Scénario référence'!$B$17*0+'Scénario référence'!$B$18*5</f>
        <v>5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66">
        <f t="shared" si="56"/>
        <v>183.33333333333334</v>
      </c>
      <c r="I120" s="6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9.4029999999999916</v>
      </c>
      <c r="N120" s="13">
        <f>IF('Données projet'!$A$36&gt;35,N119+M120-V119,IF(A120&lt;'Données projet'!$A$36,$K$205^A120,IF(A120='Données projet'!$A$36,'Données projet'!$B$36,N119+M120-V119)))</f>
        <v>507.23400000000038</v>
      </c>
      <c r="O120" s="13">
        <f>N120*VLOOKUP('Données projet'!$B$9,Paramètres!$A$1:$I$89,3,0)*VLOOKUP('Données projet'!$B$9,Paramètres!$A$1:$I$89,5,0)</f>
        <v>458.94532320000036</v>
      </c>
      <c r="P120" s="13">
        <f t="shared" si="87"/>
        <v>103.62965183753882</v>
      </c>
      <c r="Q120" s="20">
        <f t="shared" si="107"/>
        <v>979.81808152371411</v>
      </c>
      <c r="R120" s="59">
        <f t="shared" si="55"/>
        <v>1261.3211767048238</v>
      </c>
      <c r="S120" s="59">
        <f ca="1">AVERAGE(OFFSET($R$3,0,0,'Données projet'!$E$9+1,1))-AVERAGE(OFFSET($H$3,0,0,'Données projet'!$E$9+1,1))</f>
        <v>567.42635821507474</v>
      </c>
      <c r="T120" s="59">
        <f t="shared" si="88"/>
        <v>299.04735309930152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113.25305964088254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113.25305964088254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404.00000000000017</v>
      </c>
      <c r="AJ120" s="13">
        <f>AI120*VLOOKUP('Données projet'!$B$10,Paramètres!$A$1:$I$89,3,0)*VLOOKUP('Données projet'!$B$10,Paramètres!$A$1:$I$89,5,0)</f>
        <v>346.63200000000018</v>
      </c>
      <c r="AK120" s="13">
        <f t="shared" si="89"/>
        <v>80.868615263336864</v>
      </c>
      <c r="AL120" s="20">
        <f t="shared" si="58"/>
        <v>744.56357158364528</v>
      </c>
      <c r="AM120" s="59">
        <f t="shared" si="59"/>
        <v>1026.0666667647549</v>
      </c>
      <c r="AN120" s="59">
        <f ca="1">AVERAGE(OFFSET($AM$3,0,0,'Données projet'!$E$10+1,1))-AVERAGE(OFFSET($H$3,0,0,'Données projet'!$E$10+1,1))</f>
        <v>481.23392184981651</v>
      </c>
      <c r="AO120" s="59">
        <f t="shared" si="90"/>
        <v>275.88160405468193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106.07430600919913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106.07430600919913</v>
      </c>
      <c r="AY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328.00000000000006</v>
      </c>
      <c r="BE120" s="13">
        <f>BD120*VLOOKUP('Données projet'!$B$11,Paramètres!$A$1:$I$89,3,0)*VLOOKUP('Données projet'!$B$11,Paramètres!$A$1:$I$89,5,0)</f>
        <v>255.84000000000006</v>
      </c>
      <c r="BF120" s="13">
        <f t="shared" si="91"/>
        <v>61.834803371075836</v>
      </c>
      <c r="BG120" s="20">
        <f t="shared" si="61"/>
        <v>553.28361587129041</v>
      </c>
      <c r="BH120" s="59">
        <f t="shared" si="62"/>
        <v>834.78671105240005</v>
      </c>
      <c r="BI120" s="59">
        <f ca="1">AVERAGE(OFFSET($BH$3,0,0,'Données projet'!$E$11+1,1))-AVERAGE(OFFSET($H$3,0,0,'Données projet'!$E$11+1,1))</f>
        <v>308.85018589589453</v>
      </c>
      <c r="BJ120" s="59">
        <f t="shared" si="92"/>
        <v>302.59481222418219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19.472366187384779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19.472366187384779</v>
      </c>
      <c r="BT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9.4029999999999916</v>
      </c>
      <c r="BY120" s="12">
        <f>IF('Données projet'!$A$114&gt;35,BY119+BX120-CG119,IF(A120&lt;'Données projet'!$A$114,$BV$205^A120,IF(A120='Données projet'!$A$114,'Données projet'!$B$114,BY119+BX120-CG119)))</f>
        <v>507.23400000000038</v>
      </c>
      <c r="BZ120" s="13">
        <f>BY120*VLOOKUP('Données projet'!$B$12,Paramètres!$A$1:$I$89,3,0)*VLOOKUP('Données projet'!$B$12,Paramètres!$A$1:$I$89,5,0)</f>
        <v>490.59672480000035</v>
      </c>
      <c r="CA120" s="13">
        <f t="shared" si="93"/>
        <v>109.91990915718451</v>
      </c>
      <c r="CB120" s="20">
        <f t="shared" si="64"/>
        <v>1045.8998041420966</v>
      </c>
      <c r="CC120" s="59">
        <f t="shared" si="65"/>
        <v>1327.4028993232064</v>
      </c>
      <c r="CD120" s="59">
        <f ca="1">AVERAGE(OFFSET($CC$3,0,0,'Données projet'!$E$12+1,1))-AVERAGE(OFFSET($H$3,0,0,'Données projet'!$E$12+1,1))</f>
        <v>600.96600099724276</v>
      </c>
      <c r="CE120" s="59">
        <f t="shared" si="94"/>
        <v>315.40159260706264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121.06361547818483</v>
      </c>
      <c r="CL120" s="21">
        <f>EXP(-LN(2)/25)*CL119+(1-EXP(-LN(2)/25))/(LN(2)/25)*Calculateur!CG120*Calculateur!CI120*VLOOKUP('Données projet'!$B$12,Paramètres!$A$1:$I$89,3,0)*0.475*44/12</f>
        <v>0</v>
      </c>
      <c r="CM120" s="21">
        <f>EXP(-LN(2)/2)*CM119+(1-EXP(-LN(2)/2))/(LN(2)/2)*CG120*CJ120*VLOOKUP('Données projet'!$B$12,Paramètres!$A$1:$I$89,3,0)*0.475*44/12</f>
        <v>0</v>
      </c>
      <c r="CN120" s="22">
        <f t="shared" si="66"/>
        <v>121.06361547818483</v>
      </c>
      <c r="CO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9.4029999999999916</v>
      </c>
      <c r="CT120" s="12">
        <f>IF('Données projet'!$A$140&gt;35,CT119+CS120-DB119,IF(A120&lt;'Données projet'!$A$140,$CQ$205^A120,IF(A120='Données projet'!$A$140,'Données projet'!$B$140,CT119+CS120-DB119)))</f>
        <v>507.23400000000038</v>
      </c>
      <c r="CU120" s="17">
        <f>CT120*VLOOKUP('Données projet'!$B$13,Paramètres!$A$1:$I$89,3,0)*VLOOKUP('Données projet'!$B$13,Paramètres!$A$1:$I$89,5,0)</f>
        <v>482.68387440000032</v>
      </c>
      <c r="CV120" s="13">
        <f t="shared" si="95"/>
        <v>108.35189373663384</v>
      </c>
      <c r="CW120" s="20">
        <f t="shared" si="67"/>
        <v>1029.3872961713043</v>
      </c>
      <c r="CX120" s="59">
        <f t="shared" si="68"/>
        <v>1310.8903913524141</v>
      </c>
      <c r="CY120" s="59">
        <f ca="1">AVERAGE(OFFSET($CX$3,0,0,'Données projet'!$E$13+1,1))-AVERAGE(OFFSET($H$3,0,0,'Données projet'!$E$13+1,1))</f>
        <v>592.58528889137358</v>
      </c>
      <c r="CZ120" s="59">
        <f t="shared" si="96"/>
        <v>311.31528020403709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119.11097651885926</v>
      </c>
      <c r="DG120" s="21">
        <f>EXP(-LN(2)/25)*DG119+(1-EXP(-LN(2)/25))/(LN(2)/25)*Calculateur!DB120*Calculateur!DD120*VLOOKUP('Données projet'!$B$13,Paramètres!$A$1:$I$89,3,0)*0.475*44/12</f>
        <v>0</v>
      </c>
      <c r="DH120" s="21">
        <f>EXP(-LN(2)/2)*DH119+(1-EXP(-LN(2)/2))/(LN(2)/2)*DB120*DE120*VLOOKUP('Données projet'!$B$13,Paramètres!$A$1:$I$89,3,0)*0.475*44/12</f>
        <v>0</v>
      </c>
      <c r="DI120" s="22">
        <f t="shared" si="69"/>
        <v>119.11097651885926</v>
      </c>
      <c r="DJ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2">
        <f>'Scénario référence'!$B$16*5+'Scénario référence'!$B$17*0+'Scénario référence'!$B$18*5</f>
        <v>5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66">
        <f t="shared" si="56"/>
        <v>183.33333333333334</v>
      </c>
      <c r="I121" s="6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9.4029999999999916</v>
      </c>
      <c r="N121" s="13">
        <f>IF('Données projet'!$A$36&gt;35,N120+M121-V120,IF(A121&lt;'Données projet'!$A$36,$K$205^A121,IF(A121='Données projet'!$A$36,'Données projet'!$B$36,N120+M121-V120)))</f>
        <v>516.6370000000004</v>
      </c>
      <c r="O121" s="13">
        <f>N121*VLOOKUP('Données projet'!$B$9,Paramètres!$A$1:$I$89,3,0)*VLOOKUP('Données projet'!$B$9,Paramètres!$A$1:$I$89,5,0)</f>
        <v>467.45315760000034</v>
      </c>
      <c r="P121" s="13">
        <f t="shared" si="87"/>
        <v>105.3252862310737</v>
      </c>
      <c r="Q121" s="20">
        <f t="shared" si="107"/>
        <v>997.5891230057872</v>
      </c>
      <c r="R121" s="59">
        <f t="shared" si="55"/>
        <v>1279.2974463703877</v>
      </c>
      <c r="S121" s="59">
        <f ca="1">AVERAGE(OFFSET($R$3,0,0,'Données projet'!$E$9+1,1))-AVERAGE(OFFSET($H$3,0,0,'Données projet'!$E$9+1,1))</f>
        <v>567.42635821507474</v>
      </c>
      <c r="T121" s="59">
        <f t="shared" si="88"/>
        <v>299.04735309930152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111.03223621887037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111.03223621887037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404.00000000000017</v>
      </c>
      <c r="AJ121" s="13">
        <f>AI121*VLOOKUP('Données projet'!$B$10,Paramètres!$A$1:$I$89,3,0)*VLOOKUP('Données projet'!$B$10,Paramètres!$A$1:$I$89,5,0)</f>
        <v>346.63200000000018</v>
      </c>
      <c r="AK121" s="13">
        <f t="shared" si="89"/>
        <v>80.868615263336864</v>
      </c>
      <c r="AL121" s="20">
        <f t="shared" si="58"/>
        <v>744.56357158364528</v>
      </c>
      <c r="AM121" s="59">
        <f t="shared" si="59"/>
        <v>1026.2718949482457</v>
      </c>
      <c r="AN121" s="59">
        <f ca="1">AVERAGE(OFFSET($AM$3,0,0,'Données projet'!$E$10+1,1))-AVERAGE(OFFSET($H$3,0,0,'Données projet'!$E$10+1,1))</f>
        <v>481.23392184981651</v>
      </c>
      <c r="AO121" s="59">
        <f t="shared" si="90"/>
        <v>275.88160405468193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103.99425356729691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103.99425356729691</v>
      </c>
      <c r="AY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328.00000000000006</v>
      </c>
      <c r="BE121" s="13">
        <f>BD121*VLOOKUP('Données projet'!$B$11,Paramètres!$A$1:$I$89,3,0)*VLOOKUP('Données projet'!$B$11,Paramètres!$A$1:$I$89,5,0)</f>
        <v>255.84000000000006</v>
      </c>
      <c r="BF121" s="13">
        <f t="shared" si="91"/>
        <v>61.834803371075836</v>
      </c>
      <c r="BG121" s="20">
        <f t="shared" si="61"/>
        <v>553.28361587129041</v>
      </c>
      <c r="BH121" s="59">
        <f t="shared" si="62"/>
        <v>834.99193923589087</v>
      </c>
      <c r="BI121" s="59">
        <f ca="1">AVERAGE(OFFSET($BH$3,0,0,'Données projet'!$E$11+1,1))-AVERAGE(OFFSET($H$3,0,0,'Données projet'!$E$11+1,1))</f>
        <v>308.85018589589453</v>
      </c>
      <c r="BJ121" s="59">
        <f t="shared" si="92"/>
        <v>302.59481222418219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19.090524963420783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19.090524963420783</v>
      </c>
      <c r="BT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9.4029999999999916</v>
      </c>
      <c r="BY121" s="12">
        <f>IF('Données projet'!$A$114&gt;35,BY120+BX121-CG120,IF(A121&lt;'Données projet'!$A$114,$BV$205^A121,IF(A121='Données projet'!$A$114,'Données projet'!$B$114,BY120+BX121-CG120)))</f>
        <v>516.6370000000004</v>
      </c>
      <c r="BZ121" s="13">
        <f>BY121*VLOOKUP('Données projet'!$B$12,Paramètres!$A$1:$I$89,3,0)*VLOOKUP('Données projet'!$B$12,Paramètres!$A$1:$I$89,5,0)</f>
        <v>499.69130640000043</v>
      </c>
      <c r="CA121" s="13">
        <f t="shared" si="93"/>
        <v>111.71846753498681</v>
      </c>
      <c r="CB121" s="20">
        <f t="shared" si="64"/>
        <v>1064.8720229367693</v>
      </c>
      <c r="CC121" s="59">
        <f t="shared" si="65"/>
        <v>1346.5803463013697</v>
      </c>
      <c r="CD121" s="59">
        <f ca="1">AVERAGE(OFFSET($CC$3,0,0,'Données projet'!$E$12+1,1))-AVERAGE(OFFSET($H$3,0,0,'Données projet'!$E$12+1,1))</f>
        <v>600.96600099724276</v>
      </c>
      <c r="CE121" s="59">
        <f t="shared" si="94"/>
        <v>315.40159260706264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118.68963182017183</v>
      </c>
      <c r="CL121" s="21">
        <f>EXP(-LN(2)/25)*CL120+(1-EXP(-LN(2)/25))/(LN(2)/25)*Calculateur!CG121*Calculateur!CI121*VLOOKUP('Données projet'!$B$12,Paramètres!$A$1:$I$89,3,0)*0.475*44/12</f>
        <v>0</v>
      </c>
      <c r="CM121" s="21">
        <f>EXP(-LN(2)/2)*CM120+(1-EXP(-LN(2)/2))/(LN(2)/2)*CG121*CJ121*VLOOKUP('Données projet'!$B$12,Paramètres!$A$1:$I$89,3,0)*0.475*44/12</f>
        <v>0</v>
      </c>
      <c r="CN121" s="22">
        <f t="shared" si="66"/>
        <v>118.68963182017183</v>
      </c>
      <c r="CO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9.4029999999999916</v>
      </c>
      <c r="CT121" s="12">
        <f>IF('Données projet'!$A$140&gt;35,CT120+CS121-DB120,IF(A121&lt;'Données projet'!$A$140,$CQ$205^A121,IF(A121='Données projet'!$A$140,'Données projet'!$B$140,CT120+CS121-DB120)))</f>
        <v>516.6370000000004</v>
      </c>
      <c r="CU121" s="17">
        <f>CT121*VLOOKUP('Données projet'!$B$13,Paramètres!$A$1:$I$89,3,0)*VLOOKUP('Données projet'!$B$13,Paramètres!$A$1:$I$89,5,0)</f>
        <v>491.63176920000041</v>
      </c>
      <c r="CV121" s="13">
        <f t="shared" si="95"/>
        <v>110.12479554964476</v>
      </c>
      <c r="CW121" s="20">
        <f t="shared" si="67"/>
        <v>1048.0593502722984</v>
      </c>
      <c r="CX121" s="59">
        <f t="shared" si="68"/>
        <v>1329.7676736368987</v>
      </c>
      <c r="CY121" s="59">
        <f ca="1">AVERAGE(OFFSET($CX$3,0,0,'Données projet'!$E$13+1,1))-AVERAGE(OFFSET($H$3,0,0,'Données projet'!$E$13+1,1))</f>
        <v>592.58528889137358</v>
      </c>
      <c r="CZ121" s="59">
        <f t="shared" si="96"/>
        <v>311.31528020403709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116.77528291984646</v>
      </c>
      <c r="DG121" s="21">
        <f>EXP(-LN(2)/25)*DG120+(1-EXP(-LN(2)/25))/(LN(2)/25)*Calculateur!DB121*Calculateur!DD121*VLOOKUP('Données projet'!$B$13,Paramètres!$A$1:$I$89,3,0)*0.475*44/12</f>
        <v>0</v>
      </c>
      <c r="DH121" s="21">
        <f>EXP(-LN(2)/2)*DH120+(1-EXP(-LN(2)/2))/(LN(2)/2)*DB121*DE121*VLOOKUP('Données projet'!$B$13,Paramètres!$A$1:$I$89,3,0)*0.475*44/12</f>
        <v>0</v>
      </c>
      <c r="DI121" s="22">
        <f t="shared" si="69"/>
        <v>116.77528291984646</v>
      </c>
      <c r="DJ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2">
        <f>'Scénario référence'!$B$16*5+'Scénario référence'!$B$17*0+'Scénario référence'!$B$18*5</f>
        <v>5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66">
        <f t="shared" si="56"/>
        <v>183.33333333333334</v>
      </c>
      <c r="I122" s="6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>
        <f>VLOOKUP(A122,'Données projet'!$A$35:$I$55,2,0)</f>
        <v>526.04</v>
      </c>
      <c r="L122" s="12">
        <f>VLOOKUP(A122,'Données projet'!$A$35:$I$55,9,0)</f>
        <v>9.4029999999999916</v>
      </c>
      <c r="M122" s="12">
        <f t="array" ref="M122">INDEX(L:L,MIN(IF(ISNUMBER(L122:L318),ROW(L122:L318),"")))</f>
        <v>9.4029999999999916</v>
      </c>
      <c r="N122" s="13">
        <f>IF('Données projet'!$A$36&gt;35,N121+M122-V121,IF(A122&lt;'Données projet'!$A$36,$K$205^A122,IF(A122='Données projet'!$A$36,'Données projet'!$B$36,N121+M122-V121)))</f>
        <v>526.04000000000042</v>
      </c>
      <c r="O122" s="13">
        <f>N122*VLOOKUP('Données projet'!$B$9,Paramètres!$A$1:$I$89,3,0)*VLOOKUP('Données projet'!$B$9,Paramètres!$A$1:$I$89,5,0)</f>
        <v>475.96099200000037</v>
      </c>
      <c r="P122" s="13">
        <f t="shared" si="87"/>
        <v>107.01733197112763</v>
      </c>
      <c r="Q122" s="20">
        <f t="shared" si="107"/>
        <v>1015.3539142497146</v>
      </c>
      <c r="R122" s="59">
        <f t="shared" si="55"/>
        <v>1297.2639055476438</v>
      </c>
      <c r="S122" s="59">
        <f ca="1">AVERAGE(OFFSET($R$3,0,0,'Données projet'!$E$9+1,1))-AVERAGE(OFFSET($H$3,0,0,'Données projet'!$E$9+1,1))</f>
        <v>567.42635821507474</v>
      </c>
      <c r="T122" s="59">
        <f t="shared" si="88"/>
        <v>299.04735309930152</v>
      </c>
      <c r="U122" s="15">
        <f>IF(ISNA(VLOOKUP(A122,'Données projet'!$A$35:$I$55,3,0)),0,VLOOKUP(A122,'Données projet'!$A$35:$I$55,3,0))</f>
        <v>11</v>
      </c>
      <c r="V122" s="15">
        <f>IF(ISNA(VLOOKUP(A122,'Données projet'!$A$35:$I$55,4,0)),0,VLOOKUP(A122,'Données projet'!$A$35:$I$55,4,0))</f>
        <v>196.46</v>
      </c>
      <c r="W122" s="16">
        <f>IF(ISNA(VLOOKUP(A122,'Données projet'!$A$35:$I$55,5,0)),0%,VLOOKUP(A122,'Données projet'!$A$35:$I$55,5,0)*VLOOKUP('Données projet'!$B$9,Paramètres!$A$1:$I$89,7,0))</f>
        <v>0.43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193.35215784190802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193.35215784190802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404.00000000000017</v>
      </c>
      <c r="AJ122" s="13">
        <f>AI122*VLOOKUP('Données projet'!$B$10,Paramètres!$A$1:$I$89,3,0)*VLOOKUP('Données projet'!$B$10,Paramètres!$A$1:$I$89,5,0)</f>
        <v>346.63200000000018</v>
      </c>
      <c r="AK122" s="13">
        <f t="shared" si="89"/>
        <v>80.868615263336864</v>
      </c>
      <c r="AL122" s="20">
        <f t="shared" si="58"/>
        <v>744.56357158364528</v>
      </c>
      <c r="AM122" s="59">
        <f t="shared" si="59"/>
        <v>1026.4735628815745</v>
      </c>
      <c r="AN122" s="59">
        <f ca="1">AVERAGE(OFFSET($AM$3,0,0,'Données projet'!$E$10+1,1))-AVERAGE(OFFSET($H$3,0,0,'Données projet'!$E$10+1,1))</f>
        <v>481.23392184981651</v>
      </c>
      <c r="AO122" s="59">
        <f t="shared" si="90"/>
        <v>275.88160405468193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101.95498968507367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101.95498968507367</v>
      </c>
      <c r="AY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328.00000000000006</v>
      </c>
      <c r="BE122" s="13">
        <f>BD122*VLOOKUP('Données projet'!$B$11,Paramètres!$A$1:$I$89,3,0)*VLOOKUP('Données projet'!$B$11,Paramètres!$A$1:$I$89,5,0)</f>
        <v>255.84000000000006</v>
      </c>
      <c r="BF122" s="13">
        <f t="shared" si="91"/>
        <v>61.834803371075836</v>
      </c>
      <c r="BG122" s="20">
        <f t="shared" si="61"/>
        <v>553.28361587129041</v>
      </c>
      <c r="BH122" s="59">
        <f t="shared" si="62"/>
        <v>835.1936071692196</v>
      </c>
      <c r="BI122" s="59">
        <f ca="1">AVERAGE(OFFSET($BH$3,0,0,'Données projet'!$E$11+1,1))-AVERAGE(OFFSET($H$3,0,0,'Données projet'!$E$11+1,1))</f>
        <v>308.85018589589453</v>
      </c>
      <c r="BJ122" s="59">
        <f t="shared" si="92"/>
        <v>302.59481222418219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18.716171412958573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18.716171412958573</v>
      </c>
      <c r="BT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>
        <f>VLOOKUP(A122,'Données projet'!$A$113:$I$133,2,0)</f>
        <v>526.04</v>
      </c>
      <c r="BW122" s="12">
        <f>VLOOKUP(A122,'Données projet'!$A$113:$I$133,9,0)</f>
        <v>9.4029999999999916</v>
      </c>
      <c r="BX122" s="12">
        <f t="array" ref="BX122">INDEX(BW:BW,MIN(IF(ISNUMBER(BW122:BW318),ROW(BW122:BW318),"")))</f>
        <v>9.4029999999999916</v>
      </c>
      <c r="BY122" s="12">
        <f>IF('Données projet'!$A$114&gt;35,BY121+BX122-CG121,IF(A122&lt;'Données projet'!$A$114,$BV$205^A122,IF(A122='Données projet'!$A$114,'Données projet'!$B$114,BY121+BX122-CG121)))</f>
        <v>526.04000000000042</v>
      </c>
      <c r="BZ122" s="13">
        <f>BY122*VLOOKUP('Données projet'!$B$12,Paramètres!$A$1:$I$89,3,0)*VLOOKUP('Données projet'!$B$12,Paramètres!$A$1:$I$89,5,0)</f>
        <v>508.7858880000004</v>
      </c>
      <c r="CA122" s="13">
        <f t="shared" si="93"/>
        <v>113.51321943020805</v>
      </c>
      <c r="CB122" s="20">
        <f t="shared" si="64"/>
        <v>1083.837612107613</v>
      </c>
      <c r="CC122" s="59">
        <f t="shared" si="65"/>
        <v>1365.7476034055421</v>
      </c>
      <c r="CD122" s="59">
        <f ca="1">AVERAGE(OFFSET($CC$3,0,0,'Données projet'!$E$12+1,1))-AVERAGE(OFFSET($H$3,0,0,'Données projet'!$E$12+1,1))</f>
        <v>600.96600099724276</v>
      </c>
      <c r="CE122" s="59">
        <f t="shared" si="94"/>
        <v>315.40159260706264</v>
      </c>
      <c r="CF122" s="15">
        <f>IF(ISNA(VLOOKUP(A122,'Données projet'!$A$113:$I$133,3,0)),0,VLOOKUP(A122,'Données projet'!$A$113:$I$133,3,0))</f>
        <v>11</v>
      </c>
      <c r="CG122" s="15">
        <f>IF(ISNA(VLOOKUP(A122,'Données projet'!$A$113:$I$133,4,0)),0,VLOOKUP(A122,'Données projet'!$A$113:$I$133,4,0))</f>
        <v>196.46</v>
      </c>
      <c r="CH122" s="16">
        <f>IF(ISNA(VLOOKUP(A122,'Données projet'!$A$113:$I$133,5,0)),0%,VLOOKUP(A122,'Données projet'!$A$113:$I$133,5,0)*VLOOKUP('Données projet'!$B$12,Paramètres!$A$1:$I$89,7,0))</f>
        <v>0.43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206.68678941721208</v>
      </c>
      <c r="CL122" s="21">
        <f>EXP(-LN(2)/25)*CL121+(1-EXP(-LN(2)/25))/(LN(2)/25)*Calculateur!CG122*Calculateur!CI122*VLOOKUP('Données projet'!$B$12,Paramètres!$A$1:$I$89,3,0)*0.475*44/12</f>
        <v>0</v>
      </c>
      <c r="CM122" s="21">
        <f>EXP(-LN(2)/2)*CM121+(1-EXP(-LN(2)/2))/(LN(2)/2)*CG122*CJ122*VLOOKUP('Données projet'!$B$12,Paramètres!$A$1:$I$89,3,0)*0.475*44/12</f>
        <v>0</v>
      </c>
      <c r="CN122" s="22">
        <f t="shared" si="66"/>
        <v>206.68678941721208</v>
      </c>
      <c r="CO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>
        <f>VLOOKUP(A122,'Données projet'!$A$139:$I$159,2,0)</f>
        <v>526.04</v>
      </c>
      <c r="CR122" s="12">
        <f>VLOOKUP(A122,'Données projet'!$A$139:$I$159,9,0)</f>
        <v>9.4029999999999916</v>
      </c>
      <c r="CS122" s="12">
        <f t="array" ref="CS122">INDEX(CR:CR,MIN(IF(ISNUMBER(CR122:CR318),ROW(CR122:CR318),"")))</f>
        <v>9.4029999999999916</v>
      </c>
      <c r="CT122" s="12">
        <f>IF('Données projet'!$A$140&gt;35,CT121+CS122-DB121,IF(A122&lt;'Données projet'!$A$140,$CQ$205^A122,IF(A122='Données projet'!$A$140,'Données projet'!$B$140,CT121+CS122-DB121)))</f>
        <v>526.04000000000042</v>
      </c>
      <c r="CU122" s="17">
        <f>CT122*VLOOKUP('Données projet'!$B$13,Paramètres!$A$1:$I$89,3,0)*VLOOKUP('Données projet'!$B$13,Paramètres!$A$1:$I$89,5,0)</f>
        <v>500.57966400000043</v>
      </c>
      <c r="CV122" s="13">
        <f t="shared" si="95"/>
        <v>111.89394517982277</v>
      </c>
      <c r="CW122" s="20">
        <f t="shared" si="67"/>
        <v>1066.7248693215251</v>
      </c>
      <c r="CX122" s="59">
        <f t="shared" si="68"/>
        <v>1348.6348606194542</v>
      </c>
      <c r="CY122" s="59">
        <f ca="1">AVERAGE(OFFSET($CX$3,0,0,'Données projet'!$E$13+1,1))-AVERAGE(OFFSET($H$3,0,0,'Données projet'!$E$13+1,1))</f>
        <v>592.58528889137358</v>
      </c>
      <c r="CZ122" s="59">
        <f t="shared" si="96"/>
        <v>311.31528020403709</v>
      </c>
      <c r="DA122" s="15">
        <f>IF(ISNA(VLOOKUP(A122,'Données projet'!$A$139:$I$159,3,0)),0,VLOOKUP(A122,'Données projet'!$A$139:$I$159,3,0))</f>
        <v>11</v>
      </c>
      <c r="DB122" s="15">
        <f>IF(ISNA(VLOOKUP(A122,'Données projet'!$A$139:$I$159,4,0)),0,VLOOKUP(A122,'Données projet'!$A$139:$I$159,4,0))</f>
        <v>196.46</v>
      </c>
      <c r="DC122" s="16">
        <f>IF(ISNA(VLOOKUP(A122,'Données projet'!$A$139:$I$159,5,0)),0%,VLOOKUP(A122,'Données projet'!$A$139:$I$159,5,0)*VLOOKUP('Données projet'!$B$13,Paramètres!$A$1:$I$89,7,0))</f>
        <v>0.43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203.35313152338608</v>
      </c>
      <c r="DG122" s="21">
        <f>EXP(-LN(2)/25)*DG121+(1-EXP(-LN(2)/25))/(LN(2)/25)*Calculateur!DB122*Calculateur!DD122*VLOOKUP('Données projet'!$B$13,Paramètres!$A$1:$I$89,3,0)*0.475*44/12</f>
        <v>0</v>
      </c>
      <c r="DH122" s="21">
        <f>EXP(-LN(2)/2)*DH121+(1-EXP(-LN(2)/2))/(LN(2)/2)*DB122*DE122*VLOOKUP('Données projet'!$B$13,Paramètres!$A$1:$I$89,3,0)*0.475*44/12</f>
        <v>0</v>
      </c>
      <c r="DI122" s="22">
        <f t="shared" si="69"/>
        <v>203.35313152338608</v>
      </c>
      <c r="DJ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2">
        <f>'Scénario référence'!$B$16*5+'Scénario référence'!$B$17*0+'Scénario référence'!$B$18*5</f>
        <v>5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66">
        <f t="shared" si="56"/>
        <v>183.33333333333334</v>
      </c>
      <c r="I123" s="6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-0.37249999999998806</v>
      </c>
      <c r="N123" s="13">
        <f>IF('Données projet'!$A$36&gt;35,N122+M123-V122,IF(A123&lt;'Données projet'!$A$36,$K$205^A123,IF(A123='Données projet'!$A$36,'Données projet'!$B$36,N122+M123-V122)))</f>
        <v>329.20750000000044</v>
      </c>
      <c r="O123" s="13">
        <f>N123*VLOOKUP('Données projet'!$B$9,Paramètres!$A$1:$I$89,3,0)*VLOOKUP('Données projet'!$B$9,Paramètres!$A$1:$I$89,5,0)</f>
        <v>297.86694600000038</v>
      </c>
      <c r="P123" s="13">
        <f t="shared" si="87"/>
        <v>70.729107889768898</v>
      </c>
      <c r="Q123" s="20">
        <f t="shared" si="107"/>
        <v>641.97146052468145</v>
      </c>
      <c r="R123" s="59">
        <f t="shared" si="55"/>
        <v>924.07962126815801</v>
      </c>
      <c r="S123" s="59">
        <f ca="1">AVERAGE(OFFSET($R$3,0,0,'Données projet'!$E$9+1,1))-AVERAGE(OFFSET($H$3,0,0,'Données projet'!$E$9+1,1))</f>
        <v>567.42635821507474</v>
      </c>
      <c r="T123" s="59">
        <f t="shared" si="88"/>
        <v>299.04735309930152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189.56063995979954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189.56063995979954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404.00000000000017</v>
      </c>
      <c r="AJ123" s="13">
        <f>AI123*VLOOKUP('Données projet'!$B$10,Paramètres!$A$1:$I$89,3,0)*VLOOKUP('Données projet'!$B$10,Paramètres!$A$1:$I$89,5,0)</f>
        <v>346.63200000000018</v>
      </c>
      <c r="AK123" s="13">
        <f t="shared" si="89"/>
        <v>80.868615263336864</v>
      </c>
      <c r="AL123" s="20">
        <f t="shared" si="58"/>
        <v>744.56357158364528</v>
      </c>
      <c r="AM123" s="59">
        <f t="shared" si="59"/>
        <v>1026.6717323271218</v>
      </c>
      <c r="AN123" s="59">
        <f ca="1">AVERAGE(OFFSET($AM$3,0,0,'Données projet'!$E$10+1,1))-AVERAGE(OFFSET($H$3,0,0,'Données projet'!$E$10+1,1))</f>
        <v>481.23392184981651</v>
      </c>
      <c r="AO123" s="59">
        <f t="shared" si="90"/>
        <v>275.88160405468193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99.95571452375269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99.95571452375269</v>
      </c>
      <c r="AY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328.00000000000006</v>
      </c>
      <c r="BE123" s="13">
        <f>BD123*VLOOKUP('Données projet'!$B$11,Paramètres!$A$1:$I$89,3,0)*VLOOKUP('Données projet'!$B$11,Paramètres!$A$1:$I$89,5,0)</f>
        <v>255.84000000000006</v>
      </c>
      <c r="BF123" s="13">
        <f t="shared" si="91"/>
        <v>61.834803371075836</v>
      </c>
      <c r="BG123" s="20">
        <f t="shared" si="61"/>
        <v>553.28361587129041</v>
      </c>
      <c r="BH123" s="59">
        <f t="shared" si="62"/>
        <v>835.39177661476697</v>
      </c>
      <c r="BI123" s="59">
        <f ca="1">AVERAGE(OFFSET($BH$3,0,0,'Données projet'!$E$11+1,1))-AVERAGE(OFFSET($H$3,0,0,'Données projet'!$E$11+1,1))</f>
        <v>308.85018589589453</v>
      </c>
      <c r="BJ123" s="59">
        <f t="shared" si="92"/>
        <v>302.59481222418219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18.349158707287806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18.349158707287806</v>
      </c>
      <c r="BT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-0.37249999999998806</v>
      </c>
      <c r="BY123" s="12">
        <f>IF('Données projet'!$A$114&gt;35,BY122+BX123-CG122,IF(A123&lt;'Données projet'!$A$114,$BV$205^A123,IF(A123='Données projet'!$A$114,'Données projet'!$B$114,BY122+BX123-CG122)))</f>
        <v>329.20750000000044</v>
      </c>
      <c r="BZ123" s="13">
        <f>BY123*VLOOKUP('Données projet'!$B$12,Paramètres!$A$1:$I$89,3,0)*VLOOKUP('Données projet'!$B$12,Paramètres!$A$1:$I$89,5,0)</f>
        <v>318.40949400000045</v>
      </c>
      <c r="CA123" s="13">
        <f t="shared" si="93"/>
        <v>75.022322049294417</v>
      </c>
      <c r="CB123" s="20">
        <f t="shared" si="64"/>
        <v>685.22707961918843</v>
      </c>
      <c r="CC123" s="59">
        <f t="shared" si="65"/>
        <v>967.33524036266499</v>
      </c>
      <c r="CD123" s="59">
        <f ca="1">AVERAGE(OFFSET($CC$3,0,0,'Données projet'!$E$12+1,1))-AVERAGE(OFFSET($H$3,0,0,'Données projet'!$E$12+1,1))</f>
        <v>600.96600099724276</v>
      </c>
      <c r="CE123" s="59">
        <f t="shared" si="94"/>
        <v>315.40159260706264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202.63378754323406</v>
      </c>
      <c r="CL123" s="21">
        <f>EXP(-LN(2)/25)*CL122+(1-EXP(-LN(2)/25))/(LN(2)/25)*Calculateur!CG123*Calculateur!CI123*VLOOKUP('Données projet'!$B$12,Paramètres!$A$1:$I$89,3,0)*0.475*44/12</f>
        <v>0</v>
      </c>
      <c r="CM123" s="21">
        <f>EXP(-LN(2)/2)*CM122+(1-EXP(-LN(2)/2))/(LN(2)/2)*CG123*CJ123*VLOOKUP('Données projet'!$B$12,Paramètres!$A$1:$I$89,3,0)*0.475*44/12</f>
        <v>0</v>
      </c>
      <c r="CN123" s="22">
        <f t="shared" si="66"/>
        <v>202.63378754323406</v>
      </c>
      <c r="CO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-0.37249999999998806</v>
      </c>
      <c r="CT123" s="12">
        <f>IF('Données projet'!$A$140&gt;35,CT122+CS123-DB122,IF(A123&lt;'Données projet'!$A$140,$CQ$205^A123,IF(A123='Données projet'!$A$140,'Données projet'!$B$140,CT122+CS123-DB122)))</f>
        <v>329.20750000000044</v>
      </c>
      <c r="CU123" s="17">
        <f>CT123*VLOOKUP('Données projet'!$B$13,Paramètres!$A$1:$I$89,3,0)*VLOOKUP('Données projet'!$B$13,Paramètres!$A$1:$I$89,5,0)</f>
        <v>313.27385700000042</v>
      </c>
      <c r="CV123" s="13">
        <f t="shared" si="95"/>
        <v>73.952123222159344</v>
      </c>
      <c r="CW123" s="20">
        <f t="shared" si="67"/>
        <v>674.41858222026156</v>
      </c>
      <c r="CX123" s="59">
        <f t="shared" si="68"/>
        <v>956.52674296373812</v>
      </c>
      <c r="CY123" s="59">
        <f ca="1">AVERAGE(OFFSET($CX$3,0,0,'Données projet'!$E$13+1,1))-AVERAGE(OFFSET($H$3,0,0,'Données projet'!$E$13+1,1))</f>
        <v>592.58528889137358</v>
      </c>
      <c r="CZ123" s="59">
        <f t="shared" si="96"/>
        <v>311.31528020403709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199.36550064737546</v>
      </c>
      <c r="DG123" s="21">
        <f>EXP(-LN(2)/25)*DG122+(1-EXP(-LN(2)/25))/(LN(2)/25)*Calculateur!DB123*Calculateur!DD123*VLOOKUP('Données projet'!$B$13,Paramètres!$A$1:$I$89,3,0)*0.475*44/12</f>
        <v>0</v>
      </c>
      <c r="DH123" s="21">
        <f>EXP(-LN(2)/2)*DH122+(1-EXP(-LN(2)/2))/(LN(2)/2)*DB123*DE123*VLOOKUP('Données projet'!$B$13,Paramètres!$A$1:$I$89,3,0)*0.475*44/12</f>
        <v>0</v>
      </c>
      <c r="DI123" s="22">
        <f t="shared" si="69"/>
        <v>199.36550064737546</v>
      </c>
      <c r="DJ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2">
        <f>'Scénario référence'!$B$16*5+'Scénario référence'!$B$17*0+'Scénario référence'!$B$18*5</f>
        <v>5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66">
        <f t="shared" si="56"/>
        <v>183.33333333333334</v>
      </c>
      <c r="I124" s="6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-0.37249999999998806</v>
      </c>
      <c r="N124" s="13">
        <f>IF('Données projet'!$A$36&gt;35,N123+M124-V123,IF(A124&lt;'Données projet'!$A$36,$K$205^A124,IF(A124='Données projet'!$A$36,'Données projet'!$B$36,N123+M124-V123)))</f>
        <v>328.83500000000043</v>
      </c>
      <c r="O124" s="13">
        <f>N124*VLOOKUP('Données projet'!$B$9,Paramètres!$A$1:$I$89,3,0)*VLOOKUP('Données projet'!$B$9,Paramètres!$A$1:$I$89,5,0)</f>
        <v>297.52990800000038</v>
      </c>
      <c r="P124" s="13">
        <f t="shared" si="87"/>
        <v>70.658388410389392</v>
      </c>
      <c r="Q124" s="20">
        <f t="shared" si="107"/>
        <v>641.26128291476209</v>
      </c>
      <c r="R124" s="59">
        <f t="shared" si="55"/>
        <v>923.56417530694648</v>
      </c>
      <c r="S124" s="59">
        <f ca="1">AVERAGE(OFFSET($R$3,0,0,'Données projet'!$E$9+1,1))-AVERAGE(OFFSET($H$3,0,0,'Données projet'!$E$9+1,1))</f>
        <v>567.42635821507474</v>
      </c>
      <c r="T124" s="59">
        <f t="shared" si="88"/>
        <v>299.04735309930152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185.84347143076167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185.84347143076167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404.00000000000017</v>
      </c>
      <c r="AJ124" s="13">
        <f>AI124*VLOOKUP('Données projet'!$B$10,Paramètres!$A$1:$I$89,3,0)*VLOOKUP('Données projet'!$B$10,Paramètres!$A$1:$I$89,5,0)</f>
        <v>346.63200000000018</v>
      </c>
      <c r="AK124" s="13">
        <f t="shared" si="89"/>
        <v>80.868615263336864</v>
      </c>
      <c r="AL124" s="20">
        <f t="shared" si="58"/>
        <v>744.56357158364528</v>
      </c>
      <c r="AM124" s="59">
        <f t="shared" si="59"/>
        <v>1026.8664639758297</v>
      </c>
      <c r="AN124" s="59">
        <f ca="1">AVERAGE(OFFSET($AM$3,0,0,'Données projet'!$E$10+1,1))-AVERAGE(OFFSET($H$3,0,0,'Données projet'!$E$10+1,1))</f>
        <v>481.23392184981651</v>
      </c>
      <c r="AO124" s="59">
        <f t="shared" si="90"/>
        <v>275.88160405468193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97.995643928907768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97.995643928907768</v>
      </c>
      <c r="AY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328.00000000000006</v>
      </c>
      <c r="BE124" s="13">
        <f>BD124*VLOOKUP('Données projet'!$B$11,Paramètres!$A$1:$I$89,3,0)*VLOOKUP('Données projet'!$B$11,Paramètres!$A$1:$I$89,5,0)</f>
        <v>255.84000000000006</v>
      </c>
      <c r="BF124" s="13">
        <f t="shared" si="91"/>
        <v>61.834803371075836</v>
      </c>
      <c r="BG124" s="20">
        <f t="shared" si="61"/>
        <v>553.28361587129041</v>
      </c>
      <c r="BH124" s="59">
        <f t="shared" si="62"/>
        <v>835.5865082634748</v>
      </c>
      <c r="BI124" s="59">
        <f ca="1">AVERAGE(OFFSET($BH$3,0,0,'Données projet'!$E$11+1,1))-AVERAGE(OFFSET($H$3,0,0,'Données projet'!$E$11+1,1))</f>
        <v>308.85018589589453</v>
      </c>
      <c r="BJ124" s="59">
        <f t="shared" si="92"/>
        <v>302.59481222418219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17.989342896919599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17.989342896919599</v>
      </c>
      <c r="BT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-0.37249999999998806</v>
      </c>
      <c r="BY124" s="12">
        <f>IF('Données projet'!$A$114&gt;35,BY123+BX124-CG123,IF(A124&lt;'Données projet'!$A$114,$BV$205^A124,IF(A124='Données projet'!$A$114,'Données projet'!$B$114,BY123+BX124-CG123)))</f>
        <v>328.83500000000043</v>
      </c>
      <c r="BZ124" s="13">
        <f>BY124*VLOOKUP('Données projet'!$B$12,Paramètres!$A$1:$I$89,3,0)*VLOOKUP('Données projet'!$B$12,Paramètres!$A$1:$I$89,5,0)</f>
        <v>318.04921200000041</v>
      </c>
      <c r="CA124" s="13">
        <f t="shared" si="93"/>
        <v>74.947309940200213</v>
      </c>
      <c r="CB124" s="20">
        <f t="shared" si="64"/>
        <v>684.46894237918275</v>
      </c>
      <c r="CC124" s="59">
        <f t="shared" si="65"/>
        <v>966.77183477136714</v>
      </c>
      <c r="CD124" s="59">
        <f ca="1">AVERAGE(OFFSET($CC$3,0,0,'Données projet'!$E$12+1,1))-AVERAGE(OFFSET($H$3,0,0,'Données projet'!$E$12+1,1))</f>
        <v>600.96600099724276</v>
      </c>
      <c r="CE124" s="59">
        <f t="shared" si="94"/>
        <v>315.40159260706264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198.66026256391771</v>
      </c>
      <c r="CL124" s="21">
        <f>EXP(-LN(2)/25)*CL123+(1-EXP(-LN(2)/25))/(LN(2)/25)*Calculateur!CG124*Calculateur!CI124*VLOOKUP('Données projet'!$B$12,Paramètres!$A$1:$I$89,3,0)*0.475*44/12</f>
        <v>0</v>
      </c>
      <c r="CM124" s="21">
        <f>EXP(-LN(2)/2)*CM123+(1-EXP(-LN(2)/2))/(LN(2)/2)*CG124*CJ124*VLOOKUP('Données projet'!$B$12,Paramètres!$A$1:$I$89,3,0)*0.475*44/12</f>
        <v>0</v>
      </c>
      <c r="CN124" s="22">
        <f t="shared" si="66"/>
        <v>198.66026256391771</v>
      </c>
      <c r="CO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-0.37249999999998806</v>
      </c>
      <c r="CT124" s="12">
        <f>IF('Données projet'!$A$140&gt;35,CT123+CS124-DB123,IF(A124&lt;'Données projet'!$A$140,$CQ$205^A124,IF(A124='Données projet'!$A$140,'Données projet'!$B$140,CT123+CS124-DB123)))</f>
        <v>328.83500000000043</v>
      </c>
      <c r="CU124" s="17">
        <f>CT124*VLOOKUP('Données projet'!$B$13,Paramètres!$A$1:$I$89,3,0)*VLOOKUP('Données projet'!$B$13,Paramètres!$A$1:$I$89,5,0)</f>
        <v>312.91938600000043</v>
      </c>
      <c r="CV124" s="13">
        <f t="shared" si="95"/>
        <v>73.878181166203746</v>
      </c>
      <c r="CW124" s="20">
        <f t="shared" si="67"/>
        <v>673.67242948113892</v>
      </c>
      <c r="CX124" s="59">
        <f t="shared" si="68"/>
        <v>955.97532187332331</v>
      </c>
      <c r="CY124" s="59">
        <f ca="1">AVERAGE(OFFSET($CX$3,0,0,'Données projet'!$E$13+1,1))-AVERAGE(OFFSET($H$3,0,0,'Données projet'!$E$13+1,1))</f>
        <v>592.58528889137358</v>
      </c>
      <c r="CZ124" s="59">
        <f t="shared" si="96"/>
        <v>311.31528020403709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195.45606478062871</v>
      </c>
      <c r="DG124" s="21">
        <f>EXP(-LN(2)/25)*DG123+(1-EXP(-LN(2)/25))/(LN(2)/25)*Calculateur!DB124*Calculateur!DD124*VLOOKUP('Données projet'!$B$13,Paramètres!$A$1:$I$89,3,0)*0.475*44/12</f>
        <v>0</v>
      </c>
      <c r="DH124" s="21">
        <f>EXP(-LN(2)/2)*DH123+(1-EXP(-LN(2)/2))/(LN(2)/2)*DB124*DE124*VLOOKUP('Données projet'!$B$13,Paramètres!$A$1:$I$89,3,0)*0.475*44/12</f>
        <v>0</v>
      </c>
      <c r="DI124" s="22">
        <f t="shared" si="69"/>
        <v>195.45606478062871</v>
      </c>
      <c r="DJ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2">
        <f>'Scénario référence'!$B$16*5+'Scénario référence'!$B$17*0+'Scénario référence'!$B$18*5</f>
        <v>5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66">
        <f t="shared" si="56"/>
        <v>183.33333333333334</v>
      </c>
      <c r="I125" s="6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-0.37249999999998806</v>
      </c>
      <c r="N125" s="13">
        <f>IF('Données projet'!$A$36&gt;35,N124+M125-V124,IF(A125&lt;'Données projet'!$A$36,$K$205^A125,IF(A125='Données projet'!$A$36,'Données projet'!$B$36,N124+M125-V124)))</f>
        <v>328.46250000000043</v>
      </c>
      <c r="O125" s="13">
        <f>N125*VLOOKUP('Données projet'!$B$9,Paramètres!$A$1:$I$89,3,0)*VLOOKUP('Données projet'!$B$9,Paramètres!$A$1:$I$89,5,0)</f>
        <v>297.19287000000037</v>
      </c>
      <c r="P125" s="13">
        <f t="shared" si="87"/>
        <v>70.587659605576917</v>
      </c>
      <c r="Q125" s="20">
        <f t="shared" si="107"/>
        <v>640.55108906304713</v>
      </c>
      <c r="R125" s="59">
        <f t="shared" si="55"/>
        <v>923.04533494518887</v>
      </c>
      <c r="S125" s="59">
        <f ca="1">AVERAGE(OFFSET($R$3,0,0,'Données projet'!$E$9+1,1))-AVERAGE(OFFSET($H$3,0,0,'Données projet'!$E$9+1,1))</f>
        <v>567.42635821507474</v>
      </c>
      <c r="T125" s="59">
        <f t="shared" si="88"/>
        <v>299.04735309930152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182.1991943093293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182.1991943093293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404.00000000000017</v>
      </c>
      <c r="AJ125" s="13">
        <f>AI125*VLOOKUP('Données projet'!$B$10,Paramètres!$A$1:$I$89,3,0)*VLOOKUP('Données projet'!$B$10,Paramètres!$A$1:$I$89,5,0)</f>
        <v>346.63200000000018</v>
      </c>
      <c r="AK125" s="13">
        <f t="shared" si="89"/>
        <v>80.868615263336864</v>
      </c>
      <c r="AL125" s="20">
        <f t="shared" si="58"/>
        <v>744.56357158364528</v>
      </c>
      <c r="AM125" s="59">
        <f t="shared" si="59"/>
        <v>1027.0578174657871</v>
      </c>
      <c r="AN125" s="59">
        <f ca="1">AVERAGE(OFFSET($AM$3,0,0,'Données projet'!$E$10+1,1))-AVERAGE(OFFSET($H$3,0,0,'Données projet'!$E$10+1,1))</f>
        <v>481.23392184981651</v>
      </c>
      <c r="AO125" s="59">
        <f t="shared" si="90"/>
        <v>275.88160405468193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96.074009122902737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96.074009122902737</v>
      </c>
      <c r="AY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328.00000000000006</v>
      </c>
      <c r="BE125" s="13">
        <f>BD125*VLOOKUP('Données projet'!$B$11,Paramètres!$A$1:$I$89,3,0)*VLOOKUP('Données projet'!$B$11,Paramètres!$A$1:$I$89,5,0)</f>
        <v>255.84000000000006</v>
      </c>
      <c r="BF125" s="13">
        <f t="shared" si="91"/>
        <v>61.834803371075836</v>
      </c>
      <c r="BG125" s="20">
        <f t="shared" si="61"/>
        <v>553.28361587129041</v>
      </c>
      <c r="BH125" s="59">
        <f t="shared" si="62"/>
        <v>835.77786175343226</v>
      </c>
      <c r="BI125" s="59">
        <f ca="1">AVERAGE(OFFSET($BH$3,0,0,'Données projet'!$E$11+1,1))-AVERAGE(OFFSET($H$3,0,0,'Données projet'!$E$11+1,1))</f>
        <v>308.85018589589453</v>
      </c>
      <c r="BJ125" s="59">
        <f t="shared" si="92"/>
        <v>302.59481222418219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17.636582855126736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17.636582855126736</v>
      </c>
      <c r="BT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-0.37249999999998806</v>
      </c>
      <c r="BY125" s="12">
        <f>IF('Données projet'!$A$114&gt;35,BY124+BX125-CG124,IF(A125&lt;'Données projet'!$A$114,$BV$205^A125,IF(A125='Données projet'!$A$114,'Données projet'!$B$114,BY124+BX125-CG124)))</f>
        <v>328.46250000000043</v>
      </c>
      <c r="BZ125" s="13">
        <f>BY125*VLOOKUP('Données projet'!$B$12,Paramètres!$A$1:$I$89,3,0)*VLOOKUP('Données projet'!$B$12,Paramètres!$A$1:$I$89,5,0)</f>
        <v>317.68893000000043</v>
      </c>
      <c r="CA125" s="13">
        <f t="shared" si="93"/>
        <v>74.872287939624826</v>
      </c>
      <c r="CB125" s="20">
        <f t="shared" si="64"/>
        <v>683.71078791151388</v>
      </c>
      <c r="CC125" s="59">
        <f t="shared" si="65"/>
        <v>966.20503379365573</v>
      </c>
      <c r="CD125" s="59">
        <f ca="1">AVERAGE(OFFSET($CC$3,0,0,'Données projet'!$E$12+1,1))-AVERAGE(OFFSET($H$3,0,0,'Données projet'!$E$12+1,1))</f>
        <v>600.96600099724276</v>
      </c>
      <c r="CE125" s="59">
        <f t="shared" si="94"/>
        <v>315.40159260706264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194.76465598583482</v>
      </c>
      <c r="CL125" s="21">
        <f>EXP(-LN(2)/25)*CL124+(1-EXP(-LN(2)/25))/(LN(2)/25)*Calculateur!CG125*Calculateur!CI125*VLOOKUP('Données projet'!$B$12,Paramètres!$A$1:$I$89,3,0)*0.475*44/12</f>
        <v>0</v>
      </c>
      <c r="CM125" s="21">
        <f>EXP(-LN(2)/2)*CM124+(1-EXP(-LN(2)/2))/(LN(2)/2)*CG125*CJ125*VLOOKUP('Données projet'!$B$12,Paramètres!$A$1:$I$89,3,0)*0.475*44/12</f>
        <v>0</v>
      </c>
      <c r="CN125" s="22">
        <f t="shared" si="66"/>
        <v>194.76465598583482</v>
      </c>
      <c r="CO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-0.37249999999998806</v>
      </c>
      <c r="CT125" s="12">
        <f>IF('Données projet'!$A$140&gt;35,CT124+CS125-DB124,IF(A125&lt;'Données projet'!$A$140,$CQ$205^A125,IF(A125='Données projet'!$A$140,'Données projet'!$B$140,CT124+CS125-DB124)))</f>
        <v>328.46250000000043</v>
      </c>
      <c r="CU125" s="17">
        <f>CT125*VLOOKUP('Données projet'!$B$13,Paramètres!$A$1:$I$89,3,0)*VLOOKUP('Données projet'!$B$13,Paramètres!$A$1:$I$89,5,0)</f>
        <v>312.56491500000038</v>
      </c>
      <c r="CV125" s="13">
        <f t="shared" si="95"/>
        <v>73.804229359869638</v>
      </c>
      <c r="CW125" s="20">
        <f t="shared" si="67"/>
        <v>672.92625976010697</v>
      </c>
      <c r="CX125" s="59">
        <f t="shared" si="68"/>
        <v>955.42050564224883</v>
      </c>
      <c r="CY125" s="59">
        <f ca="1">AVERAGE(OFFSET($CX$3,0,0,'Données projet'!$E$13+1,1))-AVERAGE(OFFSET($H$3,0,0,'Données projet'!$E$13+1,1))</f>
        <v>592.58528889137358</v>
      </c>
      <c r="CZ125" s="59">
        <f t="shared" si="96"/>
        <v>311.31528020403709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191.62329056670845</v>
      </c>
      <c r="DG125" s="21">
        <f>EXP(-LN(2)/25)*DG124+(1-EXP(-LN(2)/25))/(LN(2)/25)*Calculateur!DB125*Calculateur!DD125*VLOOKUP('Données projet'!$B$13,Paramètres!$A$1:$I$89,3,0)*0.475*44/12</f>
        <v>0</v>
      </c>
      <c r="DH125" s="21">
        <f>EXP(-LN(2)/2)*DH124+(1-EXP(-LN(2)/2))/(LN(2)/2)*DB125*DE125*VLOOKUP('Données projet'!$B$13,Paramètres!$A$1:$I$89,3,0)*0.475*44/12</f>
        <v>0</v>
      </c>
      <c r="DI125" s="22">
        <f t="shared" si="69"/>
        <v>191.62329056670845</v>
      </c>
      <c r="DJ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2">
        <f>'Scénario référence'!$B$16*5+'Scénario référence'!$B$17*0+'Scénario référence'!$B$18*5</f>
        <v>5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66">
        <f t="shared" si="56"/>
        <v>183.33333333333334</v>
      </c>
      <c r="I126" s="6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>
        <f>VLOOKUP(A126,'Données projet'!$A$35:$I$55,2,0)</f>
        <v>328.09</v>
      </c>
      <c r="L126" s="12">
        <f>VLOOKUP(A126,'Données projet'!$A$35:$I$55,9,0)</f>
        <v>-0.37249999999998806</v>
      </c>
      <c r="M126" s="12">
        <f t="array" ref="M126">INDEX(L:L,MIN(IF(ISNUMBER(L126:L322),ROW(L126:L322),"")))</f>
        <v>-0.37249999999998806</v>
      </c>
      <c r="N126" s="13">
        <f>IF('Données projet'!$A$36&gt;35,N125+M126-V125,IF(A126&lt;'Données projet'!$A$36,$K$205^A126,IF(A126='Données projet'!$A$36,'Données projet'!$B$36,N125+M126-V125)))</f>
        <v>328.09000000000043</v>
      </c>
      <c r="O126" s="13">
        <f>N126*VLOOKUP('Données projet'!$B$9,Paramètres!$A$1:$I$89,3,0)*VLOOKUP('Données projet'!$B$9,Paramètres!$A$1:$I$89,5,0)</f>
        <v>296.85583200000036</v>
      </c>
      <c r="P126" s="13">
        <f t="shared" si="87"/>
        <v>70.516921463523971</v>
      </c>
      <c r="Q126" s="20">
        <f t="shared" si="107"/>
        <v>639.84087894897141</v>
      </c>
      <c r="R126" s="59">
        <f t="shared" si="55"/>
        <v>922.52315876582202</v>
      </c>
      <c r="S126" s="59">
        <f ca="1">AVERAGE(OFFSET($R$3,0,0,'Données projet'!$E$9+1,1))-AVERAGE(OFFSET($H$3,0,0,'Données projet'!$E$9+1,1))</f>
        <v>567.42635821507474</v>
      </c>
      <c r="T126" s="59">
        <f t="shared" si="88"/>
        <v>299.04735309930152</v>
      </c>
      <c r="U126" s="15">
        <f>IF(ISNA(VLOOKUP(A126,'Données projet'!$A$35:$I$55,3,0)),0,VLOOKUP(A126,'Données projet'!$A$35:$I$55,3,0))</f>
        <v>12</v>
      </c>
      <c r="V126" s="15">
        <f>IF(ISNA(VLOOKUP(A126,'Données projet'!$A$35:$I$55,4,0)),0,VLOOKUP(A126,'Données projet'!$A$35:$I$55,4,0))</f>
        <v>100.6</v>
      </c>
      <c r="W126" s="16">
        <f>IF(ISNA(VLOOKUP(A126,'Données projet'!$A$35:$I$55,5,0)),0%,VLOOKUP(A126,'Données projet'!$A$35:$I$55,5,0)*VLOOKUP('Données projet'!$B$9,Paramètres!$A$1:$I$89,7,0))</f>
        <v>0.43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221.89431125036498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221.89431125036498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404.00000000000017</v>
      </c>
      <c r="AJ126" s="13">
        <f>AI126*VLOOKUP('Données projet'!$B$10,Paramètres!$A$1:$I$89,3,0)*VLOOKUP('Données projet'!$B$10,Paramètres!$A$1:$I$89,5,0)</f>
        <v>346.63200000000018</v>
      </c>
      <c r="AK126" s="13">
        <f t="shared" si="89"/>
        <v>80.868615263336864</v>
      </c>
      <c r="AL126" s="20">
        <f t="shared" si="58"/>
        <v>744.56357158364528</v>
      </c>
      <c r="AM126" s="59">
        <f t="shared" si="59"/>
        <v>1027.2458514004959</v>
      </c>
      <c r="AN126" s="59">
        <f ca="1">AVERAGE(OFFSET($AM$3,0,0,'Données projet'!$E$10+1,1))-AVERAGE(OFFSET($H$3,0,0,'Données projet'!$E$10+1,1))</f>
        <v>481.23392184981651</v>
      </c>
      <c r="AO126" s="59">
        <f t="shared" si="90"/>
        <v>275.88160405468193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94.190056403361979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94.190056403361979</v>
      </c>
      <c r="AY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328.00000000000006</v>
      </c>
      <c r="BE126" s="13">
        <f>BD126*VLOOKUP('Données projet'!$B$11,Paramètres!$A$1:$I$89,3,0)*VLOOKUP('Données projet'!$B$11,Paramètres!$A$1:$I$89,5,0)</f>
        <v>255.84000000000006</v>
      </c>
      <c r="BF126" s="13">
        <f t="shared" si="91"/>
        <v>61.834803371075836</v>
      </c>
      <c r="BG126" s="20">
        <f t="shared" si="61"/>
        <v>553.28361587129041</v>
      </c>
      <c r="BH126" s="59">
        <f t="shared" si="62"/>
        <v>835.96589568814102</v>
      </c>
      <c r="BI126" s="59">
        <f ca="1">AVERAGE(OFFSET($BH$3,0,0,'Données projet'!$E$11+1,1))-AVERAGE(OFFSET($H$3,0,0,'Données projet'!$E$11+1,1))</f>
        <v>308.85018589589453</v>
      </c>
      <c r="BJ126" s="59">
        <f t="shared" si="92"/>
        <v>302.59481222418219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17.290740222591051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17.290740222591051</v>
      </c>
      <c r="BT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>
        <f>VLOOKUP(A126,'Données projet'!$A$113:$I$133,2,0)</f>
        <v>328.09</v>
      </c>
      <c r="BW126" s="12">
        <f>VLOOKUP(A126,'Données projet'!$A$113:$I$133,9,0)</f>
        <v>-0.37249999999998806</v>
      </c>
      <c r="BX126" s="12">
        <f t="array" ref="BX126">INDEX(BW:BW,MIN(IF(ISNUMBER(BW126:BW322),ROW(BW126:BW322),"")))</f>
        <v>-0.37249999999998806</v>
      </c>
      <c r="BY126" s="12">
        <f>IF('Données projet'!$A$114&gt;35,BY125+BX126-CG125,IF(A126&lt;'Données projet'!$A$114,$BV$205^A126,IF(A126='Données projet'!$A$114,'Données projet'!$B$114,BY125+BX126-CG125)))</f>
        <v>328.09000000000043</v>
      </c>
      <c r="BZ126" s="13">
        <f>BY126*VLOOKUP('Données projet'!$B$12,Paramètres!$A$1:$I$89,3,0)*VLOOKUP('Données projet'!$B$12,Paramètres!$A$1:$I$89,5,0)</f>
        <v>317.32864800000044</v>
      </c>
      <c r="CA126" s="13">
        <f t="shared" si="93"/>
        <v>74.797256035044029</v>
      </c>
      <c r="CB126" s="20">
        <f t="shared" si="64"/>
        <v>682.95261619436906</v>
      </c>
      <c r="CC126" s="59">
        <f t="shared" si="65"/>
        <v>965.63489601121978</v>
      </c>
      <c r="CD126" s="59">
        <f ca="1">AVERAGE(OFFSET($CC$3,0,0,'Données projet'!$E$12+1,1))-AVERAGE(OFFSET($H$3,0,0,'Données projet'!$E$12+1,1))</f>
        <v>600.96600099724276</v>
      </c>
      <c r="CE126" s="59">
        <f t="shared" si="94"/>
        <v>315.40159260706264</v>
      </c>
      <c r="CF126" s="15">
        <f>IF(ISNA(VLOOKUP(A126,'Données projet'!$A$113:$I$133,3,0)),0,VLOOKUP(A126,'Données projet'!$A$113:$I$133,3,0))</f>
        <v>12</v>
      </c>
      <c r="CG126" s="15">
        <f>IF(ISNA(VLOOKUP(A126,'Données projet'!$A$113:$I$133,4,0)),0,VLOOKUP(A126,'Données projet'!$A$113:$I$133,4,0))</f>
        <v>100.6</v>
      </c>
      <c r="CH126" s="16">
        <f>IF(ISNA(VLOOKUP(A126,'Données projet'!$A$113:$I$133,5,0)),0%,VLOOKUP(A126,'Données projet'!$A$113:$I$133,5,0)*VLOOKUP('Données projet'!$B$12,Paramètres!$A$1:$I$89,7,0))</f>
        <v>0.43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237.19736719866609</v>
      </c>
      <c r="CL126" s="21">
        <f>EXP(-LN(2)/25)*CL125+(1-EXP(-LN(2)/25))/(LN(2)/25)*Calculateur!CG126*Calculateur!CI126*VLOOKUP('Données projet'!$B$12,Paramètres!$A$1:$I$89,3,0)*0.475*44/12</f>
        <v>0</v>
      </c>
      <c r="CM126" s="21">
        <f>EXP(-LN(2)/2)*CM125+(1-EXP(-LN(2)/2))/(LN(2)/2)*CG126*CJ126*VLOOKUP('Données projet'!$B$12,Paramètres!$A$1:$I$89,3,0)*0.475*44/12</f>
        <v>0</v>
      </c>
      <c r="CN126" s="22">
        <f t="shared" si="66"/>
        <v>237.19736719866609</v>
      </c>
      <c r="CO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>
        <f>VLOOKUP(A126,'Données projet'!$A$139:$I$159,2,0)</f>
        <v>328.09</v>
      </c>
      <c r="CR126" s="12">
        <f>VLOOKUP(A126,'Données projet'!$A$139:$I$159,9,0)</f>
        <v>-0.37249999999998806</v>
      </c>
      <c r="CS126" s="12">
        <f t="array" ref="CS126">INDEX(CR:CR,MIN(IF(ISNUMBER(CR126:CR322),ROW(CR126:CR322),"")))</f>
        <v>-0.37249999999998806</v>
      </c>
      <c r="CT126" s="12">
        <f>IF('Données projet'!$A$140&gt;35,CT125+CS126-DB125,IF(A126&lt;'Données projet'!$A$140,$CQ$205^A126,IF(A126='Données projet'!$A$140,'Données projet'!$B$140,CT125+CS126-DB125)))</f>
        <v>328.09000000000043</v>
      </c>
      <c r="CU126" s="17">
        <f>CT126*VLOOKUP('Données projet'!$B$13,Paramètres!$A$1:$I$89,3,0)*VLOOKUP('Données projet'!$B$13,Paramètres!$A$1:$I$89,5,0)</f>
        <v>312.21044400000045</v>
      </c>
      <c r="CV126" s="13">
        <f t="shared" si="95"/>
        <v>73.730267790811482</v>
      </c>
      <c r="CW126" s="20">
        <f t="shared" si="67"/>
        <v>672.18007303566412</v>
      </c>
      <c r="CX126" s="59">
        <f t="shared" si="68"/>
        <v>954.86235285251473</v>
      </c>
      <c r="CY126" s="59">
        <f ca="1">AVERAGE(OFFSET($CX$3,0,0,'Données projet'!$E$13+1,1))-AVERAGE(OFFSET($H$3,0,0,'Données projet'!$E$13+1,1))</f>
        <v>592.58528889137358</v>
      </c>
      <c r="CZ126" s="59">
        <f t="shared" si="96"/>
        <v>311.31528020403709</v>
      </c>
      <c r="DA126" s="15">
        <f>IF(ISNA(VLOOKUP(A126,'Données projet'!$A$139:$I$159,3,0)),0,VLOOKUP(A126,'Données projet'!$A$139:$I$159,3,0))</f>
        <v>12</v>
      </c>
      <c r="DB126" s="15">
        <f>IF(ISNA(VLOOKUP(A126,'Données projet'!$A$139:$I$159,4,0)),0,VLOOKUP(A126,'Données projet'!$A$139:$I$159,4,0))</f>
        <v>100.6</v>
      </c>
      <c r="DC126" s="16">
        <f>IF(ISNA(VLOOKUP(A126,'Données projet'!$A$139:$I$159,5,0)),0%,VLOOKUP(A126,'Données projet'!$A$139:$I$159,5,0)*VLOOKUP('Données projet'!$B$13,Paramètres!$A$1:$I$89,7,0))</f>
        <v>0.43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233.37160321159081</v>
      </c>
      <c r="DG126" s="21">
        <f>EXP(-LN(2)/25)*DG125+(1-EXP(-LN(2)/25))/(LN(2)/25)*Calculateur!DB126*Calculateur!DD126*VLOOKUP('Données projet'!$B$13,Paramètres!$A$1:$I$89,3,0)*0.475*44/12</f>
        <v>0</v>
      </c>
      <c r="DH126" s="21">
        <f>EXP(-LN(2)/2)*DH125+(1-EXP(-LN(2)/2))/(LN(2)/2)*DB126*DE126*VLOOKUP('Données projet'!$B$13,Paramètres!$A$1:$I$89,3,0)*0.475*44/12</f>
        <v>0</v>
      </c>
      <c r="DI126" s="22">
        <f t="shared" si="69"/>
        <v>233.37160321159081</v>
      </c>
      <c r="DJ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2">
        <f>'Scénario référence'!$B$16*5+'Scénario référence'!$B$17*0+'Scénario référence'!$B$18*5</f>
        <v>5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66">
        <f t="shared" si="56"/>
        <v>183.33333333333334</v>
      </c>
      <c r="I127" s="6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0.19750000000000512</v>
      </c>
      <c r="N127" s="13">
        <f>IF('Données projet'!$A$36&gt;35,N126+M127-V126,IF(A127&lt;'Données projet'!$A$36,$K$205^A127,IF(A127='Données projet'!$A$36,'Données projet'!$B$36,N126+M127-V126)))</f>
        <v>227.68750000000043</v>
      </c>
      <c r="O127" s="13">
        <f>N127*VLOOKUP('Données projet'!$B$9,Paramètres!$A$1:$I$89,3,0)*VLOOKUP('Données projet'!$B$9,Paramètres!$A$1:$I$89,5,0)</f>
        <v>206.01165000000037</v>
      </c>
      <c r="P127" s="13">
        <f t="shared" si="87"/>
        <v>51.063060633166664</v>
      </c>
      <c r="Q127" s="20">
        <f t="shared" si="107"/>
        <v>447.73845435276593</v>
      </c>
      <c r="R127" s="59">
        <f t="shared" si="55"/>
        <v>730.60550613593932</v>
      </c>
      <c r="S127" s="59">
        <f ca="1">AVERAGE(OFFSET($R$3,0,0,'Données projet'!$E$9+1,1))-AVERAGE(OFFSET($H$3,0,0,'Données projet'!$E$9+1,1))</f>
        <v>567.42635821507474</v>
      </c>
      <c r="T127" s="59">
        <f t="shared" si="88"/>
        <v>299.04735309930152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217.54309914891127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217.54309914891127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404.00000000000017</v>
      </c>
      <c r="AJ127" s="13">
        <f>AI127*VLOOKUP('Données projet'!$B$10,Paramètres!$A$1:$I$89,3,0)*VLOOKUP('Données projet'!$B$10,Paramètres!$A$1:$I$89,5,0)</f>
        <v>346.63200000000018</v>
      </c>
      <c r="AK127" s="13">
        <f t="shared" si="89"/>
        <v>80.868615263336864</v>
      </c>
      <c r="AL127" s="20">
        <f t="shared" si="58"/>
        <v>744.56357158364528</v>
      </c>
      <c r="AM127" s="59">
        <f t="shared" si="59"/>
        <v>1027.4306233668185</v>
      </c>
      <c r="AN127" s="59">
        <f ca="1">AVERAGE(OFFSET($AM$3,0,0,'Données projet'!$E$10+1,1))-AVERAGE(OFFSET($H$3,0,0,'Données projet'!$E$10+1,1))</f>
        <v>481.23392184981651</v>
      </c>
      <c r="AO127" s="59">
        <f t="shared" si="90"/>
        <v>275.88160405468193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92.343046847553708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92.343046847553708</v>
      </c>
      <c r="AY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328.00000000000006</v>
      </c>
      <c r="BE127" s="13">
        <f>BD127*VLOOKUP('Données projet'!$B$11,Paramètres!$A$1:$I$89,3,0)*VLOOKUP('Données projet'!$B$11,Paramètres!$A$1:$I$89,5,0)</f>
        <v>255.84000000000006</v>
      </c>
      <c r="BF127" s="13">
        <f t="shared" si="91"/>
        <v>61.834803371075836</v>
      </c>
      <c r="BG127" s="20">
        <f t="shared" si="61"/>
        <v>553.28361587129041</v>
      </c>
      <c r="BH127" s="59">
        <f t="shared" si="62"/>
        <v>836.15066765446375</v>
      </c>
      <c r="BI127" s="59">
        <f ca="1">AVERAGE(OFFSET($BH$3,0,0,'Données projet'!$E$11+1,1))-AVERAGE(OFFSET($H$3,0,0,'Données projet'!$E$11+1,1))</f>
        <v>308.85018589589453</v>
      </c>
      <c r="BJ127" s="59">
        <f t="shared" si="92"/>
        <v>302.59481222418219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16.951679353136214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16.951679353136214</v>
      </c>
      <c r="BT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0.19750000000000512</v>
      </c>
      <c r="BY127" s="12">
        <f>IF('Données projet'!$A$114&gt;35,BY126+BX127-CG126,IF(A127&lt;'Données projet'!$A$114,$BV$205^A127,IF(A127='Données projet'!$A$114,'Données projet'!$B$114,BY126+BX127-CG126)))</f>
        <v>227.68750000000043</v>
      </c>
      <c r="BZ127" s="13">
        <f>BY127*VLOOKUP('Données projet'!$B$12,Paramètres!$A$1:$I$89,3,0)*VLOOKUP('Données projet'!$B$12,Paramètres!$A$1:$I$89,5,0)</f>
        <v>220.21935000000045</v>
      </c>
      <c r="CA127" s="13">
        <f t="shared" si="93"/>
        <v>54.162557593890185</v>
      </c>
      <c r="CB127" s="20">
        <f t="shared" si="64"/>
        <v>477.88182239269281</v>
      </c>
      <c r="CC127" s="59">
        <f t="shared" si="65"/>
        <v>760.74887417586615</v>
      </c>
      <c r="CD127" s="59">
        <f ca="1">AVERAGE(OFFSET($CC$3,0,0,'Données projet'!$E$12+1,1))-AVERAGE(OFFSET($H$3,0,0,'Données projet'!$E$12+1,1))</f>
        <v>600.96600099724276</v>
      </c>
      <c r="CE127" s="59">
        <f t="shared" si="94"/>
        <v>315.40159260706264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232.54607150400867</v>
      </c>
      <c r="CL127" s="21">
        <f>EXP(-LN(2)/25)*CL126+(1-EXP(-LN(2)/25))/(LN(2)/25)*Calculateur!CG127*Calculateur!CI127*VLOOKUP('Données projet'!$B$12,Paramètres!$A$1:$I$89,3,0)*0.475*44/12</f>
        <v>0</v>
      </c>
      <c r="CM127" s="21">
        <f>EXP(-LN(2)/2)*CM126+(1-EXP(-LN(2)/2))/(LN(2)/2)*CG127*CJ127*VLOOKUP('Données projet'!$B$12,Paramètres!$A$1:$I$89,3,0)*0.475*44/12</f>
        <v>0</v>
      </c>
      <c r="CN127" s="22">
        <f t="shared" si="66"/>
        <v>232.54607150400867</v>
      </c>
      <c r="CO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0.19750000000000512</v>
      </c>
      <c r="CT127" s="12">
        <f>IF('Données projet'!$A$140&gt;35,CT126+CS127-DB126,IF(A127&lt;'Données projet'!$A$140,$CQ$205^A127,IF(A127='Données projet'!$A$140,'Données projet'!$B$140,CT126+CS127-DB126)))</f>
        <v>227.68750000000043</v>
      </c>
      <c r="CU127" s="17">
        <f>CT127*VLOOKUP('Données projet'!$B$13,Paramètres!$A$1:$I$89,3,0)*VLOOKUP('Données projet'!$B$13,Paramètres!$A$1:$I$89,5,0)</f>
        <v>216.66742500000041</v>
      </c>
      <c r="CV127" s="13">
        <f t="shared" si="95"/>
        <v>53.389924809030042</v>
      </c>
      <c r="CW127" s="20">
        <f t="shared" si="67"/>
        <v>470.34988425072794</v>
      </c>
      <c r="CX127" s="59">
        <f t="shared" si="68"/>
        <v>753.21693603390122</v>
      </c>
      <c r="CY127" s="59">
        <f ca="1">AVERAGE(OFFSET($CX$3,0,0,'Données projet'!$E$13+1,1))-AVERAGE(OFFSET($H$3,0,0,'Données projet'!$E$13+1,1))</f>
        <v>592.58528889137358</v>
      </c>
      <c r="CZ127" s="59">
        <f t="shared" si="96"/>
        <v>311.31528020403709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228.79532841523431</v>
      </c>
      <c r="DG127" s="21">
        <f>EXP(-LN(2)/25)*DG126+(1-EXP(-LN(2)/25))/(LN(2)/25)*Calculateur!DB127*Calculateur!DD127*VLOOKUP('Données projet'!$B$13,Paramètres!$A$1:$I$89,3,0)*0.475*44/12</f>
        <v>0</v>
      </c>
      <c r="DH127" s="21">
        <f>EXP(-LN(2)/2)*DH126+(1-EXP(-LN(2)/2))/(LN(2)/2)*DB127*DE127*VLOOKUP('Données projet'!$B$13,Paramètres!$A$1:$I$89,3,0)*0.475*44/12</f>
        <v>0</v>
      </c>
      <c r="DI127" s="22">
        <f t="shared" si="69"/>
        <v>228.79532841523431</v>
      </c>
      <c r="DJ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2">
        <f>'Scénario référence'!$B$16*5+'Scénario référence'!$B$17*0+'Scénario référence'!$B$18*5</f>
        <v>5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66">
        <f t="shared" si="56"/>
        <v>183.33333333333334</v>
      </c>
      <c r="I128" s="6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0.19750000000000512</v>
      </c>
      <c r="N128" s="13">
        <f>IF('Données projet'!$A$36&gt;35,N127+M128-V127,IF(A128&lt;'Données projet'!$A$36,$K$205^A128,IF(A128='Données projet'!$A$36,'Données projet'!$B$36,N127+M128-V127)))</f>
        <v>227.88500000000045</v>
      </c>
      <c r="O128" s="13">
        <f>N128*VLOOKUP('Données projet'!$B$9,Paramètres!$A$1:$I$89,3,0)*VLOOKUP('Données projet'!$B$9,Paramètres!$A$1:$I$89,5,0)</f>
        <v>206.19034800000037</v>
      </c>
      <c r="P128" s="13">
        <f t="shared" si="87"/>
        <v>51.102195921911175</v>
      </c>
      <c r="Q128" s="20">
        <f t="shared" si="107"/>
        <v>448.11784733066253</v>
      </c>
      <c r="R128" s="59">
        <f t="shared" si="55"/>
        <v>731.16646569963109</v>
      </c>
      <c r="S128" s="59">
        <f ca="1">AVERAGE(OFFSET($R$3,0,0,'Données projet'!$E$9+1,1))-AVERAGE(OFFSET($H$3,0,0,'Données projet'!$E$9+1,1))</f>
        <v>567.42635821507474</v>
      </c>
      <c r="T128" s="59">
        <f t="shared" si="88"/>
        <v>299.04735309930152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213.27721166278974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213.27721166278974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404.00000000000017</v>
      </c>
      <c r="AJ128" s="13">
        <f>AI128*VLOOKUP('Données projet'!$B$10,Paramètres!$A$1:$I$89,3,0)*VLOOKUP('Données projet'!$B$10,Paramètres!$A$1:$I$89,5,0)</f>
        <v>346.63200000000018</v>
      </c>
      <c r="AK128" s="13">
        <f t="shared" si="89"/>
        <v>80.868615263336864</v>
      </c>
      <c r="AL128" s="20">
        <f t="shared" si="58"/>
        <v>744.56357158364528</v>
      </c>
      <c r="AM128" s="59">
        <f t="shared" si="59"/>
        <v>1027.6121899526138</v>
      </c>
      <c r="AN128" s="59">
        <f ca="1">AVERAGE(OFFSET($AM$3,0,0,'Données projet'!$E$10+1,1))-AVERAGE(OFFSET($H$3,0,0,'Données projet'!$E$10+1,1))</f>
        <v>481.23392184981651</v>
      </c>
      <c r="AO128" s="59">
        <f t="shared" si="90"/>
        <v>275.88160405468193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90.532256022570252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90.532256022570252</v>
      </c>
      <c r="AY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328.00000000000006</v>
      </c>
      <c r="BE128" s="13">
        <f>BD128*VLOOKUP('Données projet'!$B$11,Paramètres!$A$1:$I$89,3,0)*VLOOKUP('Données projet'!$B$11,Paramètres!$A$1:$I$89,5,0)</f>
        <v>255.84000000000006</v>
      </c>
      <c r="BF128" s="13">
        <f t="shared" si="91"/>
        <v>61.834803371075836</v>
      </c>
      <c r="BG128" s="20">
        <f t="shared" si="61"/>
        <v>553.28361587129041</v>
      </c>
      <c r="BH128" s="59">
        <f t="shared" si="62"/>
        <v>836.33223424025891</v>
      </c>
      <c r="BI128" s="59">
        <f ca="1">AVERAGE(OFFSET($BH$3,0,0,'Données projet'!$E$11+1,1))-AVERAGE(OFFSET($H$3,0,0,'Données projet'!$E$11+1,1))</f>
        <v>308.85018589589453</v>
      </c>
      <c r="BJ128" s="59">
        <f t="shared" si="92"/>
        <v>302.59481222418219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16.619267260524676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16.619267260524676</v>
      </c>
      <c r="BT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0.19750000000000512</v>
      </c>
      <c r="BY128" s="12">
        <f>IF('Données projet'!$A$114&gt;35,BY127+BX128-CG127,IF(A128&lt;'Données projet'!$A$114,$BV$205^A128,IF(A128='Données projet'!$A$114,'Données projet'!$B$114,BY127+BX128-CG127)))</f>
        <v>227.88500000000045</v>
      </c>
      <c r="BZ128" s="13">
        <f>BY128*VLOOKUP('Données projet'!$B$12,Paramètres!$A$1:$I$89,3,0)*VLOOKUP('Données projet'!$B$12,Paramètres!$A$1:$I$89,5,0)</f>
        <v>220.41037200000042</v>
      </c>
      <c r="CA128" s="13">
        <f t="shared" si="93"/>
        <v>54.204068371040925</v>
      </c>
      <c r="CB128" s="20">
        <f t="shared" si="64"/>
        <v>478.28681697956364</v>
      </c>
      <c r="CC128" s="59">
        <f t="shared" si="65"/>
        <v>761.3354353485322</v>
      </c>
      <c r="CD128" s="59">
        <f ca="1">AVERAGE(OFFSET($CC$3,0,0,'Données projet'!$E$12+1,1))-AVERAGE(OFFSET($H$3,0,0,'Données projet'!$E$12+1,1))</f>
        <v>600.96600099724276</v>
      </c>
      <c r="CE128" s="59">
        <f t="shared" si="94"/>
        <v>315.40159260706264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227.98598488091324</v>
      </c>
      <c r="CL128" s="21">
        <f>EXP(-LN(2)/25)*CL127+(1-EXP(-LN(2)/25))/(LN(2)/25)*Calculateur!CG128*Calculateur!CI128*VLOOKUP('Données projet'!$B$12,Paramètres!$A$1:$I$89,3,0)*0.475*44/12</f>
        <v>0</v>
      </c>
      <c r="CM128" s="21">
        <f>EXP(-LN(2)/2)*CM127+(1-EXP(-LN(2)/2))/(LN(2)/2)*CG128*CJ128*VLOOKUP('Données projet'!$B$12,Paramètres!$A$1:$I$89,3,0)*0.475*44/12</f>
        <v>0</v>
      </c>
      <c r="CN128" s="22">
        <f t="shared" si="66"/>
        <v>227.98598488091324</v>
      </c>
      <c r="CO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0.19750000000000512</v>
      </c>
      <c r="CT128" s="12">
        <f>IF('Données projet'!$A$140&gt;35,CT127+CS128-DB127,IF(A128&lt;'Données projet'!$A$140,$CQ$205^A128,IF(A128='Données projet'!$A$140,'Données projet'!$B$140,CT127+CS128-DB127)))</f>
        <v>227.88500000000045</v>
      </c>
      <c r="CU128" s="17">
        <f>CT128*VLOOKUP('Données projet'!$B$13,Paramètres!$A$1:$I$89,3,0)*VLOOKUP('Données projet'!$B$13,Paramètres!$A$1:$I$89,5,0)</f>
        <v>216.8553660000004</v>
      </c>
      <c r="CV128" s="13">
        <f t="shared" si="95"/>
        <v>53.430843431955175</v>
      </c>
      <c r="CW128" s="20">
        <f t="shared" si="67"/>
        <v>470.74848142732253</v>
      </c>
      <c r="CX128" s="59">
        <f t="shared" si="68"/>
        <v>753.79709979629104</v>
      </c>
      <c r="CY128" s="59">
        <f ca="1">AVERAGE(OFFSET($CX$3,0,0,'Données projet'!$E$13+1,1))-AVERAGE(OFFSET($H$3,0,0,'Données projet'!$E$13+1,1))</f>
        <v>592.58528889137358</v>
      </c>
      <c r="CZ128" s="59">
        <f t="shared" si="96"/>
        <v>311.31528020403709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224.30879157638233</v>
      </c>
      <c r="DG128" s="21">
        <f>EXP(-LN(2)/25)*DG127+(1-EXP(-LN(2)/25))/(LN(2)/25)*Calculateur!DB128*Calculateur!DD128*VLOOKUP('Données projet'!$B$13,Paramètres!$A$1:$I$89,3,0)*0.475*44/12</f>
        <v>0</v>
      </c>
      <c r="DH128" s="21">
        <f>EXP(-LN(2)/2)*DH127+(1-EXP(-LN(2)/2))/(LN(2)/2)*DB128*DE128*VLOOKUP('Données projet'!$B$13,Paramètres!$A$1:$I$89,3,0)*0.475*44/12</f>
        <v>0</v>
      </c>
      <c r="DI128" s="22">
        <f t="shared" si="69"/>
        <v>224.30879157638233</v>
      </c>
      <c r="DJ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2">
        <f>'Scénario référence'!$B$16*5+'Scénario référence'!$B$17*0+'Scénario référence'!$B$18*5</f>
        <v>5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66">
        <f t="shared" si="56"/>
        <v>183.33333333333334</v>
      </c>
      <c r="I129" s="6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0.19750000000000512</v>
      </c>
      <c r="N129" s="13">
        <f>IF('Données projet'!$A$36&gt;35,N128+M129-V128,IF(A129&lt;'Données projet'!$A$36,$K$205^A129,IF(A129='Données projet'!$A$36,'Données projet'!$B$36,N128+M129-V128)))</f>
        <v>228.08250000000044</v>
      </c>
      <c r="O129" s="13">
        <f>N129*VLOOKUP('Données projet'!$B$9,Paramètres!$A$1:$I$89,3,0)*VLOOKUP('Données projet'!$B$9,Paramètres!$A$1:$I$89,5,0)</f>
        <v>206.3690460000004</v>
      </c>
      <c r="P129" s="13">
        <f t="shared" si="87"/>
        <v>51.141327262893078</v>
      </c>
      <c r="Q129" s="20">
        <f t="shared" si="107"/>
        <v>448.49723343287286</v>
      </c>
      <c r="R129" s="59">
        <f t="shared" si="55"/>
        <v>731.72426861329507</v>
      </c>
      <c r="S129" s="59">
        <f ca="1">AVERAGE(OFFSET($R$3,0,0,'Données projet'!$E$9+1,1))-AVERAGE(OFFSET($H$3,0,0,'Données projet'!$E$9+1,1))</f>
        <v>567.42635821507474</v>
      </c>
      <c r="T129" s="59">
        <f t="shared" si="88"/>
        <v>299.04735309930152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209.09497562833658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209.09497562833658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404.00000000000017</v>
      </c>
      <c r="AJ129" s="13">
        <f>AI129*VLOOKUP('Données projet'!$B$10,Paramètres!$A$1:$I$89,3,0)*VLOOKUP('Données projet'!$B$10,Paramètres!$A$1:$I$89,5,0)</f>
        <v>346.63200000000018</v>
      </c>
      <c r="AK129" s="13">
        <f t="shared" si="89"/>
        <v>80.868615263336864</v>
      </c>
      <c r="AL129" s="20">
        <f t="shared" si="58"/>
        <v>744.56357158364528</v>
      </c>
      <c r="AM129" s="59">
        <f t="shared" si="59"/>
        <v>1027.7906067640674</v>
      </c>
      <c r="AN129" s="59">
        <f ca="1">AVERAGE(OFFSET($AM$3,0,0,'Données projet'!$E$10+1,1))-AVERAGE(OFFSET($H$3,0,0,'Données projet'!$E$10+1,1))</f>
        <v>481.23392184981651</v>
      </c>
      <c r="AO129" s="59">
        <f t="shared" si="90"/>
        <v>275.88160405468193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88.756973701191384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88.756973701191384</v>
      </c>
      <c r="AY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328.00000000000006</v>
      </c>
      <c r="BE129" s="13">
        <f>BD129*VLOOKUP('Données projet'!$B$11,Paramètres!$A$1:$I$89,3,0)*VLOOKUP('Données projet'!$B$11,Paramètres!$A$1:$I$89,5,0)</f>
        <v>255.84000000000006</v>
      </c>
      <c r="BF129" s="13">
        <f t="shared" si="91"/>
        <v>61.834803371075836</v>
      </c>
      <c r="BG129" s="20">
        <f t="shared" si="61"/>
        <v>553.28361587129041</v>
      </c>
      <c r="BH129" s="59">
        <f t="shared" si="62"/>
        <v>836.51065105171256</v>
      </c>
      <c r="BI129" s="59">
        <f ca="1">AVERAGE(OFFSET($BH$3,0,0,'Données projet'!$E$11+1,1))-AVERAGE(OFFSET($H$3,0,0,'Données projet'!$E$11+1,1))</f>
        <v>308.85018589589453</v>
      </c>
      <c r="BJ129" s="59">
        <f t="shared" si="92"/>
        <v>302.59481222418219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16.293373566297895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16.293373566297895</v>
      </c>
      <c r="BT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0.19750000000000512</v>
      </c>
      <c r="BY129" s="12">
        <f>IF('Données projet'!$A$114&gt;35,BY128+BX129-CG128,IF(A129&lt;'Données projet'!$A$114,$BV$205^A129,IF(A129='Données projet'!$A$114,'Données projet'!$B$114,BY128+BX129-CG128)))</f>
        <v>228.08250000000044</v>
      </c>
      <c r="BZ129" s="13">
        <f>BY129*VLOOKUP('Données projet'!$B$12,Paramètres!$A$1:$I$89,3,0)*VLOOKUP('Données projet'!$B$12,Paramètres!$A$1:$I$89,5,0)</f>
        <v>220.60139400000043</v>
      </c>
      <c r="CA129" s="13">
        <f t="shared" si="93"/>
        <v>54.245574960802195</v>
      </c>
      <c r="CB129" s="20">
        <f t="shared" si="64"/>
        <v>478.69180427339779</v>
      </c>
      <c r="CC129" s="59">
        <f t="shared" si="65"/>
        <v>761.91883945382006</v>
      </c>
      <c r="CD129" s="59">
        <f ca="1">AVERAGE(OFFSET($CC$3,0,0,'Données projet'!$E$12+1,1))-AVERAGE(OFFSET($H$3,0,0,'Données projet'!$E$12+1,1))</f>
        <v>600.96600099724276</v>
      </c>
      <c r="CE129" s="59">
        <f t="shared" si="94"/>
        <v>315.40159260706264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223.51531877511849</v>
      </c>
      <c r="CL129" s="21">
        <f>EXP(-LN(2)/25)*CL128+(1-EXP(-LN(2)/25))/(LN(2)/25)*Calculateur!CG129*Calculateur!CI129*VLOOKUP('Données projet'!$B$12,Paramètres!$A$1:$I$89,3,0)*0.475*44/12</f>
        <v>0</v>
      </c>
      <c r="CM129" s="21">
        <f>EXP(-LN(2)/2)*CM128+(1-EXP(-LN(2)/2))/(LN(2)/2)*CG129*CJ129*VLOOKUP('Données projet'!$B$12,Paramètres!$A$1:$I$89,3,0)*0.475*44/12</f>
        <v>0</v>
      </c>
      <c r="CN129" s="22">
        <f t="shared" si="66"/>
        <v>223.51531877511849</v>
      </c>
      <c r="CO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0.19750000000000512</v>
      </c>
      <c r="CT129" s="12">
        <f>IF('Données projet'!$A$140&gt;35,CT128+CS129-DB128,IF(A129&lt;'Données projet'!$A$140,$CQ$205^A129,IF(A129='Données projet'!$A$140,'Données projet'!$B$140,CT128+CS129-DB128)))</f>
        <v>228.08250000000044</v>
      </c>
      <c r="CU129" s="17">
        <f>CT129*VLOOKUP('Données projet'!$B$13,Paramètres!$A$1:$I$89,3,0)*VLOOKUP('Données projet'!$B$13,Paramètres!$A$1:$I$89,5,0)</f>
        <v>217.0433070000004</v>
      </c>
      <c r="CV129" s="13">
        <f t="shared" si="95"/>
        <v>53.471757927224203</v>
      </c>
      <c r="CW129" s="20">
        <f t="shared" si="67"/>
        <v>471.14707141491613</v>
      </c>
      <c r="CX129" s="59">
        <f t="shared" si="68"/>
        <v>754.37410659533839</v>
      </c>
      <c r="CY129" s="59">
        <f ca="1">AVERAGE(OFFSET($CX$3,0,0,'Données projet'!$E$13+1,1))-AVERAGE(OFFSET($H$3,0,0,'Données projet'!$E$13+1,1))</f>
        <v>592.58528889137358</v>
      </c>
      <c r="CZ129" s="59">
        <f t="shared" si="96"/>
        <v>311.31528020403709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219.91023298842299</v>
      </c>
      <c r="DG129" s="21">
        <f>EXP(-LN(2)/25)*DG128+(1-EXP(-LN(2)/25))/(LN(2)/25)*Calculateur!DB129*Calculateur!DD129*VLOOKUP('Données projet'!$B$13,Paramètres!$A$1:$I$89,3,0)*0.475*44/12</f>
        <v>0</v>
      </c>
      <c r="DH129" s="21">
        <f>EXP(-LN(2)/2)*DH128+(1-EXP(-LN(2)/2))/(LN(2)/2)*DB129*DE129*VLOOKUP('Données projet'!$B$13,Paramètres!$A$1:$I$89,3,0)*0.475*44/12</f>
        <v>0</v>
      </c>
      <c r="DI129" s="22">
        <f t="shared" si="69"/>
        <v>219.91023298842299</v>
      </c>
      <c r="DJ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2">
        <f>'Scénario référence'!$B$16*5+'Scénario référence'!$B$17*0+'Scénario référence'!$B$18*5</f>
        <v>5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66">
        <f t="shared" si="56"/>
        <v>183.33333333333334</v>
      </c>
      <c r="I130" s="6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>
        <f>VLOOKUP(A130,'Données projet'!$A$35:$I$55,2,0)</f>
        <v>228.28</v>
      </c>
      <c r="L130" s="12">
        <f>VLOOKUP(A130,'Données projet'!$A$35:$I$55,9,0)</f>
        <v>0.19750000000000512</v>
      </c>
      <c r="M130" s="12">
        <f t="array" ref="M130">INDEX(L:L,MIN(IF(ISNUMBER(L130:L326),ROW(L130:L326),"")))</f>
        <v>0.19750000000000512</v>
      </c>
      <c r="N130" s="13">
        <f>IF('Données projet'!$A$36&gt;35,N129+M130-V129,IF(A130&lt;'Données projet'!$A$36,$K$205^A130,IF(A130='Données projet'!$A$36,'Données projet'!$B$36,N129+M130-V129)))</f>
        <v>228.28000000000043</v>
      </c>
      <c r="O130" s="13">
        <f>N130*VLOOKUP('Données projet'!$B$9,Paramètres!$A$1:$I$89,3,0)*VLOOKUP('Données projet'!$B$9,Paramètres!$A$1:$I$89,5,0)</f>
        <v>206.54774400000036</v>
      </c>
      <c r="P130" s="13">
        <f t="shared" si="87"/>
        <v>51.180454659928444</v>
      </c>
      <c r="Q130" s="20">
        <f t="shared" si="107"/>
        <v>448.8766126660426</v>
      </c>
      <c r="R130" s="59">
        <f t="shared" si="55"/>
        <v>732.27896952512003</v>
      </c>
      <c r="S130" s="59">
        <f ca="1">AVERAGE(OFFSET($R$3,0,0,'Données projet'!$E$9+1,1))-AVERAGE(OFFSET($H$3,0,0,'Données projet'!$E$9+1,1))</f>
        <v>567.42635821507474</v>
      </c>
      <c r="T130" s="59">
        <f t="shared" si="88"/>
        <v>299.04735309930152</v>
      </c>
      <c r="U130" s="15">
        <f>IF(ISNA(VLOOKUP(A130,'Données projet'!$A$35:$I$55,3,0)),0,VLOOKUP(A130,'Données projet'!$A$35:$I$55,3,0))</f>
        <v>13</v>
      </c>
      <c r="V130" s="15">
        <f>IF(ISNA(VLOOKUP(A130,'Données projet'!$A$35:$I$55,4,0)),0,VLOOKUP(A130,'Données projet'!$A$35:$I$55,4,0))</f>
        <v>65.02</v>
      </c>
      <c r="W130" s="16">
        <f>IF(ISNA(VLOOKUP(A130,'Données projet'!$A$35:$I$55,5,0)),0%,VLOOKUP(A130,'Données projet'!$A$35:$I$55,5,0)*VLOOKUP('Données projet'!$B$9,Paramètres!$A$1:$I$89,7,0))</f>
        <v>0.43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232.95976996943133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232.95976996943133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404.00000000000017</v>
      </c>
      <c r="AJ130" s="13">
        <f>AI130*VLOOKUP('Données projet'!$B$10,Paramètres!$A$1:$I$89,3,0)*VLOOKUP('Données projet'!$B$10,Paramètres!$A$1:$I$89,5,0)</f>
        <v>346.63200000000018</v>
      </c>
      <c r="AK130" s="13">
        <f t="shared" si="89"/>
        <v>80.868615263336864</v>
      </c>
      <c r="AL130" s="20">
        <f t="shared" si="58"/>
        <v>744.56357158364528</v>
      </c>
      <c r="AM130" s="59">
        <f t="shared" si="59"/>
        <v>1027.9659284427228</v>
      </c>
      <c r="AN130" s="59">
        <f ca="1">AVERAGE(OFFSET($AM$3,0,0,'Données projet'!$E$10+1,1))-AVERAGE(OFFSET($H$3,0,0,'Données projet'!$E$10+1,1))</f>
        <v>481.23392184981651</v>
      </c>
      <c r="AO130" s="59">
        <f t="shared" si="90"/>
        <v>275.88160405468193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87.016503583319448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87.016503583319448</v>
      </c>
      <c r="AY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328.00000000000006</v>
      </c>
      <c r="BE130" s="13">
        <f>BD130*VLOOKUP('Données projet'!$B$11,Paramètres!$A$1:$I$89,3,0)*VLOOKUP('Données projet'!$B$11,Paramètres!$A$1:$I$89,5,0)</f>
        <v>255.84000000000006</v>
      </c>
      <c r="BF130" s="13">
        <f t="shared" si="91"/>
        <v>61.834803371075836</v>
      </c>
      <c r="BG130" s="20">
        <f t="shared" si="61"/>
        <v>553.28361587129041</v>
      </c>
      <c r="BH130" s="59">
        <f t="shared" si="62"/>
        <v>836.68597273036789</v>
      </c>
      <c r="BI130" s="59">
        <f ca="1">AVERAGE(OFFSET($BH$3,0,0,'Données projet'!$E$11+1,1))-AVERAGE(OFFSET($H$3,0,0,'Données projet'!$E$11+1,1))</f>
        <v>308.85018589589453</v>
      </c>
      <c r="BJ130" s="59">
        <f t="shared" si="92"/>
        <v>302.59481222418219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15.973870448639374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15.973870448639374</v>
      </c>
      <c r="BT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>
        <f>VLOOKUP(A130,'Données projet'!$A$113:$I$133,2,0)</f>
        <v>228.28</v>
      </c>
      <c r="BW130" s="12">
        <f>VLOOKUP(A130,'Données projet'!$A$113:$I$133,9,0)</f>
        <v>0.19750000000000512</v>
      </c>
      <c r="BX130" s="12">
        <f t="array" ref="BX130">INDEX(BW:BW,MIN(IF(ISNUMBER(BW130:BW326),ROW(BW130:BW326),"")))</f>
        <v>0.19750000000000512</v>
      </c>
      <c r="BY130" s="12">
        <f>IF('Données projet'!$A$114&gt;35,BY129+BX130-CG129,IF(A130&lt;'Données projet'!$A$114,$BV$205^A130,IF(A130='Données projet'!$A$114,'Données projet'!$B$114,BY129+BX130-CG129)))</f>
        <v>228.28000000000043</v>
      </c>
      <c r="BZ130" s="13">
        <f>BY130*VLOOKUP('Données projet'!$B$12,Paramètres!$A$1:$I$89,3,0)*VLOOKUP('Données projet'!$B$12,Paramètres!$A$1:$I$89,5,0)</f>
        <v>220.79241600000043</v>
      </c>
      <c r="CA130" s="13">
        <f t="shared" si="93"/>
        <v>54.287077367221812</v>
      </c>
      <c r="CB130" s="20">
        <f t="shared" si="64"/>
        <v>479.09678428124539</v>
      </c>
      <c r="CC130" s="59">
        <f t="shared" si="65"/>
        <v>762.49914114032276</v>
      </c>
      <c r="CD130" s="59">
        <f ca="1">AVERAGE(OFFSET($CC$3,0,0,'Données projet'!$E$12+1,1))-AVERAGE(OFFSET($H$3,0,0,'Données projet'!$E$12+1,1))</f>
        <v>600.96600099724276</v>
      </c>
      <c r="CE130" s="59">
        <f t="shared" si="94"/>
        <v>315.40159260706264</v>
      </c>
      <c r="CF130" s="15">
        <f>IF(ISNA(VLOOKUP(A130,'Données projet'!$A$113:$I$133,3,0)),0,VLOOKUP(A130,'Données projet'!$A$113:$I$133,3,0))</f>
        <v>13</v>
      </c>
      <c r="CG130" s="15">
        <f>IF(ISNA(VLOOKUP(A130,'Données projet'!$A$113:$I$133,4,0)),0,VLOOKUP(A130,'Données projet'!$A$113:$I$133,4,0))</f>
        <v>65.02</v>
      </c>
      <c r="CH130" s="16">
        <f>IF(ISNA(VLOOKUP(A130,'Données projet'!$A$113:$I$133,5,0)),0%,VLOOKUP(A130,'Données projet'!$A$113:$I$133,5,0)*VLOOKUP('Données projet'!$B$12,Paramètres!$A$1:$I$89,7,0))</f>
        <v>0.43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249.02596100180597</v>
      </c>
      <c r="CL130" s="21">
        <f>EXP(-LN(2)/25)*CL129+(1-EXP(-LN(2)/25))/(LN(2)/25)*Calculateur!CG130*Calculateur!CI130*VLOOKUP('Données projet'!$B$12,Paramètres!$A$1:$I$89,3,0)*0.475*44/12</f>
        <v>0</v>
      </c>
      <c r="CM130" s="21">
        <f>EXP(-LN(2)/2)*CM129+(1-EXP(-LN(2)/2))/(LN(2)/2)*CG130*CJ130*VLOOKUP('Données projet'!$B$12,Paramètres!$A$1:$I$89,3,0)*0.475*44/12</f>
        <v>0</v>
      </c>
      <c r="CN130" s="22">
        <f t="shared" si="66"/>
        <v>249.02596100180597</v>
      </c>
      <c r="CO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>
        <f>VLOOKUP(A130,'Données projet'!$A$139:$I$159,2,0)</f>
        <v>228.28</v>
      </c>
      <c r="CR130" s="12">
        <f>VLOOKUP(A130,'Données projet'!$A$139:$I$159,9,0)</f>
        <v>0.19750000000000512</v>
      </c>
      <c r="CS130" s="12">
        <f t="array" ref="CS130">INDEX(CR:CR,MIN(IF(ISNUMBER(CR130:CR326),ROW(CR130:CR326),"")))</f>
        <v>0.19750000000000512</v>
      </c>
      <c r="CT130" s="12">
        <f>IF('Données projet'!$A$140&gt;35,CT129+CS130-DB129,IF(A130&lt;'Données projet'!$A$140,$CQ$205^A130,IF(A130='Données projet'!$A$140,'Données projet'!$B$140,CT129+CS130-DB129)))</f>
        <v>228.28000000000043</v>
      </c>
      <c r="CU130" s="17">
        <f>CT130*VLOOKUP('Données projet'!$B$13,Paramètres!$A$1:$I$89,3,0)*VLOOKUP('Données projet'!$B$13,Paramètres!$A$1:$I$89,5,0)</f>
        <v>217.23124800000039</v>
      </c>
      <c r="CV130" s="13">
        <f t="shared" si="95"/>
        <v>53.512668298827201</v>
      </c>
      <c r="CW130" s="20">
        <f t="shared" si="67"/>
        <v>471.54565422045795</v>
      </c>
      <c r="CX130" s="59">
        <f t="shared" si="68"/>
        <v>754.94801107953538</v>
      </c>
      <c r="CY130" s="59">
        <f ca="1">AVERAGE(OFFSET($CX$3,0,0,'Données projet'!$E$13+1,1))-AVERAGE(OFFSET($H$3,0,0,'Données projet'!$E$13+1,1))</f>
        <v>592.58528889137358</v>
      </c>
      <c r="CZ130" s="59">
        <f t="shared" si="96"/>
        <v>311.31528020403709</v>
      </c>
      <c r="DA130" s="15">
        <f>IF(ISNA(VLOOKUP(A130,'Données projet'!$A$139:$I$159,3,0)),0,VLOOKUP(A130,'Données projet'!$A$139:$I$159,3,0))</f>
        <v>13</v>
      </c>
      <c r="DB130" s="15">
        <f>IF(ISNA(VLOOKUP(A130,'Données projet'!$A$139:$I$159,4,0)),0,VLOOKUP(A130,'Données projet'!$A$139:$I$159,4,0))</f>
        <v>65.02</v>
      </c>
      <c r="DC130" s="16">
        <f>IF(ISNA(VLOOKUP(A130,'Données projet'!$A$139:$I$159,5,0)),0%,VLOOKUP(A130,'Données projet'!$A$139:$I$159,5,0)*VLOOKUP('Données projet'!$B$13,Paramètres!$A$1:$I$89,7,0))</f>
        <v>0.43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245.00941324371229</v>
      </c>
      <c r="DG130" s="21">
        <f>EXP(-LN(2)/25)*DG129+(1-EXP(-LN(2)/25))/(LN(2)/25)*Calculateur!DB130*Calculateur!DD130*VLOOKUP('Données projet'!$B$13,Paramètres!$A$1:$I$89,3,0)*0.475*44/12</f>
        <v>0</v>
      </c>
      <c r="DH130" s="21">
        <f>EXP(-LN(2)/2)*DH129+(1-EXP(-LN(2)/2))/(LN(2)/2)*DB130*DE130*VLOOKUP('Données projet'!$B$13,Paramètres!$A$1:$I$89,3,0)*0.475*44/12</f>
        <v>0</v>
      </c>
      <c r="DI130" s="22">
        <f t="shared" si="69"/>
        <v>245.00941324371229</v>
      </c>
      <c r="DJ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2">
        <f>'Scénario référence'!$B$16*5+'Scénario référence'!$B$17*0+'Scénario référence'!$B$18*5</f>
        <v>5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66">
        <f t="shared" si="56"/>
        <v>183.33333333333334</v>
      </c>
      <c r="I131" s="6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9.7500000000003695E-2</v>
      </c>
      <c r="N131" s="13">
        <f>IF('Données projet'!$A$36&gt;35,N130+M131-V130,IF(A131&lt;'Données projet'!$A$36,$K$205^A131,IF(A131='Données projet'!$A$36,'Données projet'!$B$36,N130+M131-V130)))</f>
        <v>163.35750000000041</v>
      </c>
      <c r="O131" s="13">
        <f>N131*VLOOKUP('Données projet'!$B$9,Paramètres!$A$1:$I$89,3,0)*VLOOKUP('Données projet'!$B$9,Paramètres!$A$1:$I$89,5,0)</f>
        <v>147.80586600000038</v>
      </c>
      <c r="P131" s="13">
        <f t="shared" si="87"/>
        <v>38.079533976001102</v>
      </c>
      <c r="Q131" s="20">
        <f t="shared" ref="Q131:Q153" si="108">(O131+P131)*0.475*44/12</f>
        <v>323.75040495820258</v>
      </c>
      <c r="R131" s="59">
        <f t="shared" ref="R131:R194" si="109">Q131+(I131+J131)*44/12</f>
        <v>607.32504205677105</v>
      </c>
      <c r="S131" s="59">
        <f ca="1">AVERAGE(OFFSET($R$3,0,0,'Données projet'!$E$9+1,1))-AVERAGE(OFFSET($H$3,0,0,'Données projet'!$E$9+1,1))</f>
        <v>567.42635821507474</v>
      </c>
      <c r="T131" s="59">
        <f t="shared" si="88"/>
        <v>299.04735309930152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228.3915709717601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228.3915709717601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404.00000000000017</v>
      </c>
      <c r="AJ131" s="13">
        <f>AI131*VLOOKUP('Données projet'!$B$10,Paramètres!$A$1:$I$89,3,0)*VLOOKUP('Données projet'!$B$10,Paramètres!$A$1:$I$89,5,0)</f>
        <v>346.63200000000018</v>
      </c>
      <c r="AK131" s="13">
        <f t="shared" si="89"/>
        <v>80.868615263336864</v>
      </c>
      <c r="AL131" s="20">
        <f t="shared" si="58"/>
        <v>744.56357158364528</v>
      </c>
      <c r="AM131" s="59">
        <f t="shared" si="59"/>
        <v>1028.1382086822139</v>
      </c>
      <c r="AN131" s="59">
        <f ca="1">AVERAGE(OFFSET($AM$3,0,0,'Données projet'!$E$10+1,1))-AVERAGE(OFFSET($H$3,0,0,'Données projet'!$E$10+1,1))</f>
        <v>481.23392184981651</v>
      </c>
      <c r="AO131" s="59">
        <f t="shared" si="90"/>
        <v>275.88160405468193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85.310163022877035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85.310163022877035</v>
      </c>
      <c r="AY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328.00000000000006</v>
      </c>
      <c r="BE131" s="13">
        <f>BD131*VLOOKUP('Données projet'!$B$11,Paramètres!$A$1:$I$89,3,0)*VLOOKUP('Données projet'!$B$11,Paramètres!$A$1:$I$89,5,0)</f>
        <v>255.84000000000006</v>
      </c>
      <c r="BF131" s="13">
        <f t="shared" si="91"/>
        <v>61.834803371075836</v>
      </c>
      <c r="BG131" s="20">
        <f t="shared" si="61"/>
        <v>553.28361587129041</v>
      </c>
      <c r="BH131" s="59">
        <f t="shared" si="62"/>
        <v>836.858252969859</v>
      </c>
      <c r="BI131" s="59">
        <f ca="1">AVERAGE(OFFSET($BH$3,0,0,'Données projet'!$E$11+1,1))-AVERAGE(OFFSET($H$3,0,0,'Données projet'!$E$11+1,1))</f>
        <v>308.85018589589453</v>
      </c>
      <c r="BJ131" s="59">
        <f t="shared" si="92"/>
        <v>302.59481222418219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15.660632592240479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15.660632592240479</v>
      </c>
      <c r="BT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9.7500000000003695E-2</v>
      </c>
      <c r="BY131" s="12">
        <f>IF('Données projet'!$A$114&gt;35,BY130+BX131-CG130,IF(A131&lt;'Données projet'!$A$114,$BV$205^A131,IF(A131='Données projet'!$A$114,'Données projet'!$B$114,BY130+BX131-CG130)))</f>
        <v>163.35750000000041</v>
      </c>
      <c r="BZ131" s="13">
        <f>BY131*VLOOKUP('Données projet'!$B$12,Paramètres!$A$1:$I$89,3,0)*VLOOKUP('Données projet'!$B$12,Paramètres!$A$1:$I$89,5,0)</f>
        <v>157.99937400000042</v>
      </c>
      <c r="CA131" s="13">
        <f t="shared" si="93"/>
        <v>40.390938704994603</v>
      </c>
      <c r="CB131" s="20">
        <f t="shared" si="64"/>
        <v>345.52979462786629</v>
      </c>
      <c r="CC131" s="59">
        <f t="shared" si="65"/>
        <v>629.10443172643477</v>
      </c>
      <c r="CD131" s="59">
        <f ca="1">AVERAGE(OFFSET($CC$3,0,0,'Données projet'!$E$12+1,1))-AVERAGE(OFFSET($H$3,0,0,'Données projet'!$E$12+1,1))</f>
        <v>600.96600099724276</v>
      </c>
      <c r="CE131" s="59">
        <f t="shared" si="94"/>
        <v>315.40159260706264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244.14271379739878</v>
      </c>
      <c r="CL131" s="21">
        <f>EXP(-LN(2)/25)*CL130+(1-EXP(-LN(2)/25))/(LN(2)/25)*Calculateur!CG131*Calculateur!CI131*VLOOKUP('Données projet'!$B$12,Paramètres!$A$1:$I$89,3,0)*0.475*44/12</f>
        <v>0</v>
      </c>
      <c r="CM131" s="21">
        <f>EXP(-LN(2)/2)*CM130+(1-EXP(-LN(2)/2))/(LN(2)/2)*CG131*CJ131*VLOOKUP('Données projet'!$B$12,Paramètres!$A$1:$I$89,3,0)*0.475*44/12</f>
        <v>0</v>
      </c>
      <c r="CN131" s="22">
        <f t="shared" si="66"/>
        <v>244.14271379739878</v>
      </c>
      <c r="CO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9.7500000000003695E-2</v>
      </c>
      <c r="CT131" s="12">
        <f>IF('Données projet'!$A$140&gt;35,CT130+CS131-DB130,IF(A131&lt;'Données projet'!$A$140,$CQ$205^A131,IF(A131='Données projet'!$A$140,'Données projet'!$B$140,CT130+CS131-DB130)))</f>
        <v>163.35750000000041</v>
      </c>
      <c r="CU131" s="17">
        <f>CT131*VLOOKUP('Données projet'!$B$13,Paramètres!$A$1:$I$89,3,0)*VLOOKUP('Données projet'!$B$13,Paramètres!$A$1:$I$89,5,0)</f>
        <v>155.4509970000004</v>
      </c>
      <c r="CV131" s="13">
        <f t="shared" si="95"/>
        <v>39.81475905541555</v>
      </c>
      <c r="CW131" s="20">
        <f t="shared" si="67"/>
        <v>340.08785846318278</v>
      </c>
      <c r="CX131" s="59">
        <f t="shared" si="68"/>
        <v>623.66249556175126</v>
      </c>
      <c r="CY131" s="59">
        <f ca="1">AVERAGE(OFFSET($CX$3,0,0,'Données projet'!$E$13+1,1))-AVERAGE(OFFSET($H$3,0,0,'Données projet'!$E$13+1,1))</f>
        <v>592.58528889137358</v>
      </c>
      <c r="CZ131" s="59">
        <f t="shared" si="96"/>
        <v>311.31528020403709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240.20492809098909</v>
      </c>
      <c r="DG131" s="21">
        <f>EXP(-LN(2)/25)*DG130+(1-EXP(-LN(2)/25))/(LN(2)/25)*Calculateur!DB131*Calculateur!DD131*VLOOKUP('Données projet'!$B$13,Paramètres!$A$1:$I$89,3,0)*0.475*44/12</f>
        <v>0</v>
      </c>
      <c r="DH131" s="21">
        <f>EXP(-LN(2)/2)*DH130+(1-EXP(-LN(2)/2))/(LN(2)/2)*DB131*DE131*VLOOKUP('Données projet'!$B$13,Paramètres!$A$1:$I$89,3,0)*0.475*44/12</f>
        <v>0</v>
      </c>
      <c r="DI131" s="22">
        <f t="shared" si="69"/>
        <v>240.20492809098909</v>
      </c>
      <c r="DJ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2">
        <f>'Scénario référence'!$B$16*5+'Scénario référence'!$B$17*0+'Scénario référence'!$B$18*5</f>
        <v>5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66">
        <f t="shared" ref="H132:H195" si="110">(B132+E132+F132)*44/12+(C132+D132)*0.475*44/12</f>
        <v>183.33333333333334</v>
      </c>
      <c r="I132" s="6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9.7500000000003695E-2</v>
      </c>
      <c r="N132" s="13">
        <f>IF('Données projet'!$A$36&gt;35,N131+M132-V131,IF(A132&lt;'Données projet'!$A$36,$K$205^A132,IF(A132='Données projet'!$A$36,'Données projet'!$B$36,N131+M132-V131)))</f>
        <v>163.45500000000041</v>
      </c>
      <c r="O132" s="13">
        <f>N132*VLOOKUP('Données projet'!$B$9,Paramètres!$A$1:$I$89,3,0)*VLOOKUP('Données projet'!$B$9,Paramètres!$A$1:$I$89,5,0)</f>
        <v>147.89408400000036</v>
      </c>
      <c r="P132" s="13">
        <f t="shared" si="87"/>
        <v>38.099615551686391</v>
      </c>
      <c r="Q132" s="20">
        <f t="shared" si="108"/>
        <v>323.93902671918772</v>
      </c>
      <c r="R132" s="59">
        <f t="shared" si="109"/>
        <v>607.68295538025313</v>
      </c>
      <c r="S132" s="59">
        <f ca="1">AVERAGE(OFFSET($R$3,0,0,'Données projet'!$E$9+1,1))-AVERAGE(OFFSET($H$3,0,0,'Données projet'!$E$9+1,1))</f>
        <v>567.42635821507474</v>
      </c>
      <c r="T132" s="59">
        <f t="shared" si="88"/>
        <v>299.04735309930152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223.91295157010694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223.91295157010694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404.00000000000017</v>
      </c>
      <c r="AJ132" s="13">
        <f>AI132*VLOOKUP('Données projet'!$B$10,Paramètres!$A$1:$I$89,3,0)*VLOOKUP('Données projet'!$B$10,Paramètres!$A$1:$I$89,5,0)</f>
        <v>346.63200000000018</v>
      </c>
      <c r="AK132" s="13">
        <f t="shared" si="89"/>
        <v>80.868615263336864</v>
      </c>
      <c r="AL132" s="20">
        <f t="shared" ref="AL132:AL153" si="112">(AJ132+AK132)*0.475*44/12</f>
        <v>744.56357158364528</v>
      </c>
      <c r="AM132" s="59">
        <f t="shared" ref="AM132:AM195" si="113">AL132+(AD132+AE132)*44/12</f>
        <v>1028.3075002447106</v>
      </c>
      <c r="AN132" s="59">
        <f ca="1">AVERAGE(OFFSET($AM$3,0,0,'Données projet'!$E$10+1,1))-AVERAGE(OFFSET($H$3,0,0,'Données projet'!$E$10+1,1))</f>
        <v>481.23392184981651</v>
      </c>
      <c r="AO132" s="59">
        <f t="shared" si="90"/>
        <v>275.88160405468193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83.637282760059918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83.637282760059918</v>
      </c>
      <c r="AY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328.00000000000006</v>
      </c>
      <c r="BE132" s="13">
        <f>BD132*VLOOKUP('Données projet'!$B$11,Paramètres!$A$1:$I$89,3,0)*VLOOKUP('Données projet'!$B$11,Paramètres!$A$1:$I$89,5,0)</f>
        <v>255.84000000000006</v>
      </c>
      <c r="BF132" s="13">
        <f t="shared" si="91"/>
        <v>61.834803371075836</v>
      </c>
      <c r="BG132" s="20">
        <f t="shared" ref="BG132:BG153" si="115">(BE132+BF132)*0.475*44/12</f>
        <v>553.28361587129041</v>
      </c>
      <c r="BH132" s="59">
        <f t="shared" ref="BH132:BH195" si="116">BG132+(AY132+AZ132)*44/12</f>
        <v>837.02754453235571</v>
      </c>
      <c r="BI132" s="59">
        <f ca="1">AVERAGE(OFFSET($BH$3,0,0,'Données projet'!$E$11+1,1))-AVERAGE(OFFSET($H$3,0,0,'Données projet'!$E$11+1,1))</f>
        <v>308.85018589589453</v>
      </c>
      <c r="BJ132" s="59">
        <f t="shared" si="92"/>
        <v>302.59481222418219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15.353537139149338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15.353537139149338</v>
      </c>
      <c r="BT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9.7500000000003695E-2</v>
      </c>
      <c r="BY132" s="12">
        <f>IF('Données projet'!$A$114&gt;35,BY131+BX132-CG131,IF(A132&lt;'Données projet'!$A$114,$BV$205^A132,IF(A132='Données projet'!$A$114,'Données projet'!$B$114,BY131+BX132-CG131)))</f>
        <v>163.45500000000041</v>
      </c>
      <c r="BZ132" s="13">
        <f>BY132*VLOOKUP('Données projet'!$B$12,Paramètres!$A$1:$I$89,3,0)*VLOOKUP('Données projet'!$B$12,Paramètres!$A$1:$I$89,5,0)</f>
        <v>158.09367600000041</v>
      </c>
      <c r="CA132" s="13">
        <f t="shared" si="93"/>
        <v>40.412239220203517</v>
      </c>
      <c r="CB132" s="20">
        <f t="shared" ref="CB132:CB153" si="118">(BZ132+CA132)*0.475*44/12</f>
        <v>345.73113567518845</v>
      </c>
      <c r="CC132" s="59">
        <f t="shared" ref="CC132:CC195" si="119">CB132+(BT132+BU132)*44/12</f>
        <v>629.47506433625381</v>
      </c>
      <c r="CD132" s="59">
        <f ca="1">AVERAGE(OFFSET($CC$3,0,0,'Données projet'!$E$12+1,1))-AVERAGE(OFFSET($H$3,0,0,'Données projet'!$E$12+1,1))</f>
        <v>600.96600099724276</v>
      </c>
      <c r="CE132" s="59">
        <f t="shared" si="94"/>
        <v>315.40159260706264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239.35522409218333</v>
      </c>
      <c r="CL132" s="21">
        <f>EXP(-LN(2)/25)*CL131+(1-EXP(-LN(2)/25))/(LN(2)/25)*Calculateur!CG132*Calculateur!CI132*VLOOKUP('Données projet'!$B$12,Paramètres!$A$1:$I$89,3,0)*0.475*44/12</f>
        <v>0</v>
      </c>
      <c r="CM132" s="21">
        <f>EXP(-LN(2)/2)*CM131+(1-EXP(-LN(2)/2))/(LN(2)/2)*CG132*CJ132*VLOOKUP('Données projet'!$B$12,Paramètres!$A$1:$I$89,3,0)*0.475*44/12</f>
        <v>0</v>
      </c>
      <c r="CN132" s="22">
        <f t="shared" ref="CN132:CN153" si="120">SUM(CK132:CM132)</f>
        <v>239.35522409218333</v>
      </c>
      <c r="CO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9.7500000000003695E-2</v>
      </c>
      <c r="CT132" s="12">
        <f>IF('Données projet'!$A$140&gt;35,CT131+CS132-DB131,IF(A132&lt;'Données projet'!$A$140,$CQ$205^A132,IF(A132='Données projet'!$A$140,'Données projet'!$B$140,CT131+CS132-DB131)))</f>
        <v>163.45500000000041</v>
      </c>
      <c r="CU132" s="17">
        <f>CT132*VLOOKUP('Données projet'!$B$13,Paramètres!$A$1:$I$89,3,0)*VLOOKUP('Données projet'!$B$13,Paramètres!$A$1:$I$89,5,0)</f>
        <v>155.5437780000004</v>
      </c>
      <c r="CV132" s="13">
        <f t="shared" si="95"/>
        <v>39.83575571724095</v>
      </c>
      <c r="CW132" s="20">
        <f t="shared" ref="CW132:CW153" si="121">(CU132+CV132)*0.475*44/12</f>
        <v>340.28602122419534</v>
      </c>
      <c r="CX132" s="59">
        <f t="shared" ref="CX132:CX195" si="122">CW132+(CO132+CP132)*44/12</f>
        <v>624.02994988526075</v>
      </c>
      <c r="CY132" s="59">
        <f ca="1">AVERAGE(OFFSET($CX$3,0,0,'Données projet'!$E$13+1,1))-AVERAGE(OFFSET($H$3,0,0,'Données projet'!$E$13+1,1))</f>
        <v>592.58528889137358</v>
      </c>
      <c r="CZ132" s="59">
        <f t="shared" si="96"/>
        <v>311.31528020403709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235.49465596166422</v>
      </c>
      <c r="DG132" s="21">
        <f>EXP(-LN(2)/25)*DG131+(1-EXP(-LN(2)/25))/(LN(2)/25)*Calculateur!DB132*Calculateur!DD132*VLOOKUP('Données projet'!$B$13,Paramètres!$A$1:$I$89,3,0)*0.475*44/12</f>
        <v>0</v>
      </c>
      <c r="DH132" s="21">
        <f>EXP(-LN(2)/2)*DH131+(1-EXP(-LN(2)/2))/(LN(2)/2)*DB132*DE132*VLOOKUP('Données projet'!$B$13,Paramètres!$A$1:$I$89,3,0)*0.475*44/12</f>
        <v>0</v>
      </c>
      <c r="DI132" s="22">
        <f t="shared" ref="DI132:DI153" si="123">SUM(DF132:DH132)</f>
        <v>235.49465596166422</v>
      </c>
      <c r="DJ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2">
        <f>'Scénario référence'!$B$16*5+'Scénario référence'!$B$17*0+'Scénario référence'!$B$18*5</f>
        <v>5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66">
        <f t="shared" si="110"/>
        <v>183.33333333333334</v>
      </c>
      <c r="I133" s="6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9.7500000000003695E-2</v>
      </c>
      <c r="N133" s="13">
        <f>IF('Données projet'!$A$36&gt;35,N132+M133-V132,IF(A133&lt;'Données projet'!$A$36,$K$205^A133,IF(A133='Données projet'!$A$36,'Données projet'!$B$36,N132+M133-V132)))</f>
        <v>163.55250000000041</v>
      </c>
      <c r="O133" s="13">
        <f>N133*VLOOKUP('Données projet'!$B$9,Paramètres!$A$1:$I$89,3,0)*VLOOKUP('Données projet'!$B$9,Paramètres!$A$1:$I$89,5,0)</f>
        <v>147.98230200000037</v>
      </c>
      <c r="P133" s="13">
        <f t="shared" ref="P133:P196" si="141">EXP(-1.0587+0.8836*LN(O133)+0.284)</f>
        <v>38.119695733116984</v>
      </c>
      <c r="Q133" s="20">
        <f t="shared" si="108"/>
        <v>324.127646051846</v>
      </c>
      <c r="R133" s="59">
        <f t="shared" si="109"/>
        <v>608.03792944527811</v>
      </c>
      <c r="S133" s="59">
        <f ca="1">AVERAGE(OFFSET($R$3,0,0,'Données projet'!$E$9+1,1))-AVERAGE(OFFSET($H$3,0,0,'Données projet'!$E$9+1,1))</f>
        <v>567.42635821507474</v>
      </c>
      <c r="T133" s="59">
        <f t="shared" ref="T133:T196" si="142">$T$3</f>
        <v>299.04735309930152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219.5221551632321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219.5221551632321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404.00000000000017</v>
      </c>
      <c r="AJ133" s="13">
        <f>AI133*VLOOKUP('Données projet'!$B$10,Paramètres!$A$1:$I$89,3,0)*VLOOKUP('Données projet'!$B$10,Paramètres!$A$1:$I$89,5,0)</f>
        <v>346.63200000000018</v>
      </c>
      <c r="AK133" s="13">
        <f t="shared" ref="AK133:AK153" si="143">EXP(-1.0587+0.8836*LN(AJ133)+0.284)</f>
        <v>80.868615263336864</v>
      </c>
      <c r="AL133" s="20">
        <f t="shared" si="112"/>
        <v>744.56357158364528</v>
      </c>
      <c r="AM133" s="59">
        <f t="shared" si="113"/>
        <v>1028.4738549770773</v>
      </c>
      <c r="AN133" s="59">
        <f ca="1">AVERAGE(OFFSET($AM$3,0,0,'Données projet'!$E$10+1,1))-AVERAGE(OFFSET($H$3,0,0,'Données projet'!$E$10+1,1))</f>
        <v>481.23392184981651</v>
      </c>
      <c r="AO133" s="59">
        <f t="shared" ref="AO133:AO196" si="144">$AO$3</f>
        <v>275.88160405468193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81.99720665884044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81.99720665884044</v>
      </c>
      <c r="AY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328.00000000000006</v>
      </c>
      <c r="BE133" s="13">
        <f>BD133*VLOOKUP('Données projet'!$B$11,Paramètres!$A$1:$I$89,3,0)*VLOOKUP('Données projet'!$B$11,Paramètres!$A$1:$I$89,5,0)</f>
        <v>255.84000000000006</v>
      </c>
      <c r="BF133" s="13">
        <f t="shared" ref="BF133:BF153" si="145">EXP(-1.0587+0.8836*LN(BE133)+0.284)</f>
        <v>61.834803371075836</v>
      </c>
      <c r="BG133" s="20">
        <f t="shared" si="115"/>
        <v>553.28361587129041</v>
      </c>
      <c r="BH133" s="59">
        <f t="shared" si="116"/>
        <v>837.19389926472252</v>
      </c>
      <c r="BI133" s="59">
        <f ca="1">AVERAGE(OFFSET($BH$3,0,0,'Données projet'!$E$11+1,1))-AVERAGE(OFFSET($H$3,0,0,'Données projet'!$E$11+1,1))</f>
        <v>308.85018589589453</v>
      </c>
      <c r="BJ133" s="59">
        <f t="shared" ref="BJ133:BJ196" si="146">$BJ$3</f>
        <v>302.59481222418219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15.052463640583584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15.052463640583584</v>
      </c>
      <c r="BT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9.7500000000003695E-2</v>
      </c>
      <c r="BY133" s="12">
        <f>IF('Données projet'!$A$114&gt;35,BY132+BX133-CG132,IF(A133&lt;'Données projet'!$A$114,$BV$205^A133,IF(A133='Données projet'!$A$114,'Données projet'!$B$114,BY132+BX133-CG132)))</f>
        <v>163.55250000000041</v>
      </c>
      <c r="BZ133" s="13">
        <f>BY133*VLOOKUP('Données projet'!$B$12,Paramètres!$A$1:$I$89,3,0)*VLOOKUP('Données projet'!$B$12,Paramètres!$A$1:$I$89,5,0)</f>
        <v>158.18797800000038</v>
      </c>
      <c r="CA133" s="13">
        <f t="shared" ref="CA133:CA153" si="147">EXP(-1.0587+0.8836*LN(BZ133)+0.284)</f>
        <v>40.433538256527285</v>
      </c>
      <c r="CB133" s="20">
        <f t="shared" si="118"/>
        <v>345.93247414678564</v>
      </c>
      <c r="CC133" s="59">
        <f t="shared" si="119"/>
        <v>629.84275754021769</v>
      </c>
      <c r="CD133" s="59">
        <f ca="1">AVERAGE(OFFSET($CC$3,0,0,'Données projet'!$E$12+1,1))-AVERAGE(OFFSET($H$3,0,0,'Données projet'!$E$12+1,1))</f>
        <v>600.96600099724276</v>
      </c>
      <c r="CE133" s="59">
        <f t="shared" ref="CE133:CE196" si="148">$CE$3</f>
        <v>315.40159260706264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234.66161414000678</v>
      </c>
      <c r="CL133" s="21">
        <f>EXP(-LN(2)/25)*CL132+(1-EXP(-LN(2)/25))/(LN(2)/25)*Calculateur!CG133*Calculateur!CI133*VLOOKUP('Données projet'!$B$12,Paramètres!$A$1:$I$89,3,0)*0.475*44/12</f>
        <v>0</v>
      </c>
      <c r="CM133" s="21">
        <f>EXP(-LN(2)/2)*CM132+(1-EXP(-LN(2)/2))/(LN(2)/2)*CG133*CJ133*VLOOKUP('Données projet'!$B$12,Paramètres!$A$1:$I$89,3,0)*0.475*44/12</f>
        <v>0</v>
      </c>
      <c r="CN133" s="22">
        <f t="shared" si="120"/>
        <v>234.66161414000678</v>
      </c>
      <c r="CO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9.7500000000003695E-2</v>
      </c>
      <c r="CT133" s="12">
        <f>IF('Données projet'!$A$140&gt;35,CT132+CS133-DB132,IF(A133&lt;'Données projet'!$A$140,$CQ$205^A133,IF(A133='Données projet'!$A$140,'Données projet'!$B$140,CT132+CS133-DB132)))</f>
        <v>163.55250000000041</v>
      </c>
      <c r="CU133" s="17">
        <f>CT133*VLOOKUP('Données projet'!$B$13,Paramètres!$A$1:$I$89,3,0)*VLOOKUP('Données projet'!$B$13,Paramètres!$A$1:$I$89,5,0)</f>
        <v>155.63655900000037</v>
      </c>
      <c r="CV133" s="13">
        <f t="shared" ref="CV133:CV153" si="149">EXP(-1.0587+0.8836*LN(CU133)+0.284)</f>
        <v>39.856750921277595</v>
      </c>
      <c r="CW133" s="20">
        <f t="shared" si="121"/>
        <v>340.48418144622576</v>
      </c>
      <c r="CX133" s="59">
        <f t="shared" si="122"/>
        <v>624.39446483965787</v>
      </c>
      <c r="CY133" s="59">
        <f ca="1">AVERAGE(OFFSET($CX$3,0,0,'Données projet'!$E$13+1,1))-AVERAGE(OFFSET($H$3,0,0,'Données projet'!$E$13+1,1))</f>
        <v>592.58528889137358</v>
      </c>
      <c r="CZ133" s="59">
        <f t="shared" ref="CZ133:CZ196" si="150">$CZ$3</f>
        <v>311.31528020403709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230.87674939581308</v>
      </c>
      <c r="DG133" s="21">
        <f>EXP(-LN(2)/25)*DG132+(1-EXP(-LN(2)/25))/(LN(2)/25)*Calculateur!DB133*Calculateur!DD133*VLOOKUP('Données projet'!$B$13,Paramètres!$A$1:$I$89,3,0)*0.475*44/12</f>
        <v>0</v>
      </c>
      <c r="DH133" s="21">
        <f>EXP(-LN(2)/2)*DH132+(1-EXP(-LN(2)/2))/(LN(2)/2)*DB133*DE133*VLOOKUP('Données projet'!$B$13,Paramètres!$A$1:$I$89,3,0)*0.475*44/12</f>
        <v>0</v>
      </c>
      <c r="DI133" s="22">
        <f t="shared" si="123"/>
        <v>230.87674939581308</v>
      </c>
      <c r="DJ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2">
        <f>'Scénario référence'!$B$16*5+'Scénario référence'!$B$17*0+'Scénario référence'!$B$18*5</f>
        <v>5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66">
        <f t="shared" si="110"/>
        <v>183.33333333333334</v>
      </c>
      <c r="I134" s="6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>
        <f>VLOOKUP(A134,'Données projet'!$A$35:$I$55,2,0)</f>
        <v>163.65</v>
      </c>
      <c r="L134" s="12">
        <f>VLOOKUP(A134,'Données projet'!$A$35:$I$55,9,0)</f>
        <v>9.7500000000003695E-2</v>
      </c>
      <c r="M134" s="12">
        <f t="array" ref="M134">INDEX(L:L,MIN(IF(ISNUMBER(L134:L330),ROW(L134:L330),"")))</f>
        <v>9.7500000000003695E-2</v>
      </c>
      <c r="N134" s="13">
        <f>IF('Données projet'!$A$36&gt;35,N133+M134-V133,IF(A134&lt;'Données projet'!$A$36,$K$205^A134,IF(A134='Données projet'!$A$36,'Données projet'!$B$36,N133+M134-V133)))</f>
        <v>163.6500000000004</v>
      </c>
      <c r="O134" s="13">
        <f>N134*VLOOKUP('Données projet'!$B$9,Paramètres!$A$1:$I$89,3,0)*VLOOKUP('Données projet'!$B$9,Paramètres!$A$1:$I$89,5,0)</f>
        <v>148.07052000000036</v>
      </c>
      <c r="P134" s="13">
        <f t="shared" si="141"/>
        <v>38.139774521220701</v>
      </c>
      <c r="Q134" s="20">
        <f t="shared" si="108"/>
        <v>324.3162629577933</v>
      </c>
      <c r="R134" s="59">
        <f t="shared" si="109"/>
        <v>608.39001520089903</v>
      </c>
      <c r="S134" s="59">
        <f ca="1">AVERAGE(OFFSET($R$3,0,0,'Données projet'!$E$9+1,1))-AVERAGE(OFFSET($H$3,0,0,'Données projet'!$E$9+1,1))</f>
        <v>567.42635821507474</v>
      </c>
      <c r="T134" s="59">
        <f t="shared" si="142"/>
        <v>299.04735309930152</v>
      </c>
      <c r="U134" s="15">
        <f>IF(ISNA(VLOOKUP(A134,'Données projet'!$A$35:$I$55,3,0)),0,VLOOKUP(A134,'Données projet'!$A$35:$I$55,3,0))</f>
        <v>14</v>
      </c>
      <c r="V134" s="15">
        <f>IF(ISNA(VLOOKUP(A134,'Données projet'!$A$35:$I$55,4,0)),0,VLOOKUP(A134,'Données projet'!$A$35:$I$55,4,0))</f>
        <v>143.84</v>
      </c>
      <c r="W134" s="16">
        <f>IF(ISNA(VLOOKUP(A134,'Données projet'!$A$35:$I$55,5,0)),0%,VLOOKUP(A134,'Données projet'!$A$35:$I$55,5,0)*VLOOKUP('Données projet'!$B$9,Paramètres!$A$1:$I$89,7,0))</f>
        <v>0.43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277.08286059427138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277.08286059427138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404.00000000000017</v>
      </c>
      <c r="AJ134" s="13">
        <f>AI134*VLOOKUP('Données projet'!$B$10,Paramètres!$A$1:$I$89,3,0)*VLOOKUP('Données projet'!$B$10,Paramètres!$A$1:$I$89,5,0)</f>
        <v>346.63200000000018</v>
      </c>
      <c r="AK134" s="13">
        <f t="shared" si="143"/>
        <v>80.868615263336864</v>
      </c>
      <c r="AL134" s="20">
        <f t="shared" si="112"/>
        <v>744.56357158364528</v>
      </c>
      <c r="AM134" s="59">
        <f t="shared" si="113"/>
        <v>1028.6373238267511</v>
      </c>
      <c r="AN134" s="59">
        <f ca="1">AVERAGE(OFFSET($AM$3,0,0,'Données projet'!$E$10+1,1))-AVERAGE(OFFSET($H$3,0,0,'Données projet'!$E$10+1,1))</f>
        <v>481.23392184981651</v>
      </c>
      <c r="AO134" s="59">
        <f t="shared" si="144"/>
        <v>275.88160405468193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80.389291449618227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80.389291449618227</v>
      </c>
      <c r="AY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328.00000000000006</v>
      </c>
      <c r="BE134" s="13">
        <f>BD134*VLOOKUP('Données projet'!$B$11,Paramètres!$A$1:$I$89,3,0)*VLOOKUP('Données projet'!$B$11,Paramètres!$A$1:$I$89,5,0)</f>
        <v>255.84000000000006</v>
      </c>
      <c r="BF134" s="13">
        <f t="shared" si="145"/>
        <v>61.834803371075836</v>
      </c>
      <c r="BG134" s="20">
        <f t="shared" si="115"/>
        <v>553.28361587129041</v>
      </c>
      <c r="BH134" s="59">
        <f t="shared" si="116"/>
        <v>837.35736811439619</v>
      </c>
      <c r="BI134" s="59">
        <f ca="1">AVERAGE(OFFSET($BH$3,0,0,'Données projet'!$E$11+1,1))-AVERAGE(OFFSET($H$3,0,0,'Données projet'!$E$11+1,1))</f>
        <v>308.85018589589453</v>
      </c>
      <c r="BJ134" s="59">
        <f t="shared" si="146"/>
        <v>302.59481222418219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14.757294009688003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14.757294009688003</v>
      </c>
      <c r="BT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>
        <f>VLOOKUP(A134,'Données projet'!$A$113:$I$133,2,0)</f>
        <v>163.65</v>
      </c>
      <c r="BW134" s="12">
        <f>VLOOKUP(A134,'Données projet'!$A$113:$I$133,9,0)</f>
        <v>9.7500000000003695E-2</v>
      </c>
      <c r="BX134" s="12">
        <f t="array" ref="BX134">INDEX(BW:BW,MIN(IF(ISNUMBER(BW134:BW330),ROW(BW134:BW330),"")))</f>
        <v>9.7500000000003695E-2</v>
      </c>
      <c r="BY134" s="12">
        <f>IF('Données projet'!$A$114&gt;35,BY133+BX134-CG133,IF(A134&lt;'Données projet'!$A$114,$BV$205^A134,IF(A134='Données projet'!$A$114,'Données projet'!$B$114,BY133+BX134-CG133)))</f>
        <v>163.6500000000004</v>
      </c>
      <c r="BZ134" s="13">
        <f>BY134*VLOOKUP('Données projet'!$B$12,Paramètres!$A$1:$I$89,3,0)*VLOOKUP('Données projet'!$B$12,Paramètres!$A$1:$I$89,5,0)</f>
        <v>158.28228000000038</v>
      </c>
      <c r="CA134" s="13">
        <f t="shared" si="147"/>
        <v>40.454835814950151</v>
      </c>
      <c r="CB134" s="20">
        <f t="shared" si="118"/>
        <v>346.13381004437218</v>
      </c>
      <c r="CC134" s="59">
        <f t="shared" si="119"/>
        <v>630.20756228747791</v>
      </c>
      <c r="CD134" s="59">
        <f ca="1">AVERAGE(OFFSET($CC$3,0,0,'Données projet'!$E$12+1,1))-AVERAGE(OFFSET($H$3,0,0,'Données projet'!$E$12+1,1))</f>
        <v>600.96600099724276</v>
      </c>
      <c r="CE134" s="59">
        <f t="shared" si="148"/>
        <v>315.40159260706264</v>
      </c>
      <c r="CF134" s="15">
        <f>IF(ISNA(VLOOKUP(A134,'Données projet'!$A$113:$I$133,3,0)),0,VLOOKUP(A134,'Données projet'!$A$113:$I$133,3,0))</f>
        <v>14</v>
      </c>
      <c r="CG134" s="15">
        <f>IF(ISNA(VLOOKUP(A134,'Données projet'!$A$113:$I$133,4,0)),0,VLOOKUP(A134,'Données projet'!$A$113:$I$133,4,0))</f>
        <v>143.84</v>
      </c>
      <c r="CH134" s="16">
        <f>IF(ISNA(VLOOKUP(A134,'Données projet'!$A$113:$I$133,5,0)),0%,VLOOKUP(A134,'Données projet'!$A$113:$I$133,5,0)*VLOOKUP('Données projet'!$B$12,Paramètres!$A$1:$I$89,7,0))</f>
        <v>0.43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296.19202339387635</v>
      </c>
      <c r="CL134" s="21">
        <f>EXP(-LN(2)/25)*CL133+(1-EXP(-LN(2)/25))/(LN(2)/25)*Calculateur!CG134*Calculateur!CI134*VLOOKUP('Données projet'!$B$12,Paramètres!$A$1:$I$89,3,0)*0.475*44/12</f>
        <v>0</v>
      </c>
      <c r="CM134" s="21">
        <f>EXP(-LN(2)/2)*CM133+(1-EXP(-LN(2)/2))/(LN(2)/2)*CG134*CJ134*VLOOKUP('Données projet'!$B$12,Paramètres!$A$1:$I$89,3,0)*0.475*44/12</f>
        <v>0</v>
      </c>
      <c r="CN134" s="22">
        <f t="shared" si="120"/>
        <v>296.19202339387635</v>
      </c>
      <c r="CO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>
        <f>VLOOKUP(A134,'Données projet'!$A$139:$I$159,2,0)</f>
        <v>163.65</v>
      </c>
      <c r="CR134" s="12">
        <f>VLOOKUP(A134,'Données projet'!$A$139:$I$159,9,0)</f>
        <v>9.7500000000003695E-2</v>
      </c>
      <c r="CS134" s="12">
        <f t="array" ref="CS134">INDEX(CR:CR,MIN(IF(ISNUMBER(CR134:CR330),ROW(CR134:CR330),"")))</f>
        <v>9.7500000000003695E-2</v>
      </c>
      <c r="CT134" s="12">
        <f>IF('Données projet'!$A$140&gt;35,CT133+CS134-DB133,IF(A134&lt;'Données projet'!$A$140,$CQ$205^A134,IF(A134='Données projet'!$A$140,'Données projet'!$B$140,CT133+CS134-DB133)))</f>
        <v>163.6500000000004</v>
      </c>
      <c r="CU134" s="17">
        <f>CT134*VLOOKUP('Données projet'!$B$13,Paramètres!$A$1:$I$89,3,0)*VLOOKUP('Données projet'!$B$13,Paramètres!$A$1:$I$89,5,0)</f>
        <v>155.72934000000038</v>
      </c>
      <c r="CV134" s="13">
        <f t="shared" si="149"/>
        <v>39.877744668495708</v>
      </c>
      <c r="CW134" s="20">
        <f t="shared" si="121"/>
        <v>340.68233913096401</v>
      </c>
      <c r="CX134" s="59">
        <f t="shared" si="122"/>
        <v>624.75609137406968</v>
      </c>
      <c r="CY134" s="59">
        <f ca="1">AVERAGE(OFFSET($CX$3,0,0,'Données projet'!$E$13+1,1))-AVERAGE(OFFSET($H$3,0,0,'Données projet'!$E$13+1,1))</f>
        <v>592.58528889137358</v>
      </c>
      <c r="CZ134" s="59">
        <f t="shared" si="150"/>
        <v>311.31528020403709</v>
      </c>
      <c r="DA134" s="15">
        <f>IF(ISNA(VLOOKUP(A134,'Données projet'!$A$139:$I$159,3,0)),0,VLOOKUP(A134,'Données projet'!$A$139:$I$159,3,0))</f>
        <v>14</v>
      </c>
      <c r="DB134" s="15">
        <f>IF(ISNA(VLOOKUP(A134,'Données projet'!$A$139:$I$159,4,0)),0,VLOOKUP(A134,'Données projet'!$A$139:$I$159,4,0))</f>
        <v>143.84</v>
      </c>
      <c r="DC134" s="16">
        <f>IF(ISNA(VLOOKUP(A134,'Données projet'!$A$139:$I$159,5,0)),0%,VLOOKUP(A134,'Données projet'!$A$139:$I$159,5,0)*VLOOKUP('Données projet'!$B$13,Paramètres!$A$1:$I$89,7,0))</f>
        <v>0.43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291.41473269397511</v>
      </c>
      <c r="DG134" s="21">
        <f>EXP(-LN(2)/25)*DG133+(1-EXP(-LN(2)/25))/(LN(2)/25)*Calculateur!DB134*Calculateur!DD134*VLOOKUP('Données projet'!$B$13,Paramètres!$A$1:$I$89,3,0)*0.475*44/12</f>
        <v>0</v>
      </c>
      <c r="DH134" s="21">
        <f>EXP(-LN(2)/2)*DH133+(1-EXP(-LN(2)/2))/(LN(2)/2)*DB134*DE134*VLOOKUP('Données projet'!$B$13,Paramètres!$A$1:$I$89,3,0)*0.475*44/12</f>
        <v>0</v>
      </c>
      <c r="DI134" s="22">
        <f t="shared" si="123"/>
        <v>291.41473269397511</v>
      </c>
      <c r="DJ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2">
        <f>'Scénario référence'!$B$16*5+'Scénario référence'!$B$17*0+'Scénario référence'!$B$18*5</f>
        <v>5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66">
        <f t="shared" si="110"/>
        <v>183.33333333333334</v>
      </c>
      <c r="I135" s="6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19.8100000000004</v>
      </c>
      <c r="O135" s="13">
        <f>N135*VLOOKUP('Données projet'!$B$9,Paramètres!$A$1:$I$89,3,0)*VLOOKUP('Données projet'!$B$9,Paramètres!$A$1:$I$89,5,0)</f>
        <v>17.924088000000364</v>
      </c>
      <c r="P135" s="13">
        <f t="shared" si="141"/>
        <v>5.9032212091029486</v>
      </c>
      <c r="Q135" s="20">
        <f t="shared" si="108"/>
        <v>41.499230205854936</v>
      </c>
      <c r="R135" s="59">
        <f t="shared" si="109"/>
        <v>325.73361547955409</v>
      </c>
      <c r="S135" s="59">
        <f ca="1">AVERAGE(OFFSET($R$3,0,0,'Données projet'!$E$9+1,1))-AVERAGE(OFFSET($H$3,0,0,'Données projet'!$E$9+1,1))</f>
        <v>567.42635821507474</v>
      </c>
      <c r="T135" s="59">
        <f t="shared" si="142"/>
        <v>299.04735309930152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271.64943470187495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271.64943470187495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404.00000000000017</v>
      </c>
      <c r="AJ135" s="13">
        <f>AI135*VLOOKUP('Données projet'!$B$10,Paramètres!$A$1:$I$89,3,0)*VLOOKUP('Données projet'!$B$10,Paramètres!$A$1:$I$89,5,0)</f>
        <v>346.63200000000018</v>
      </c>
      <c r="AK135" s="13">
        <f t="shared" si="143"/>
        <v>80.868615263336864</v>
      </c>
      <c r="AL135" s="20">
        <f t="shared" si="112"/>
        <v>744.56357158364528</v>
      </c>
      <c r="AM135" s="59">
        <f t="shared" si="113"/>
        <v>1028.7979568573444</v>
      </c>
      <c r="AN135" s="59">
        <f ca="1">AVERAGE(OFFSET($AM$3,0,0,'Données projet'!$E$10+1,1))-AVERAGE(OFFSET($H$3,0,0,'Données projet'!$E$10+1,1))</f>
        <v>481.23392184981651</v>
      </c>
      <c r="AO135" s="59">
        <f t="shared" si="144"/>
        <v>275.88160405468193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78.812906476917433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78.812906476917433</v>
      </c>
      <c r="AY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328.00000000000006</v>
      </c>
      <c r="BE135" s="13">
        <f>BD135*VLOOKUP('Données projet'!$B$11,Paramètres!$A$1:$I$89,3,0)*VLOOKUP('Données projet'!$B$11,Paramètres!$A$1:$I$89,5,0)</f>
        <v>255.84000000000006</v>
      </c>
      <c r="BF135" s="13">
        <f t="shared" si="145"/>
        <v>61.834803371075836</v>
      </c>
      <c r="BG135" s="20">
        <f t="shared" si="115"/>
        <v>553.28361587129041</v>
      </c>
      <c r="BH135" s="59">
        <f t="shared" si="116"/>
        <v>837.51800114498951</v>
      </c>
      <c r="BI135" s="59">
        <f ca="1">AVERAGE(OFFSET($BH$3,0,0,'Données projet'!$E$11+1,1))-AVERAGE(OFFSET($H$3,0,0,'Données projet'!$E$11+1,1))</f>
        <v>308.85018589589453</v>
      </c>
      <c r="BJ135" s="59">
        <f t="shared" si="146"/>
        <v>302.59481222418219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14.467912475218586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14.467912475218586</v>
      </c>
      <c r="BT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19.8100000000004</v>
      </c>
      <c r="BZ135" s="13">
        <f>BY135*VLOOKUP('Données projet'!$B$12,Paramètres!$A$1:$I$89,3,0)*VLOOKUP('Données projet'!$B$12,Paramètres!$A$1:$I$89,5,0)</f>
        <v>19.160232000000388</v>
      </c>
      <c r="CA135" s="13">
        <f t="shared" si="147"/>
        <v>6.2615431735370342</v>
      </c>
      <c r="CB135" s="20">
        <f t="shared" si="118"/>
        <v>44.27625842724435</v>
      </c>
      <c r="CC135" s="59">
        <f t="shared" si="119"/>
        <v>328.51064370094349</v>
      </c>
      <c r="CD135" s="59">
        <f ca="1">AVERAGE(OFFSET($CC$3,0,0,'Données projet'!$E$12+1,1))-AVERAGE(OFFSET($H$3,0,0,'Données projet'!$E$12+1,1))</f>
        <v>600.96600099724276</v>
      </c>
      <c r="CE135" s="59">
        <f t="shared" si="148"/>
        <v>315.40159260706264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290.38387847441811</v>
      </c>
      <c r="CL135" s="21">
        <f>EXP(-LN(2)/25)*CL134+(1-EXP(-LN(2)/25))/(LN(2)/25)*Calculateur!CG135*Calculateur!CI135*VLOOKUP('Données projet'!$B$12,Paramètres!$A$1:$I$89,3,0)*0.475*44/12</f>
        <v>0</v>
      </c>
      <c r="CM135" s="21">
        <f>EXP(-LN(2)/2)*CM134+(1-EXP(-LN(2)/2))/(LN(2)/2)*CG135*CJ135*VLOOKUP('Données projet'!$B$12,Paramètres!$A$1:$I$89,3,0)*0.475*44/12</f>
        <v>0</v>
      </c>
      <c r="CN135" s="22">
        <f t="shared" si="120"/>
        <v>290.38387847441811</v>
      </c>
      <c r="CO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19.8100000000004</v>
      </c>
      <c r="CU135" s="17">
        <f>CT135*VLOOKUP('Données projet'!$B$13,Paramètres!$A$1:$I$89,3,0)*VLOOKUP('Données projet'!$B$13,Paramètres!$A$1:$I$89,5,0)</f>
        <v>18.851196000000382</v>
      </c>
      <c r="CV135" s="13">
        <f t="shared" si="149"/>
        <v>6.172221809210666</v>
      </c>
      <c r="CW135" s="20">
        <f t="shared" si="121"/>
        <v>43.582452684375909</v>
      </c>
      <c r="CX135" s="59">
        <f t="shared" si="122"/>
        <v>327.8168379580751</v>
      </c>
      <c r="CY135" s="59">
        <f ca="1">AVERAGE(OFFSET($CX$3,0,0,'Données projet'!$E$13+1,1))-AVERAGE(OFFSET($H$3,0,0,'Données projet'!$E$13+1,1))</f>
        <v>592.58528889137358</v>
      </c>
      <c r="CZ135" s="59">
        <f t="shared" si="150"/>
        <v>311.31528020403709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285.70026753128229</v>
      </c>
      <c r="DG135" s="21">
        <f>EXP(-LN(2)/25)*DG134+(1-EXP(-LN(2)/25))/(LN(2)/25)*Calculateur!DB135*Calculateur!DD135*VLOOKUP('Données projet'!$B$13,Paramètres!$A$1:$I$89,3,0)*0.475*44/12</f>
        <v>0</v>
      </c>
      <c r="DH135" s="21">
        <f>EXP(-LN(2)/2)*DH134+(1-EXP(-LN(2)/2))/(LN(2)/2)*DB135*DE135*VLOOKUP('Données projet'!$B$13,Paramètres!$A$1:$I$89,3,0)*0.475*44/12</f>
        <v>0</v>
      </c>
      <c r="DI135" s="22">
        <f t="shared" si="123"/>
        <v>285.70026753128229</v>
      </c>
      <c r="DJ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2">
        <f>'Scénario référence'!$B$16*5+'Scénario référence'!$B$17*0+'Scénario référence'!$B$18*5</f>
        <v>5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66">
        <f t="shared" si="110"/>
        <v>183.33333333333334</v>
      </c>
      <c r="I136" s="6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19.8100000000004</v>
      </c>
      <c r="O136" s="13">
        <f>N136*VLOOKUP('Données projet'!$B$9,Paramètres!$A$1:$I$89,3,0)*VLOOKUP('Données projet'!$B$9,Paramètres!$A$1:$I$89,5,0)</f>
        <v>17.924088000000364</v>
      </c>
      <c r="P136" s="13">
        <f t="shared" si="141"/>
        <v>5.9032212091029486</v>
      </c>
      <c r="Q136" s="20">
        <f t="shared" si="108"/>
        <v>41.499230205854936</v>
      </c>
      <c r="R136" s="59">
        <f t="shared" si="109"/>
        <v>325.89146188618832</v>
      </c>
      <c r="S136" s="59">
        <f ca="1">AVERAGE(OFFSET($R$3,0,0,'Données projet'!$E$9+1,1))-AVERAGE(OFFSET($H$3,0,0,'Données projet'!$E$9+1,1))</f>
        <v>567.42635821507474</v>
      </c>
      <c r="T136" s="59">
        <f t="shared" si="142"/>
        <v>299.04735309930152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266.32255497716585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266.32255497716585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404.00000000000017</v>
      </c>
      <c r="AJ136" s="13">
        <f>AI136*VLOOKUP('Données projet'!$B$10,Paramètres!$A$1:$I$89,3,0)*VLOOKUP('Données projet'!$B$10,Paramètres!$A$1:$I$89,5,0)</f>
        <v>346.63200000000018</v>
      </c>
      <c r="AK136" s="13">
        <f t="shared" si="143"/>
        <v>80.868615263336864</v>
      </c>
      <c r="AL136" s="20">
        <f t="shared" si="112"/>
        <v>744.56357158364528</v>
      </c>
      <c r="AM136" s="59">
        <f t="shared" si="113"/>
        <v>1028.9558032639786</v>
      </c>
      <c r="AN136" s="59">
        <f ca="1">AVERAGE(OFFSET($AM$3,0,0,'Données projet'!$E$10+1,1))-AVERAGE(OFFSET($H$3,0,0,'Données projet'!$E$10+1,1))</f>
        <v>481.23392184981651</v>
      </c>
      <c r="AO136" s="59">
        <f t="shared" si="144"/>
        <v>275.88160405468193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77.267433452031398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77.267433452031398</v>
      </c>
      <c r="AY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328.00000000000006</v>
      </c>
      <c r="BE136" s="13">
        <f>BD136*VLOOKUP('Données projet'!$B$11,Paramètres!$A$1:$I$89,3,0)*VLOOKUP('Données projet'!$B$11,Paramètres!$A$1:$I$89,5,0)</f>
        <v>255.84000000000006</v>
      </c>
      <c r="BF136" s="13">
        <f t="shared" si="145"/>
        <v>61.834803371075836</v>
      </c>
      <c r="BG136" s="20">
        <f t="shared" si="115"/>
        <v>553.28361587129041</v>
      </c>
      <c r="BH136" s="59">
        <f t="shared" si="116"/>
        <v>837.67584755162375</v>
      </c>
      <c r="BI136" s="59">
        <f ca="1">AVERAGE(OFFSET($BH$3,0,0,'Données projet'!$E$11+1,1))-AVERAGE(OFFSET($H$3,0,0,'Données projet'!$E$11+1,1))</f>
        <v>308.85018589589453</v>
      </c>
      <c r="BJ136" s="59">
        <f t="shared" si="146"/>
        <v>302.59481222418219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14.184205536134808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14.184205536134808</v>
      </c>
      <c r="BT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19.8100000000004</v>
      </c>
      <c r="BZ136" s="13">
        <f>BY136*VLOOKUP('Données projet'!$B$12,Paramètres!$A$1:$I$89,3,0)*VLOOKUP('Données projet'!$B$12,Paramètres!$A$1:$I$89,5,0)</f>
        <v>19.160232000000388</v>
      </c>
      <c r="CA136" s="13">
        <f t="shared" si="147"/>
        <v>6.2615431735370342</v>
      </c>
      <c r="CB136" s="20">
        <f t="shared" si="118"/>
        <v>44.27625842724435</v>
      </c>
      <c r="CC136" s="59">
        <f t="shared" si="119"/>
        <v>328.66849010757772</v>
      </c>
      <c r="CD136" s="59">
        <f ca="1">AVERAGE(OFFSET($CC$3,0,0,'Données projet'!$E$12+1,1))-AVERAGE(OFFSET($H$3,0,0,'Données projet'!$E$12+1,1))</f>
        <v>600.96600099724276</v>
      </c>
      <c r="CE136" s="59">
        <f t="shared" si="148"/>
        <v>315.40159260706264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284.6896277342118</v>
      </c>
      <c r="CL136" s="21">
        <f>EXP(-LN(2)/25)*CL135+(1-EXP(-LN(2)/25))/(LN(2)/25)*Calculateur!CG136*Calculateur!CI136*VLOOKUP('Données projet'!$B$12,Paramètres!$A$1:$I$89,3,0)*0.475*44/12</f>
        <v>0</v>
      </c>
      <c r="CM136" s="21">
        <f>EXP(-LN(2)/2)*CM135+(1-EXP(-LN(2)/2))/(LN(2)/2)*CG136*CJ136*VLOOKUP('Données projet'!$B$12,Paramètres!$A$1:$I$89,3,0)*0.475*44/12</f>
        <v>0</v>
      </c>
      <c r="CN136" s="22">
        <f t="shared" si="120"/>
        <v>284.6896277342118</v>
      </c>
      <c r="CO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19.8100000000004</v>
      </c>
      <c r="CU136" s="17">
        <f>CT136*VLOOKUP('Données projet'!$B$13,Paramètres!$A$1:$I$89,3,0)*VLOOKUP('Données projet'!$B$13,Paramètres!$A$1:$I$89,5,0)</f>
        <v>18.851196000000382</v>
      </c>
      <c r="CV136" s="13">
        <f t="shared" si="149"/>
        <v>6.172221809210666</v>
      </c>
      <c r="CW136" s="20">
        <f t="shared" si="121"/>
        <v>43.582452684375909</v>
      </c>
      <c r="CX136" s="59">
        <f t="shared" si="122"/>
        <v>327.97468436470933</v>
      </c>
      <c r="CY136" s="59">
        <f ca="1">AVERAGE(OFFSET($CX$3,0,0,'Données projet'!$E$13+1,1))-AVERAGE(OFFSET($H$3,0,0,'Données projet'!$E$13+1,1))</f>
        <v>592.58528889137358</v>
      </c>
      <c r="CZ136" s="59">
        <f t="shared" si="150"/>
        <v>311.31528020403709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280.09785954495032</v>
      </c>
      <c r="DG136" s="21">
        <f>EXP(-LN(2)/25)*DG135+(1-EXP(-LN(2)/25))/(LN(2)/25)*Calculateur!DB136*Calculateur!DD136*VLOOKUP('Données projet'!$B$13,Paramètres!$A$1:$I$89,3,0)*0.475*44/12</f>
        <v>0</v>
      </c>
      <c r="DH136" s="21">
        <f>EXP(-LN(2)/2)*DH135+(1-EXP(-LN(2)/2))/(LN(2)/2)*DB136*DE136*VLOOKUP('Données projet'!$B$13,Paramètres!$A$1:$I$89,3,0)*0.475*44/12</f>
        <v>0</v>
      </c>
      <c r="DI136" s="22">
        <f t="shared" si="123"/>
        <v>280.09785954495032</v>
      </c>
      <c r="DJ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2">
        <f>'Scénario référence'!$B$16*5+'Scénario référence'!$B$17*0+'Scénario référence'!$B$18*5</f>
        <v>5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66">
        <f t="shared" si="110"/>
        <v>183.33333333333334</v>
      </c>
      <c r="I137" s="6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19.8100000000004</v>
      </c>
      <c r="O137" s="13">
        <f>N137*VLOOKUP('Données projet'!$B$9,Paramètres!$A$1:$I$89,3,0)*VLOOKUP('Données projet'!$B$9,Paramètres!$A$1:$I$89,5,0)</f>
        <v>17.924088000000364</v>
      </c>
      <c r="P137" s="13">
        <f t="shared" si="141"/>
        <v>5.9032212091029486</v>
      </c>
      <c r="Q137" s="20">
        <f t="shared" si="108"/>
        <v>41.499230205854936</v>
      </c>
      <c r="R137" s="59">
        <f t="shared" si="109"/>
        <v>326.04657001055921</v>
      </c>
      <c r="S137" s="59">
        <f ca="1">AVERAGE(OFFSET($R$3,0,0,'Données projet'!$E$9+1,1))-AVERAGE(OFFSET($H$3,0,0,'Données projet'!$E$9+1,1))</f>
        <v>567.42635821507474</v>
      </c>
      <c r="T137" s="59">
        <f t="shared" si="142"/>
        <v>299.04735309930152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261.10013211478247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261.10013211478247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404.00000000000017</v>
      </c>
      <c r="AJ137" s="13">
        <f>AI137*VLOOKUP('Données projet'!$B$10,Paramètres!$A$1:$I$89,3,0)*VLOOKUP('Données projet'!$B$10,Paramètres!$A$1:$I$89,5,0)</f>
        <v>346.63200000000018</v>
      </c>
      <c r="AK137" s="13">
        <f t="shared" si="143"/>
        <v>80.868615263336864</v>
      </c>
      <c r="AL137" s="20">
        <f t="shared" si="112"/>
        <v>744.56357158364528</v>
      </c>
      <c r="AM137" s="59">
        <f t="shared" si="113"/>
        <v>1029.1109113883495</v>
      </c>
      <c r="AN137" s="59">
        <f ca="1">AVERAGE(OFFSET($AM$3,0,0,'Données projet'!$E$10+1,1))-AVERAGE(OFFSET($H$3,0,0,'Données projet'!$E$10+1,1))</f>
        <v>481.23392184981651</v>
      </c>
      <c r="AO137" s="59">
        <f t="shared" si="144"/>
        <v>275.88160405468193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75.752266210517917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75.752266210517917</v>
      </c>
      <c r="AY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328.00000000000006</v>
      </c>
      <c r="BE137" s="13">
        <f>BD137*VLOOKUP('Données projet'!$B$11,Paramètres!$A$1:$I$89,3,0)*VLOOKUP('Données projet'!$B$11,Paramètres!$A$1:$I$89,5,0)</f>
        <v>255.84000000000006</v>
      </c>
      <c r="BF137" s="13">
        <f t="shared" si="145"/>
        <v>61.834803371075836</v>
      </c>
      <c r="BG137" s="20">
        <f t="shared" si="115"/>
        <v>553.28361587129041</v>
      </c>
      <c r="BH137" s="59">
        <f t="shared" si="116"/>
        <v>837.83095567599469</v>
      </c>
      <c r="BI137" s="59">
        <f ca="1">AVERAGE(OFFSET($BH$3,0,0,'Données projet'!$E$11+1,1))-AVERAGE(OFFSET($H$3,0,0,'Données projet'!$E$11+1,1))</f>
        <v>308.85018589589453</v>
      </c>
      <c r="BJ137" s="59">
        <f t="shared" si="146"/>
        <v>302.59481222418219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13.906061917082315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13.906061917082315</v>
      </c>
      <c r="BT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19.8100000000004</v>
      </c>
      <c r="BZ137" s="13">
        <f>BY137*VLOOKUP('Données projet'!$B$12,Paramètres!$A$1:$I$89,3,0)*VLOOKUP('Données projet'!$B$12,Paramètres!$A$1:$I$89,5,0)</f>
        <v>19.160232000000388</v>
      </c>
      <c r="CA137" s="13">
        <f t="shared" si="147"/>
        <v>6.2615431735370342</v>
      </c>
      <c r="CB137" s="20">
        <f t="shared" si="118"/>
        <v>44.27625842724435</v>
      </c>
      <c r="CC137" s="59">
        <f t="shared" si="119"/>
        <v>328.82359823194861</v>
      </c>
      <c r="CD137" s="59">
        <f ca="1">AVERAGE(OFFSET($CC$3,0,0,'Données projet'!$E$12+1,1))-AVERAGE(OFFSET($H$3,0,0,'Données projet'!$E$12+1,1))</f>
        <v>600.96600099724276</v>
      </c>
      <c r="CE137" s="59">
        <f t="shared" si="148"/>
        <v>315.40159260706264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279.10703777787097</v>
      </c>
      <c r="CL137" s="21">
        <f>EXP(-LN(2)/25)*CL136+(1-EXP(-LN(2)/25))/(LN(2)/25)*Calculateur!CG137*Calculateur!CI137*VLOOKUP('Données projet'!$B$12,Paramètres!$A$1:$I$89,3,0)*0.475*44/12</f>
        <v>0</v>
      </c>
      <c r="CM137" s="21">
        <f>EXP(-LN(2)/2)*CM136+(1-EXP(-LN(2)/2))/(LN(2)/2)*CG137*CJ137*VLOOKUP('Données projet'!$B$12,Paramètres!$A$1:$I$89,3,0)*0.475*44/12</f>
        <v>0</v>
      </c>
      <c r="CN137" s="22">
        <f t="shared" si="120"/>
        <v>279.10703777787097</v>
      </c>
      <c r="CO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19.8100000000004</v>
      </c>
      <c r="CU137" s="17">
        <f>CT137*VLOOKUP('Données projet'!$B$13,Paramètres!$A$1:$I$89,3,0)*VLOOKUP('Données projet'!$B$13,Paramètres!$A$1:$I$89,5,0)</f>
        <v>18.851196000000382</v>
      </c>
      <c r="CV137" s="13">
        <f t="shared" si="149"/>
        <v>6.172221809210666</v>
      </c>
      <c r="CW137" s="20">
        <f t="shared" si="121"/>
        <v>43.582452684375909</v>
      </c>
      <c r="CX137" s="59">
        <f t="shared" si="122"/>
        <v>328.12979248908016</v>
      </c>
      <c r="CY137" s="59">
        <f ca="1">AVERAGE(OFFSET($CX$3,0,0,'Données projet'!$E$13+1,1))-AVERAGE(OFFSET($H$3,0,0,'Données projet'!$E$13+1,1))</f>
        <v>592.58528889137358</v>
      </c>
      <c r="CZ137" s="59">
        <f t="shared" si="150"/>
        <v>311.31528020403709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274.60531136209886</v>
      </c>
      <c r="DG137" s="21">
        <f>EXP(-LN(2)/25)*DG136+(1-EXP(-LN(2)/25))/(LN(2)/25)*Calculateur!DB137*Calculateur!DD137*VLOOKUP('Données projet'!$B$13,Paramètres!$A$1:$I$89,3,0)*0.475*44/12</f>
        <v>0</v>
      </c>
      <c r="DH137" s="21">
        <f>EXP(-LN(2)/2)*DH136+(1-EXP(-LN(2)/2))/(LN(2)/2)*DB137*DE137*VLOOKUP('Données projet'!$B$13,Paramètres!$A$1:$I$89,3,0)*0.475*44/12</f>
        <v>0</v>
      </c>
      <c r="DI137" s="22">
        <f t="shared" si="123"/>
        <v>274.60531136209886</v>
      </c>
      <c r="DJ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2">
        <f>'Scénario référence'!$B$16*5+'Scénario référence'!$B$17*0+'Scénario référence'!$B$18*5</f>
        <v>5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66">
        <f t="shared" si="110"/>
        <v>183.33333333333334</v>
      </c>
      <c r="I138" s="6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19.8100000000004</v>
      </c>
      <c r="O138" s="13">
        <f>N138*VLOOKUP('Données projet'!$B$9,Paramètres!$A$1:$I$89,3,0)*VLOOKUP('Données projet'!$B$9,Paramètres!$A$1:$I$89,5,0)</f>
        <v>17.924088000000364</v>
      </c>
      <c r="P138" s="13">
        <f t="shared" si="141"/>
        <v>5.9032212091029486</v>
      </c>
      <c r="Q138" s="20">
        <f t="shared" si="108"/>
        <v>41.499230205854936</v>
      </c>
      <c r="R138" s="59">
        <f t="shared" si="109"/>
        <v>326.19898735574208</v>
      </c>
      <c r="S138" s="59">
        <f ca="1">AVERAGE(OFFSET($R$3,0,0,'Données projet'!$E$9+1,1))-AVERAGE(OFFSET($H$3,0,0,'Données projet'!$E$9+1,1))</f>
        <v>567.42635821507474</v>
      </c>
      <c r="T138" s="59">
        <f t="shared" si="142"/>
        <v>299.04735309930152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255.98011777936702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255.98011777936702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404.00000000000017</v>
      </c>
      <c r="AJ138" s="13">
        <f>AI138*VLOOKUP('Données projet'!$B$10,Paramètres!$A$1:$I$89,3,0)*VLOOKUP('Données projet'!$B$10,Paramètres!$A$1:$I$89,5,0)</f>
        <v>346.63200000000018</v>
      </c>
      <c r="AK138" s="13">
        <f t="shared" si="143"/>
        <v>80.868615263336864</v>
      </c>
      <c r="AL138" s="20">
        <f t="shared" si="112"/>
        <v>744.56357158364528</v>
      </c>
      <c r="AM138" s="59">
        <f t="shared" si="113"/>
        <v>1029.2633287335325</v>
      </c>
      <c r="AN138" s="59">
        <f ca="1">AVERAGE(OFFSET($AM$3,0,0,'Données projet'!$E$10+1,1))-AVERAGE(OFFSET($H$3,0,0,'Données projet'!$E$10+1,1))</f>
        <v>481.23392184981651</v>
      </c>
      <c r="AO138" s="59">
        <f t="shared" si="144"/>
        <v>275.88160405468193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74.266810474449755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74.266810474449755</v>
      </c>
      <c r="AY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328.00000000000006</v>
      </c>
      <c r="BE138" s="13">
        <f>BD138*VLOOKUP('Données projet'!$B$11,Paramètres!$A$1:$I$89,3,0)*VLOOKUP('Données projet'!$B$11,Paramètres!$A$1:$I$89,5,0)</f>
        <v>255.84000000000006</v>
      </c>
      <c r="BF138" s="13">
        <f t="shared" si="145"/>
        <v>61.834803371075836</v>
      </c>
      <c r="BG138" s="20">
        <f t="shared" si="115"/>
        <v>553.28361587129041</v>
      </c>
      <c r="BH138" s="59">
        <f t="shared" si="116"/>
        <v>837.98337302117761</v>
      </c>
      <c r="BI138" s="59">
        <f ca="1">AVERAGE(OFFSET($BH$3,0,0,'Données projet'!$E$11+1,1))-AVERAGE(OFFSET($H$3,0,0,'Données projet'!$E$11+1,1))</f>
        <v>308.85018589589453</v>
      </c>
      <c r="BJ138" s="59">
        <f t="shared" si="146"/>
        <v>302.59481222418219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13.633372524748586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13.633372524748586</v>
      </c>
      <c r="BT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19.8100000000004</v>
      </c>
      <c r="BZ138" s="13">
        <f>BY138*VLOOKUP('Données projet'!$B$12,Paramètres!$A$1:$I$89,3,0)*VLOOKUP('Données projet'!$B$12,Paramètres!$A$1:$I$89,5,0)</f>
        <v>19.160232000000388</v>
      </c>
      <c r="CA138" s="13">
        <f t="shared" si="147"/>
        <v>6.2615431735370342</v>
      </c>
      <c r="CB138" s="20">
        <f t="shared" si="118"/>
        <v>44.27625842724435</v>
      </c>
      <c r="CC138" s="59">
        <f t="shared" si="119"/>
        <v>328.97601557713148</v>
      </c>
      <c r="CD138" s="59">
        <f ca="1">AVERAGE(OFFSET($CC$3,0,0,'Données projet'!$E$12+1,1))-AVERAGE(OFFSET($H$3,0,0,'Données projet'!$E$12+1,1))</f>
        <v>600.96600099724276</v>
      </c>
      <c r="CE138" s="59">
        <f t="shared" si="148"/>
        <v>315.40159260706264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273.63391900553029</v>
      </c>
      <c r="CL138" s="21">
        <f>EXP(-LN(2)/25)*CL137+(1-EXP(-LN(2)/25))/(LN(2)/25)*Calculateur!CG138*Calculateur!CI138*VLOOKUP('Données projet'!$B$12,Paramètres!$A$1:$I$89,3,0)*0.475*44/12</f>
        <v>0</v>
      </c>
      <c r="CM138" s="21">
        <f>EXP(-LN(2)/2)*CM137+(1-EXP(-LN(2)/2))/(LN(2)/2)*CG138*CJ138*VLOOKUP('Données projet'!$B$12,Paramètres!$A$1:$I$89,3,0)*0.475*44/12</f>
        <v>0</v>
      </c>
      <c r="CN138" s="22">
        <f t="shared" si="120"/>
        <v>273.63391900553029</v>
      </c>
      <c r="CO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19.8100000000004</v>
      </c>
      <c r="CU138" s="17">
        <f>CT138*VLOOKUP('Données projet'!$B$13,Paramètres!$A$1:$I$89,3,0)*VLOOKUP('Données projet'!$B$13,Paramètres!$A$1:$I$89,5,0)</f>
        <v>18.851196000000382</v>
      </c>
      <c r="CV138" s="13">
        <f t="shared" si="149"/>
        <v>6.172221809210666</v>
      </c>
      <c r="CW138" s="20">
        <f t="shared" si="121"/>
        <v>43.582452684375909</v>
      </c>
      <c r="CX138" s="59">
        <f t="shared" si="122"/>
        <v>328.28220983426309</v>
      </c>
      <c r="CY138" s="59">
        <f ca="1">AVERAGE(OFFSET($CX$3,0,0,'Données projet'!$E$13+1,1))-AVERAGE(OFFSET($H$3,0,0,'Données projet'!$E$13+1,1))</f>
        <v>592.58528889137358</v>
      </c>
      <c r="CZ138" s="59">
        <f t="shared" si="150"/>
        <v>311.31528020403709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269.22046869898952</v>
      </c>
      <c r="DG138" s="21">
        <f>EXP(-LN(2)/25)*DG137+(1-EXP(-LN(2)/25))/(LN(2)/25)*Calculateur!DB138*Calculateur!DD138*VLOOKUP('Données projet'!$B$13,Paramètres!$A$1:$I$89,3,0)*0.475*44/12</f>
        <v>0</v>
      </c>
      <c r="DH138" s="21">
        <f>EXP(-LN(2)/2)*DH137+(1-EXP(-LN(2)/2))/(LN(2)/2)*DB138*DE138*VLOOKUP('Données projet'!$B$13,Paramètres!$A$1:$I$89,3,0)*0.475*44/12</f>
        <v>0</v>
      </c>
      <c r="DI138" s="22">
        <f t="shared" si="123"/>
        <v>269.22046869898952</v>
      </c>
      <c r="DJ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2">
        <f>'Scénario référence'!$B$16*5+'Scénario référence'!$B$17*0+'Scénario référence'!$B$18*5</f>
        <v>5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66">
        <f t="shared" si="110"/>
        <v>183.33333333333334</v>
      </c>
      <c r="I139" s="6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19.8100000000004</v>
      </c>
      <c r="O139" s="13">
        <f>N139*VLOOKUP('Données projet'!$B$9,Paramètres!$A$1:$I$89,3,0)*VLOOKUP('Données projet'!$B$9,Paramètres!$A$1:$I$89,5,0)</f>
        <v>17.924088000000364</v>
      </c>
      <c r="P139" s="13">
        <f t="shared" si="141"/>
        <v>5.9032212091029486</v>
      </c>
      <c r="Q139" s="20">
        <f t="shared" si="108"/>
        <v>41.499230205854936</v>
      </c>
      <c r="R139" s="59">
        <f t="shared" si="109"/>
        <v>326.34876060074015</v>
      </c>
      <c r="S139" s="59">
        <f ca="1">AVERAGE(OFFSET($R$3,0,0,'Données projet'!$E$9+1,1))-AVERAGE(OFFSET($H$3,0,0,'Données projet'!$E$9+1,1))</f>
        <v>567.42635821507474</v>
      </c>
      <c r="T139" s="59">
        <f t="shared" si="142"/>
        <v>299.04735309930152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250.96050380216869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250.96050380216869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404.00000000000017</v>
      </c>
      <c r="AJ139" s="13">
        <f>AI139*VLOOKUP('Données projet'!$B$10,Paramètres!$A$1:$I$89,3,0)*VLOOKUP('Données projet'!$B$10,Paramètres!$A$1:$I$89,5,0)</f>
        <v>346.63200000000018</v>
      </c>
      <c r="AK139" s="13">
        <f t="shared" si="143"/>
        <v>80.868615263336864</v>
      </c>
      <c r="AL139" s="20">
        <f t="shared" si="112"/>
        <v>744.56357158364528</v>
      </c>
      <c r="AM139" s="59">
        <f t="shared" si="113"/>
        <v>1029.4131019785304</v>
      </c>
      <c r="AN139" s="59">
        <f ca="1">AVERAGE(OFFSET($AM$3,0,0,'Données projet'!$E$10+1,1))-AVERAGE(OFFSET($H$3,0,0,'Données projet'!$E$10+1,1))</f>
        <v>481.23392184981651</v>
      </c>
      <c r="AO139" s="59">
        <f t="shared" si="144"/>
        <v>275.88160405468193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72.810483619327357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72.810483619327357</v>
      </c>
      <c r="AY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328.00000000000006</v>
      </c>
      <c r="BE139" s="13">
        <f>BD139*VLOOKUP('Données projet'!$B$11,Paramètres!$A$1:$I$89,3,0)*VLOOKUP('Données projet'!$B$11,Paramètres!$A$1:$I$89,5,0)</f>
        <v>255.84000000000006</v>
      </c>
      <c r="BF139" s="13">
        <f t="shared" si="145"/>
        <v>61.834803371075836</v>
      </c>
      <c r="BG139" s="20">
        <f t="shared" si="115"/>
        <v>553.28361587129041</v>
      </c>
      <c r="BH139" s="59">
        <f t="shared" si="116"/>
        <v>838.13314626617557</v>
      </c>
      <c r="BI139" s="59">
        <f ca="1">AVERAGE(OFFSET($BH$3,0,0,'Données projet'!$E$11+1,1))-AVERAGE(OFFSET($H$3,0,0,'Données projet'!$E$11+1,1))</f>
        <v>308.85018589589453</v>
      </c>
      <c r="BJ139" s="59">
        <f t="shared" si="146"/>
        <v>302.59481222418219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13.366030405074415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13.366030405074415</v>
      </c>
      <c r="BT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19.8100000000004</v>
      </c>
      <c r="BZ139" s="13">
        <f>BY139*VLOOKUP('Données projet'!$B$12,Paramètres!$A$1:$I$89,3,0)*VLOOKUP('Données projet'!$B$12,Paramètres!$A$1:$I$89,5,0)</f>
        <v>19.160232000000388</v>
      </c>
      <c r="CA139" s="13">
        <f t="shared" si="147"/>
        <v>6.2615431735370342</v>
      </c>
      <c r="CB139" s="20">
        <f t="shared" si="118"/>
        <v>44.27625842724435</v>
      </c>
      <c r="CC139" s="59">
        <f t="shared" si="119"/>
        <v>329.12578882212955</v>
      </c>
      <c r="CD139" s="59">
        <f ca="1">AVERAGE(OFFSET($CC$3,0,0,'Données projet'!$E$12+1,1))-AVERAGE(OFFSET($H$3,0,0,'Données projet'!$E$12+1,1))</f>
        <v>600.96600099724276</v>
      </c>
      <c r="CE139" s="59">
        <f t="shared" si="148"/>
        <v>315.40159260706264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268.26812475404239</v>
      </c>
      <c r="CL139" s="21">
        <f>EXP(-LN(2)/25)*CL138+(1-EXP(-LN(2)/25))/(LN(2)/25)*Calculateur!CG139*Calculateur!CI139*VLOOKUP('Données projet'!$B$12,Paramètres!$A$1:$I$89,3,0)*0.475*44/12</f>
        <v>0</v>
      </c>
      <c r="CM139" s="21">
        <f>EXP(-LN(2)/2)*CM138+(1-EXP(-LN(2)/2))/(LN(2)/2)*CG139*CJ139*VLOOKUP('Données projet'!$B$12,Paramètres!$A$1:$I$89,3,0)*0.475*44/12</f>
        <v>0</v>
      </c>
      <c r="CN139" s="22">
        <f t="shared" si="120"/>
        <v>268.26812475404239</v>
      </c>
      <c r="CO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19.8100000000004</v>
      </c>
      <c r="CU139" s="17">
        <f>CT139*VLOOKUP('Données projet'!$B$13,Paramètres!$A$1:$I$89,3,0)*VLOOKUP('Données projet'!$B$13,Paramètres!$A$1:$I$89,5,0)</f>
        <v>18.851196000000382</v>
      </c>
      <c r="CV139" s="13">
        <f t="shared" si="149"/>
        <v>6.172221809210666</v>
      </c>
      <c r="CW139" s="20">
        <f t="shared" si="121"/>
        <v>43.582452684375909</v>
      </c>
      <c r="CX139" s="59">
        <f t="shared" si="122"/>
        <v>328.43198307926116</v>
      </c>
      <c r="CY139" s="59">
        <f ca="1">AVERAGE(OFFSET($CX$3,0,0,'Données projet'!$E$13+1,1))-AVERAGE(OFFSET($H$3,0,0,'Données projet'!$E$13+1,1))</f>
        <v>592.58528889137358</v>
      </c>
      <c r="CZ139" s="59">
        <f t="shared" si="150"/>
        <v>311.31528020403709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263.941219516074</v>
      </c>
      <c r="DG139" s="21">
        <f>EXP(-LN(2)/25)*DG138+(1-EXP(-LN(2)/25))/(LN(2)/25)*Calculateur!DB139*Calculateur!DD139*VLOOKUP('Données projet'!$B$13,Paramètres!$A$1:$I$89,3,0)*0.475*44/12</f>
        <v>0</v>
      </c>
      <c r="DH139" s="21">
        <f>EXP(-LN(2)/2)*DH138+(1-EXP(-LN(2)/2))/(LN(2)/2)*DB139*DE139*VLOOKUP('Données projet'!$B$13,Paramètres!$A$1:$I$89,3,0)*0.475*44/12</f>
        <v>0</v>
      </c>
      <c r="DI139" s="22">
        <f t="shared" si="123"/>
        <v>263.941219516074</v>
      </c>
      <c r="DJ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2">
        <f>'Scénario référence'!$B$16*5+'Scénario référence'!$B$17*0+'Scénario référence'!$B$18*5</f>
        <v>5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66">
        <f t="shared" si="110"/>
        <v>183.33333333333334</v>
      </c>
      <c r="I140" s="6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19.8100000000004</v>
      </c>
      <c r="O140" s="13">
        <f>N140*VLOOKUP('Données projet'!$B$9,Paramètres!$A$1:$I$89,3,0)*VLOOKUP('Données projet'!$B$9,Paramètres!$A$1:$I$89,5,0)</f>
        <v>17.924088000000364</v>
      </c>
      <c r="P140" s="13">
        <f t="shared" si="141"/>
        <v>5.9032212091029486</v>
      </c>
      <c r="Q140" s="20">
        <f t="shared" si="108"/>
        <v>41.499230205854936</v>
      </c>
      <c r="R140" s="59">
        <f t="shared" si="109"/>
        <v>326.49593561478031</v>
      </c>
      <c r="S140" s="59">
        <f ca="1">AVERAGE(OFFSET($R$3,0,0,'Données projet'!$E$9+1,1))-AVERAGE(OFFSET($H$3,0,0,'Données projet'!$E$9+1,1))</f>
        <v>567.42635821507474</v>
      </c>
      <c r="T140" s="59">
        <f t="shared" si="142"/>
        <v>299.04735309930152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246.039321393401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246.039321393401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404.00000000000017</v>
      </c>
      <c r="AJ140" s="13">
        <f>AI140*VLOOKUP('Données projet'!$B$10,Paramètres!$A$1:$I$89,3,0)*VLOOKUP('Données projet'!$B$10,Paramètres!$A$1:$I$89,5,0)</f>
        <v>346.63200000000018</v>
      </c>
      <c r="AK140" s="13">
        <f t="shared" si="143"/>
        <v>80.868615263336864</v>
      </c>
      <c r="AL140" s="20">
        <f t="shared" si="112"/>
        <v>744.56357158364528</v>
      </c>
      <c r="AM140" s="59">
        <f t="shared" si="113"/>
        <v>1029.5602769925706</v>
      </c>
      <c r="AN140" s="59">
        <f ca="1">AVERAGE(OFFSET($AM$3,0,0,'Données projet'!$E$10+1,1))-AVERAGE(OFFSET($H$3,0,0,'Données projet'!$E$10+1,1))</f>
        <v>481.23392184981651</v>
      </c>
      <c r="AO140" s="59">
        <f t="shared" si="144"/>
        <v>275.88160405468193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71.382714445562229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71.382714445562229</v>
      </c>
      <c r="AY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328.00000000000006</v>
      </c>
      <c r="BE140" s="13">
        <f>BD140*VLOOKUP('Données projet'!$B$11,Paramètres!$A$1:$I$89,3,0)*VLOOKUP('Données projet'!$B$11,Paramètres!$A$1:$I$89,5,0)</f>
        <v>255.84000000000006</v>
      </c>
      <c r="BF140" s="13">
        <f t="shared" si="145"/>
        <v>61.834803371075836</v>
      </c>
      <c r="BG140" s="20">
        <f t="shared" si="115"/>
        <v>553.28361587129041</v>
      </c>
      <c r="BH140" s="59">
        <f t="shared" si="116"/>
        <v>838.28032128021573</v>
      </c>
      <c r="BI140" s="59">
        <f ca="1">AVERAGE(OFFSET($BH$3,0,0,'Données projet'!$E$11+1,1))-AVERAGE(OFFSET($H$3,0,0,'Données projet'!$E$11+1,1))</f>
        <v>308.85018589589453</v>
      </c>
      <c r="BJ140" s="59">
        <f t="shared" si="146"/>
        <v>302.59481222418219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13.103930701304463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13.103930701304463</v>
      </c>
      <c r="BT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19.8100000000004</v>
      </c>
      <c r="BZ140" s="13">
        <f>BY140*VLOOKUP('Données projet'!$B$12,Paramètres!$A$1:$I$89,3,0)*VLOOKUP('Données projet'!$B$12,Paramètres!$A$1:$I$89,5,0)</f>
        <v>19.160232000000388</v>
      </c>
      <c r="CA140" s="13">
        <f t="shared" si="147"/>
        <v>6.2615431735370342</v>
      </c>
      <c r="CB140" s="20">
        <f t="shared" si="118"/>
        <v>44.27625842724435</v>
      </c>
      <c r="CC140" s="59">
        <f t="shared" si="119"/>
        <v>329.27296383616971</v>
      </c>
      <c r="CD140" s="59">
        <f ca="1">AVERAGE(OFFSET($CC$3,0,0,'Données projet'!$E$12+1,1))-AVERAGE(OFFSET($H$3,0,0,'Données projet'!$E$12+1,1))</f>
        <v>600.96600099724276</v>
      </c>
      <c r="CE140" s="59">
        <f t="shared" si="148"/>
        <v>315.40159260706264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263.00755045501484</v>
      </c>
      <c r="CL140" s="21">
        <f>EXP(-LN(2)/25)*CL139+(1-EXP(-LN(2)/25))/(LN(2)/25)*Calculateur!CG140*Calculateur!CI140*VLOOKUP('Données projet'!$B$12,Paramètres!$A$1:$I$89,3,0)*0.475*44/12</f>
        <v>0</v>
      </c>
      <c r="CM140" s="21">
        <f>EXP(-LN(2)/2)*CM139+(1-EXP(-LN(2)/2))/(LN(2)/2)*CG140*CJ140*VLOOKUP('Données projet'!$B$12,Paramètres!$A$1:$I$89,3,0)*0.475*44/12</f>
        <v>0</v>
      </c>
      <c r="CN140" s="22">
        <f t="shared" si="120"/>
        <v>263.00755045501484</v>
      </c>
      <c r="CO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19.8100000000004</v>
      </c>
      <c r="CU140" s="17">
        <f>CT140*VLOOKUP('Données projet'!$B$13,Paramètres!$A$1:$I$89,3,0)*VLOOKUP('Données projet'!$B$13,Paramètres!$A$1:$I$89,5,0)</f>
        <v>18.851196000000382</v>
      </c>
      <c r="CV140" s="13">
        <f t="shared" si="149"/>
        <v>6.172221809210666</v>
      </c>
      <c r="CW140" s="20">
        <f t="shared" si="121"/>
        <v>43.582452684375909</v>
      </c>
      <c r="CX140" s="59">
        <f t="shared" si="122"/>
        <v>328.57915809330132</v>
      </c>
      <c r="CY140" s="59">
        <f ca="1">AVERAGE(OFFSET($CX$3,0,0,'Données projet'!$E$13+1,1))-AVERAGE(OFFSET($H$3,0,0,'Données projet'!$E$13+1,1))</f>
        <v>592.58528889137358</v>
      </c>
      <c r="CZ140" s="59">
        <f t="shared" si="150"/>
        <v>311.31528020403709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258.76549318961145</v>
      </c>
      <c r="DG140" s="21">
        <f>EXP(-LN(2)/25)*DG139+(1-EXP(-LN(2)/25))/(LN(2)/25)*Calculateur!DB140*Calculateur!DD140*VLOOKUP('Données projet'!$B$13,Paramètres!$A$1:$I$89,3,0)*0.475*44/12</f>
        <v>0</v>
      </c>
      <c r="DH140" s="21">
        <f>EXP(-LN(2)/2)*DH139+(1-EXP(-LN(2)/2))/(LN(2)/2)*DB140*DE140*VLOOKUP('Données projet'!$B$13,Paramètres!$A$1:$I$89,3,0)*0.475*44/12</f>
        <v>0</v>
      </c>
      <c r="DI140" s="22">
        <f t="shared" si="123"/>
        <v>258.76549318961145</v>
      </c>
      <c r="DJ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2">
        <f>'Scénario référence'!$B$16*5+'Scénario référence'!$B$17*0+'Scénario référence'!$B$18*5</f>
        <v>5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66">
        <f t="shared" si="110"/>
        <v>183.33333333333334</v>
      </c>
      <c r="I141" s="6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19.8100000000004</v>
      </c>
      <c r="O141" s="13">
        <f>N141*VLOOKUP('Données projet'!$B$9,Paramètres!$A$1:$I$89,3,0)*VLOOKUP('Données projet'!$B$9,Paramètres!$A$1:$I$89,5,0)</f>
        <v>17.924088000000364</v>
      </c>
      <c r="P141" s="13">
        <f t="shared" si="141"/>
        <v>5.9032212091029486</v>
      </c>
      <c r="Q141" s="20">
        <f t="shared" si="108"/>
        <v>41.499230205854936</v>
      </c>
      <c r="R141" s="59">
        <f t="shared" si="109"/>
        <v>326.64055747136086</v>
      </c>
      <c r="S141" s="59">
        <f ca="1">AVERAGE(OFFSET($R$3,0,0,'Données projet'!$E$9+1,1))-AVERAGE(OFFSET($H$3,0,0,'Données projet'!$E$9+1,1))</f>
        <v>567.42635821507474</v>
      </c>
      <c r="T141" s="59">
        <f t="shared" si="142"/>
        <v>299.04735309930152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241.21464037004435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241.21464037004435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404.00000000000017</v>
      </c>
      <c r="AJ141" s="13">
        <f>AI141*VLOOKUP('Données projet'!$B$10,Paramètres!$A$1:$I$89,3,0)*VLOOKUP('Données projet'!$B$10,Paramètres!$A$1:$I$89,5,0)</f>
        <v>346.63200000000018</v>
      </c>
      <c r="AK141" s="13">
        <f t="shared" si="143"/>
        <v>80.868615263336864</v>
      </c>
      <c r="AL141" s="20">
        <f t="shared" si="112"/>
        <v>744.56357158364528</v>
      </c>
      <c r="AM141" s="59">
        <f t="shared" si="113"/>
        <v>1029.7048988491513</v>
      </c>
      <c r="AN141" s="59">
        <f ca="1">AVERAGE(OFFSET($AM$3,0,0,'Données projet'!$E$10+1,1))-AVERAGE(OFFSET($H$3,0,0,'Données projet'!$E$10+1,1))</f>
        <v>481.23392184981651</v>
      </c>
      <c r="AO141" s="59">
        <f t="shared" si="144"/>
        <v>275.88160405468193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69.982942954441427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69.982942954441427</v>
      </c>
      <c r="AY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328.00000000000006</v>
      </c>
      <c r="BE141" s="13">
        <f>BD141*VLOOKUP('Données projet'!$B$11,Paramètres!$A$1:$I$89,3,0)*VLOOKUP('Données projet'!$B$11,Paramètres!$A$1:$I$89,5,0)</f>
        <v>255.84000000000006</v>
      </c>
      <c r="BF141" s="13">
        <f t="shared" si="145"/>
        <v>61.834803371075836</v>
      </c>
      <c r="BG141" s="20">
        <f t="shared" si="115"/>
        <v>553.28361587129041</v>
      </c>
      <c r="BH141" s="59">
        <f t="shared" si="116"/>
        <v>838.4249431367964</v>
      </c>
      <c r="BI141" s="59">
        <f ca="1">AVERAGE(OFFSET($BH$3,0,0,'Données projet'!$E$11+1,1))-AVERAGE(OFFSET($H$3,0,0,'Données projet'!$E$11+1,1))</f>
        <v>308.85018589589453</v>
      </c>
      <c r="BJ141" s="59">
        <f t="shared" si="146"/>
        <v>302.59481222418219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12.846970612860407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12.846970612860407</v>
      </c>
      <c r="BT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19.8100000000004</v>
      </c>
      <c r="BZ141" s="13">
        <f>BY141*VLOOKUP('Données projet'!$B$12,Paramètres!$A$1:$I$89,3,0)*VLOOKUP('Données projet'!$B$12,Paramètres!$A$1:$I$89,5,0)</f>
        <v>19.160232000000388</v>
      </c>
      <c r="CA141" s="13">
        <f t="shared" si="147"/>
        <v>6.2615431735370342</v>
      </c>
      <c r="CB141" s="20">
        <f t="shared" si="118"/>
        <v>44.27625842724435</v>
      </c>
      <c r="CC141" s="59">
        <f t="shared" si="119"/>
        <v>329.41758569275027</v>
      </c>
      <c r="CD141" s="59">
        <f ca="1">AVERAGE(OFFSET($CC$3,0,0,'Données projet'!$E$12+1,1))-AVERAGE(OFFSET($H$3,0,0,'Données projet'!$E$12+1,1))</f>
        <v>600.96600099724276</v>
      </c>
      <c r="CE141" s="59">
        <f t="shared" si="148"/>
        <v>315.40159260706264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257.85013280935772</v>
      </c>
      <c r="CL141" s="21">
        <f>EXP(-LN(2)/25)*CL140+(1-EXP(-LN(2)/25))/(LN(2)/25)*Calculateur!CG141*Calculateur!CI141*VLOOKUP('Données projet'!$B$12,Paramètres!$A$1:$I$89,3,0)*0.475*44/12</f>
        <v>0</v>
      </c>
      <c r="CM141" s="21">
        <f>EXP(-LN(2)/2)*CM140+(1-EXP(-LN(2)/2))/(LN(2)/2)*CG141*CJ141*VLOOKUP('Données projet'!$B$12,Paramètres!$A$1:$I$89,3,0)*0.475*44/12</f>
        <v>0</v>
      </c>
      <c r="CN141" s="22">
        <f t="shared" si="120"/>
        <v>257.85013280935772</v>
      </c>
      <c r="CO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19.8100000000004</v>
      </c>
      <c r="CU141" s="17">
        <f>CT141*VLOOKUP('Données projet'!$B$13,Paramètres!$A$1:$I$89,3,0)*VLOOKUP('Données projet'!$B$13,Paramètres!$A$1:$I$89,5,0)</f>
        <v>18.851196000000382</v>
      </c>
      <c r="CV141" s="13">
        <f t="shared" si="149"/>
        <v>6.172221809210666</v>
      </c>
      <c r="CW141" s="20">
        <f t="shared" si="121"/>
        <v>43.582452684375909</v>
      </c>
      <c r="CX141" s="59">
        <f t="shared" si="122"/>
        <v>328.72377994988187</v>
      </c>
      <c r="CY141" s="59">
        <f ca="1">AVERAGE(OFFSET($CX$3,0,0,'Données projet'!$E$13+1,1))-AVERAGE(OFFSET($H$3,0,0,'Données projet'!$E$13+1,1))</f>
        <v>592.58528889137358</v>
      </c>
      <c r="CZ141" s="59">
        <f t="shared" si="150"/>
        <v>311.31528020403709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253.69125969952947</v>
      </c>
      <c r="DG141" s="21">
        <f>EXP(-LN(2)/25)*DG140+(1-EXP(-LN(2)/25))/(LN(2)/25)*Calculateur!DB141*Calculateur!DD141*VLOOKUP('Données projet'!$B$13,Paramètres!$A$1:$I$89,3,0)*0.475*44/12</f>
        <v>0</v>
      </c>
      <c r="DH141" s="21">
        <f>EXP(-LN(2)/2)*DH140+(1-EXP(-LN(2)/2))/(LN(2)/2)*DB141*DE141*VLOOKUP('Données projet'!$B$13,Paramètres!$A$1:$I$89,3,0)*0.475*44/12</f>
        <v>0</v>
      </c>
      <c r="DI141" s="22">
        <f t="shared" si="123"/>
        <v>253.69125969952947</v>
      </c>
      <c r="DJ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2">
        <f>'Scénario référence'!$B$16*5+'Scénario référence'!$B$17*0+'Scénario référence'!$B$18*5</f>
        <v>5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66">
        <f t="shared" si="110"/>
        <v>183.33333333333334</v>
      </c>
      <c r="I142" s="6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19.8100000000004</v>
      </c>
      <c r="O142" s="13">
        <f>N142*VLOOKUP('Données projet'!$B$9,Paramètres!$A$1:$I$89,3,0)*VLOOKUP('Données projet'!$B$9,Paramètres!$A$1:$I$89,5,0)</f>
        <v>17.924088000000364</v>
      </c>
      <c r="P142" s="13">
        <f t="shared" si="141"/>
        <v>5.9032212091029486</v>
      </c>
      <c r="Q142" s="20">
        <f t="shared" si="108"/>
        <v>41.499230205854936</v>
      </c>
      <c r="R142" s="59">
        <f t="shared" si="109"/>
        <v>326.78267046205582</v>
      </c>
      <c r="S142" s="59">
        <f ca="1">AVERAGE(OFFSET($R$3,0,0,'Données projet'!$E$9+1,1))-AVERAGE(OFFSET($H$3,0,0,'Données projet'!$E$9+1,1))</f>
        <v>567.42635821507474</v>
      </c>
      <c r="T142" s="59">
        <f t="shared" si="142"/>
        <v>299.04735309930152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236.48456839879088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236.48456839879088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404.00000000000017</v>
      </c>
      <c r="AJ142" s="13">
        <f>AI142*VLOOKUP('Données projet'!$B$10,Paramètres!$A$1:$I$89,3,0)*VLOOKUP('Données projet'!$B$10,Paramètres!$A$1:$I$89,5,0)</f>
        <v>346.63200000000018</v>
      </c>
      <c r="AK142" s="13">
        <f t="shared" si="143"/>
        <v>80.868615263336864</v>
      </c>
      <c r="AL142" s="20">
        <f t="shared" si="112"/>
        <v>744.56357158364528</v>
      </c>
      <c r="AM142" s="59">
        <f t="shared" si="113"/>
        <v>1029.8470118398461</v>
      </c>
      <c r="AN142" s="59">
        <f ca="1">AVERAGE(OFFSET($AM$3,0,0,'Données projet'!$E$10+1,1))-AVERAGE(OFFSET($H$3,0,0,'Données projet'!$E$10+1,1))</f>
        <v>481.23392184981651</v>
      </c>
      <c r="AO142" s="59">
        <f t="shared" si="144"/>
        <v>275.88160405468193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68.610620128485195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68.610620128485195</v>
      </c>
      <c r="AY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328.00000000000006</v>
      </c>
      <c r="BE142" s="13">
        <f>BD142*VLOOKUP('Données projet'!$B$11,Paramètres!$A$1:$I$89,3,0)*VLOOKUP('Données projet'!$B$11,Paramètres!$A$1:$I$89,5,0)</f>
        <v>255.84000000000006</v>
      </c>
      <c r="BF142" s="13">
        <f t="shared" si="145"/>
        <v>61.834803371075836</v>
      </c>
      <c r="BG142" s="20">
        <f t="shared" si="115"/>
        <v>553.28361587129041</v>
      </c>
      <c r="BH142" s="59">
        <f t="shared" si="116"/>
        <v>838.56705612749124</v>
      </c>
      <c r="BI142" s="59">
        <f ca="1">AVERAGE(OFFSET($BH$3,0,0,'Données projet'!$E$11+1,1))-AVERAGE(OFFSET($H$3,0,0,'Données projet'!$E$11+1,1))</f>
        <v>308.85018589589453</v>
      </c>
      <c r="BJ142" s="59">
        <f t="shared" si="146"/>
        <v>302.59481222418219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12.59504935502056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12.59504935502056</v>
      </c>
      <c r="BT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19.8100000000004</v>
      </c>
      <c r="BZ142" s="13">
        <f>BY142*VLOOKUP('Données projet'!$B$12,Paramètres!$A$1:$I$89,3,0)*VLOOKUP('Données projet'!$B$12,Paramètres!$A$1:$I$89,5,0)</f>
        <v>19.160232000000388</v>
      </c>
      <c r="CA142" s="13">
        <f t="shared" si="147"/>
        <v>6.2615431735370342</v>
      </c>
      <c r="CB142" s="20">
        <f t="shared" si="118"/>
        <v>44.27625842724435</v>
      </c>
      <c r="CC142" s="59">
        <f t="shared" si="119"/>
        <v>329.55969868344522</v>
      </c>
      <c r="CD142" s="59">
        <f ca="1">AVERAGE(OFFSET($CC$3,0,0,'Données projet'!$E$12+1,1))-AVERAGE(OFFSET($H$3,0,0,'Données projet'!$E$12+1,1))</f>
        <v>600.96600099724276</v>
      </c>
      <c r="CE142" s="59">
        <f t="shared" si="148"/>
        <v>315.40159260706264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252.79384897801779</v>
      </c>
      <c r="CL142" s="21">
        <f>EXP(-LN(2)/25)*CL141+(1-EXP(-LN(2)/25))/(LN(2)/25)*Calculateur!CG142*Calculateur!CI142*VLOOKUP('Données projet'!$B$12,Paramètres!$A$1:$I$89,3,0)*0.475*44/12</f>
        <v>0</v>
      </c>
      <c r="CM142" s="21">
        <f>EXP(-LN(2)/2)*CM141+(1-EXP(-LN(2)/2))/(LN(2)/2)*CG142*CJ142*VLOOKUP('Données projet'!$B$12,Paramètres!$A$1:$I$89,3,0)*0.475*44/12</f>
        <v>0</v>
      </c>
      <c r="CN142" s="22">
        <f t="shared" si="120"/>
        <v>252.79384897801779</v>
      </c>
      <c r="CO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19.8100000000004</v>
      </c>
      <c r="CU142" s="17">
        <f>CT142*VLOOKUP('Données projet'!$B$13,Paramètres!$A$1:$I$89,3,0)*VLOOKUP('Données projet'!$B$13,Paramètres!$A$1:$I$89,5,0)</f>
        <v>18.851196000000382</v>
      </c>
      <c r="CV142" s="13">
        <f t="shared" si="149"/>
        <v>6.172221809210666</v>
      </c>
      <c r="CW142" s="20">
        <f t="shared" si="121"/>
        <v>43.582452684375909</v>
      </c>
      <c r="CX142" s="59">
        <f t="shared" si="122"/>
        <v>328.86589294057683</v>
      </c>
      <c r="CY142" s="59">
        <f ca="1">AVERAGE(OFFSET($CX$3,0,0,'Données projet'!$E$13+1,1))-AVERAGE(OFFSET($H$3,0,0,'Données projet'!$E$13+1,1))</f>
        <v>592.58528889137358</v>
      </c>
      <c r="CZ142" s="59">
        <f t="shared" si="150"/>
        <v>311.31528020403709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248.71652883321116</v>
      </c>
      <c r="DG142" s="21">
        <f>EXP(-LN(2)/25)*DG141+(1-EXP(-LN(2)/25))/(LN(2)/25)*Calculateur!DB142*Calculateur!DD142*VLOOKUP('Données projet'!$B$13,Paramètres!$A$1:$I$89,3,0)*0.475*44/12</f>
        <v>0</v>
      </c>
      <c r="DH142" s="21">
        <f>EXP(-LN(2)/2)*DH141+(1-EXP(-LN(2)/2))/(LN(2)/2)*DB142*DE142*VLOOKUP('Données projet'!$B$13,Paramètres!$A$1:$I$89,3,0)*0.475*44/12</f>
        <v>0</v>
      </c>
      <c r="DI142" s="22">
        <f t="shared" si="123"/>
        <v>248.71652883321116</v>
      </c>
      <c r="DJ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2">
        <f>'Scénario référence'!$B$16*5+'Scénario référence'!$B$17*0+'Scénario référence'!$B$18*5</f>
        <v>5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66">
        <f t="shared" si="110"/>
        <v>183.33333333333334</v>
      </c>
      <c r="I143" s="6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19.8100000000004</v>
      </c>
      <c r="O143" s="13">
        <f>N143*VLOOKUP('Données projet'!$B$9,Paramètres!$A$1:$I$89,3,0)*VLOOKUP('Données projet'!$B$9,Paramètres!$A$1:$I$89,5,0)</f>
        <v>17.924088000000364</v>
      </c>
      <c r="P143" s="13">
        <f t="shared" si="141"/>
        <v>5.9032212091029486</v>
      </c>
      <c r="Q143" s="20">
        <f t="shared" si="108"/>
        <v>41.499230205854936</v>
      </c>
      <c r="R143" s="59">
        <f t="shared" si="109"/>
        <v>326.92231811007929</v>
      </c>
      <c r="S143" s="59">
        <f ca="1">AVERAGE(OFFSET($R$3,0,0,'Données projet'!$E$9+1,1))-AVERAGE(OFFSET($H$3,0,0,'Données projet'!$E$9+1,1))</f>
        <v>567.42635821507474</v>
      </c>
      <c r="T143" s="59">
        <f t="shared" si="142"/>
        <v>299.04735309930152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231.84725025383466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231.84725025383466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404.00000000000017</v>
      </c>
      <c r="AJ143" s="13">
        <f>AI143*VLOOKUP('Données projet'!$B$10,Paramètres!$A$1:$I$89,3,0)*VLOOKUP('Données projet'!$B$10,Paramètres!$A$1:$I$89,5,0)</f>
        <v>346.63200000000018</v>
      </c>
      <c r="AK143" s="13">
        <f t="shared" si="143"/>
        <v>80.868615263336864</v>
      </c>
      <c r="AL143" s="20">
        <f t="shared" si="112"/>
        <v>744.56357158364528</v>
      </c>
      <c r="AM143" s="59">
        <f t="shared" si="113"/>
        <v>1029.9866594878697</v>
      </c>
      <c r="AN143" s="59">
        <f ca="1">AVERAGE(OFFSET($AM$3,0,0,'Données projet'!$E$10+1,1))-AVERAGE(OFFSET($H$3,0,0,'Données projet'!$E$10+1,1))</f>
        <v>481.23392184981651</v>
      </c>
      <c r="AO143" s="59">
        <f t="shared" si="144"/>
        <v>275.88160405468193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67.265207716111703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67.265207716111703</v>
      </c>
      <c r="AY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328.00000000000006</v>
      </c>
      <c r="BE143" s="13">
        <f>BD143*VLOOKUP('Données projet'!$B$11,Paramètres!$A$1:$I$89,3,0)*VLOOKUP('Données projet'!$B$11,Paramètres!$A$1:$I$89,5,0)</f>
        <v>255.84000000000006</v>
      </c>
      <c r="BF143" s="13">
        <f t="shared" si="145"/>
        <v>61.834803371075836</v>
      </c>
      <c r="BG143" s="20">
        <f t="shared" si="115"/>
        <v>553.28361587129041</v>
      </c>
      <c r="BH143" s="59">
        <f t="shared" si="116"/>
        <v>838.70670377551482</v>
      </c>
      <c r="BI143" s="59">
        <f ca="1">AVERAGE(OFFSET($BH$3,0,0,'Données projet'!$E$11+1,1))-AVERAGE(OFFSET($H$3,0,0,'Données projet'!$E$11+1,1))</f>
        <v>308.85018589589453</v>
      </c>
      <c r="BJ143" s="59">
        <f t="shared" si="146"/>
        <v>302.59481222418219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12.348068119390158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12.348068119390158</v>
      </c>
      <c r="BT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19.8100000000004</v>
      </c>
      <c r="BZ143" s="13">
        <f>BY143*VLOOKUP('Données projet'!$B$12,Paramètres!$A$1:$I$89,3,0)*VLOOKUP('Données projet'!$B$12,Paramètres!$A$1:$I$89,5,0)</f>
        <v>19.160232000000388</v>
      </c>
      <c r="CA143" s="13">
        <f t="shared" si="147"/>
        <v>6.2615431735370342</v>
      </c>
      <c r="CB143" s="20">
        <f t="shared" si="118"/>
        <v>44.27625842724435</v>
      </c>
      <c r="CC143" s="59">
        <f t="shared" si="119"/>
        <v>329.69934633146869</v>
      </c>
      <c r="CD143" s="59">
        <f ca="1">AVERAGE(OFFSET($CC$3,0,0,'Données projet'!$E$12+1,1))-AVERAGE(OFFSET($H$3,0,0,'Données projet'!$E$12+1,1))</f>
        <v>600.96600099724276</v>
      </c>
      <c r="CE143" s="59">
        <f t="shared" si="148"/>
        <v>315.40159260706264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247.83671578858184</v>
      </c>
      <c r="CL143" s="21">
        <f>EXP(-LN(2)/25)*CL142+(1-EXP(-LN(2)/25))/(LN(2)/25)*Calculateur!CG143*Calculateur!CI143*VLOOKUP('Données projet'!$B$12,Paramètres!$A$1:$I$89,3,0)*0.475*44/12</f>
        <v>0</v>
      </c>
      <c r="CM143" s="21">
        <f>EXP(-LN(2)/2)*CM142+(1-EXP(-LN(2)/2))/(LN(2)/2)*CG143*CJ143*VLOOKUP('Données projet'!$B$12,Paramètres!$A$1:$I$89,3,0)*0.475*44/12</f>
        <v>0</v>
      </c>
      <c r="CN143" s="22">
        <f t="shared" si="120"/>
        <v>247.83671578858184</v>
      </c>
      <c r="CO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19.8100000000004</v>
      </c>
      <c r="CU143" s="17">
        <f>CT143*VLOOKUP('Données projet'!$B$13,Paramètres!$A$1:$I$89,3,0)*VLOOKUP('Données projet'!$B$13,Paramètres!$A$1:$I$89,5,0)</f>
        <v>18.851196000000382</v>
      </c>
      <c r="CV143" s="13">
        <f t="shared" si="149"/>
        <v>6.172221809210666</v>
      </c>
      <c r="CW143" s="20">
        <f t="shared" si="121"/>
        <v>43.582452684375909</v>
      </c>
      <c r="CX143" s="59">
        <f t="shared" si="122"/>
        <v>329.0055405886003</v>
      </c>
      <c r="CY143" s="59">
        <f ca="1">AVERAGE(OFFSET($CX$3,0,0,'Données projet'!$E$13+1,1))-AVERAGE(OFFSET($H$3,0,0,'Données projet'!$E$13+1,1))</f>
        <v>592.58528889137358</v>
      </c>
      <c r="CZ143" s="59">
        <f t="shared" si="150"/>
        <v>311.31528020403709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243.83934940489513</v>
      </c>
      <c r="DG143" s="21">
        <f>EXP(-LN(2)/25)*DG142+(1-EXP(-LN(2)/25))/(LN(2)/25)*Calculateur!DB143*Calculateur!DD143*VLOOKUP('Données projet'!$B$13,Paramètres!$A$1:$I$89,3,0)*0.475*44/12</f>
        <v>0</v>
      </c>
      <c r="DH143" s="21">
        <f>EXP(-LN(2)/2)*DH142+(1-EXP(-LN(2)/2))/(LN(2)/2)*DB143*DE143*VLOOKUP('Données projet'!$B$13,Paramètres!$A$1:$I$89,3,0)*0.475*44/12</f>
        <v>0</v>
      </c>
      <c r="DI143" s="22">
        <f t="shared" si="123"/>
        <v>243.83934940489513</v>
      </c>
      <c r="DJ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2">
        <f>'Scénario référence'!$B$16*5+'Scénario référence'!$B$17*0+'Scénario référence'!$B$18*5</f>
        <v>5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66">
        <f t="shared" si="110"/>
        <v>183.33333333333334</v>
      </c>
      <c r="I144" s="6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19.8100000000004</v>
      </c>
      <c r="O144" s="13">
        <f>N144*VLOOKUP('Données projet'!$B$9,Paramètres!$A$1:$I$89,3,0)*VLOOKUP('Données projet'!$B$9,Paramètres!$A$1:$I$89,5,0)</f>
        <v>17.924088000000364</v>
      </c>
      <c r="P144" s="13">
        <f t="shared" si="141"/>
        <v>5.9032212091029486</v>
      </c>
      <c r="Q144" s="20">
        <f t="shared" si="108"/>
        <v>41.499230205854936</v>
      </c>
      <c r="R144" s="59">
        <f t="shared" si="109"/>
        <v>327.05954318361495</v>
      </c>
      <c r="S144" s="59">
        <f ca="1">AVERAGE(OFFSET($R$3,0,0,'Données projet'!$E$9+1,1))-AVERAGE(OFFSET($H$3,0,0,'Données projet'!$E$9+1,1))</f>
        <v>567.42635821507474</v>
      </c>
      <c r="T144" s="59">
        <f t="shared" si="142"/>
        <v>299.04735309930152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227.30086708921627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227.30086708921627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404.00000000000017</v>
      </c>
      <c r="AJ144" s="13">
        <f>AI144*VLOOKUP('Données projet'!$B$10,Paramètres!$A$1:$I$89,3,0)*VLOOKUP('Données projet'!$B$10,Paramètres!$A$1:$I$89,5,0)</f>
        <v>346.63200000000018</v>
      </c>
      <c r="AK144" s="13">
        <f t="shared" si="143"/>
        <v>80.868615263336864</v>
      </c>
      <c r="AL144" s="20">
        <f t="shared" si="112"/>
        <v>744.56357158364528</v>
      </c>
      <c r="AM144" s="59">
        <f t="shared" si="113"/>
        <v>1030.1238845614052</v>
      </c>
      <c r="AN144" s="59">
        <f ca="1">AVERAGE(OFFSET($AM$3,0,0,'Données projet'!$E$10+1,1))-AVERAGE(OFFSET($H$3,0,0,'Données projet'!$E$10+1,1))</f>
        <v>481.23392184981651</v>
      </c>
      <c r="AO144" s="59">
        <f t="shared" si="144"/>
        <v>275.88160405468193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65.946178020524314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65.946178020524314</v>
      </c>
      <c r="AY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328.00000000000006</v>
      </c>
      <c r="BE144" s="13">
        <f>BD144*VLOOKUP('Données projet'!$B$11,Paramètres!$A$1:$I$89,3,0)*VLOOKUP('Données projet'!$B$11,Paramètres!$A$1:$I$89,5,0)</f>
        <v>255.84000000000006</v>
      </c>
      <c r="BF144" s="13">
        <f t="shared" si="145"/>
        <v>61.834803371075836</v>
      </c>
      <c r="BG144" s="20">
        <f t="shared" si="115"/>
        <v>553.28361587129041</v>
      </c>
      <c r="BH144" s="59">
        <f t="shared" si="116"/>
        <v>838.84392884905037</v>
      </c>
      <c r="BI144" s="59">
        <f ca="1">AVERAGE(OFFSET($BH$3,0,0,'Données projet'!$E$11+1,1))-AVERAGE(OFFSET($H$3,0,0,'Données projet'!$E$11+1,1))</f>
        <v>308.85018589589453</v>
      </c>
      <c r="BJ144" s="59">
        <f t="shared" si="146"/>
        <v>302.59481222418219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12.105930035146788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12.105930035146788</v>
      </c>
      <c r="BT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19.8100000000004</v>
      </c>
      <c r="BZ144" s="13">
        <f>BY144*VLOOKUP('Données projet'!$B$12,Paramètres!$A$1:$I$89,3,0)*VLOOKUP('Données projet'!$B$12,Paramètres!$A$1:$I$89,5,0)</f>
        <v>19.160232000000388</v>
      </c>
      <c r="CA144" s="13">
        <f t="shared" si="147"/>
        <v>6.2615431735370342</v>
      </c>
      <c r="CB144" s="20">
        <f t="shared" si="118"/>
        <v>44.27625842724435</v>
      </c>
      <c r="CC144" s="59">
        <f t="shared" si="119"/>
        <v>329.83657140500435</v>
      </c>
      <c r="CD144" s="59">
        <f ca="1">AVERAGE(OFFSET($CC$3,0,0,'Données projet'!$E$12+1,1))-AVERAGE(OFFSET($H$3,0,0,'Données projet'!$E$12+1,1))</f>
        <v>600.96600099724276</v>
      </c>
      <c r="CE144" s="59">
        <f t="shared" si="148"/>
        <v>315.40159260706264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242.97678895743803</v>
      </c>
      <c r="CL144" s="21">
        <f>EXP(-LN(2)/25)*CL143+(1-EXP(-LN(2)/25))/(LN(2)/25)*Calculateur!CG144*Calculateur!CI144*VLOOKUP('Données projet'!$B$12,Paramètres!$A$1:$I$89,3,0)*0.475*44/12</f>
        <v>0</v>
      </c>
      <c r="CM144" s="21">
        <f>EXP(-LN(2)/2)*CM143+(1-EXP(-LN(2)/2))/(LN(2)/2)*CG144*CJ144*VLOOKUP('Données projet'!$B$12,Paramètres!$A$1:$I$89,3,0)*0.475*44/12</f>
        <v>0</v>
      </c>
      <c r="CN144" s="22">
        <f t="shared" si="120"/>
        <v>242.97678895743803</v>
      </c>
      <c r="CO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19.8100000000004</v>
      </c>
      <c r="CU144" s="17">
        <f>CT144*VLOOKUP('Données projet'!$B$13,Paramètres!$A$1:$I$89,3,0)*VLOOKUP('Données projet'!$B$13,Paramètres!$A$1:$I$89,5,0)</f>
        <v>18.851196000000382</v>
      </c>
      <c r="CV144" s="13">
        <f t="shared" si="149"/>
        <v>6.172221809210666</v>
      </c>
      <c r="CW144" s="20">
        <f t="shared" si="121"/>
        <v>43.582452684375909</v>
      </c>
      <c r="CX144" s="59">
        <f t="shared" si="122"/>
        <v>329.14276566213596</v>
      </c>
      <c r="CY144" s="59">
        <f ca="1">AVERAGE(OFFSET($CX$3,0,0,'Données projet'!$E$13+1,1))-AVERAGE(OFFSET($H$3,0,0,'Données projet'!$E$13+1,1))</f>
        <v>592.58528889137358</v>
      </c>
      <c r="CZ144" s="59">
        <f t="shared" si="150"/>
        <v>311.31528020403709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239.05780849038268</v>
      </c>
      <c r="DG144" s="21">
        <f>EXP(-LN(2)/25)*DG143+(1-EXP(-LN(2)/25))/(LN(2)/25)*Calculateur!DB144*Calculateur!DD144*VLOOKUP('Données projet'!$B$13,Paramètres!$A$1:$I$89,3,0)*0.475*44/12</f>
        <v>0</v>
      </c>
      <c r="DH144" s="21">
        <f>EXP(-LN(2)/2)*DH143+(1-EXP(-LN(2)/2))/(LN(2)/2)*DB144*DE144*VLOOKUP('Données projet'!$B$13,Paramètres!$A$1:$I$89,3,0)*0.475*44/12</f>
        <v>0</v>
      </c>
      <c r="DI144" s="22">
        <f t="shared" si="123"/>
        <v>239.05780849038268</v>
      </c>
      <c r="DJ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2">
        <f>'Scénario référence'!$B$16*5+'Scénario référence'!$B$17*0+'Scénario référence'!$B$18*5</f>
        <v>5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66">
        <f t="shared" si="110"/>
        <v>183.33333333333334</v>
      </c>
      <c r="I145" s="6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19.8100000000004</v>
      </c>
      <c r="O145" s="13">
        <f>N145*VLOOKUP('Données projet'!$B$9,Paramètres!$A$1:$I$89,3,0)*VLOOKUP('Données projet'!$B$9,Paramètres!$A$1:$I$89,5,0)</f>
        <v>17.924088000000364</v>
      </c>
      <c r="P145" s="13">
        <f t="shared" si="141"/>
        <v>5.9032212091029486</v>
      </c>
      <c r="Q145" s="20">
        <f t="shared" si="108"/>
        <v>41.499230205854936</v>
      </c>
      <c r="R145" s="59">
        <f t="shared" si="109"/>
        <v>327.19438770891401</v>
      </c>
      <c r="S145" s="59">
        <f ca="1">AVERAGE(OFFSET($R$3,0,0,'Données projet'!$E$9+1,1))-AVERAGE(OFFSET($H$3,0,0,'Données projet'!$E$9+1,1))</f>
        <v>567.42635821507474</v>
      </c>
      <c r="T145" s="59">
        <f t="shared" si="142"/>
        <v>299.04735309930152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222.84363572543612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222.84363572543612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404.00000000000017</v>
      </c>
      <c r="AJ145" s="13">
        <f>AI145*VLOOKUP('Données projet'!$B$10,Paramètres!$A$1:$I$89,3,0)*VLOOKUP('Données projet'!$B$10,Paramètres!$A$1:$I$89,5,0)</f>
        <v>346.63200000000018</v>
      </c>
      <c r="AK145" s="13">
        <f t="shared" si="143"/>
        <v>80.868615263336864</v>
      </c>
      <c r="AL145" s="20">
        <f t="shared" si="112"/>
        <v>744.56357158364528</v>
      </c>
      <c r="AM145" s="59">
        <f t="shared" si="113"/>
        <v>1030.2587290867043</v>
      </c>
      <c r="AN145" s="59">
        <f ca="1">AVERAGE(OFFSET($AM$3,0,0,'Données projet'!$E$10+1,1))-AVERAGE(OFFSET($H$3,0,0,'Données projet'!$E$10+1,1))</f>
        <v>481.23392184981651</v>
      </c>
      <c r="AO145" s="59">
        <f t="shared" si="144"/>
        <v>275.88160405468193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64.65301369273871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64.65301369273871</v>
      </c>
      <c r="AY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328.00000000000006</v>
      </c>
      <c r="BE145" s="13">
        <f>BD145*VLOOKUP('Données projet'!$B$11,Paramètres!$A$1:$I$89,3,0)*VLOOKUP('Données projet'!$B$11,Paramètres!$A$1:$I$89,5,0)</f>
        <v>255.84000000000006</v>
      </c>
      <c r="BF145" s="13">
        <f t="shared" si="145"/>
        <v>61.834803371075836</v>
      </c>
      <c r="BG145" s="20">
        <f t="shared" si="115"/>
        <v>553.28361587129041</v>
      </c>
      <c r="BH145" s="59">
        <f t="shared" si="116"/>
        <v>838.97877337434943</v>
      </c>
      <c r="BI145" s="59">
        <f ca="1">AVERAGE(OFFSET($BH$3,0,0,'Données projet'!$E$11+1,1))-AVERAGE(OFFSET($H$3,0,0,'Données projet'!$E$11+1,1))</f>
        <v>308.85018589589453</v>
      </c>
      <c r="BJ145" s="59">
        <f t="shared" si="146"/>
        <v>302.59481222418219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11.868540131045782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11.868540131045782</v>
      </c>
      <c r="BT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19.8100000000004</v>
      </c>
      <c r="BZ145" s="13">
        <f>BY145*VLOOKUP('Données projet'!$B$12,Paramètres!$A$1:$I$89,3,0)*VLOOKUP('Données projet'!$B$12,Paramètres!$A$1:$I$89,5,0)</f>
        <v>19.160232000000388</v>
      </c>
      <c r="CA145" s="13">
        <f t="shared" si="147"/>
        <v>6.2615431735370342</v>
      </c>
      <c r="CB145" s="20">
        <f t="shared" si="118"/>
        <v>44.27625842724435</v>
      </c>
      <c r="CC145" s="59">
        <f t="shared" si="119"/>
        <v>329.97141593030341</v>
      </c>
      <c r="CD145" s="59">
        <f ca="1">AVERAGE(OFFSET($CC$3,0,0,'Données projet'!$E$12+1,1))-AVERAGE(OFFSET($H$3,0,0,'Données projet'!$E$12+1,1))</f>
        <v>600.96600099724276</v>
      </c>
      <c r="CE145" s="59">
        <f t="shared" si="148"/>
        <v>315.40159260706264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238.21216232719027</v>
      </c>
      <c r="CL145" s="21">
        <f>EXP(-LN(2)/25)*CL144+(1-EXP(-LN(2)/25))/(LN(2)/25)*Calculateur!CG145*Calculateur!CI145*VLOOKUP('Données projet'!$B$12,Paramètres!$A$1:$I$89,3,0)*0.475*44/12</f>
        <v>0</v>
      </c>
      <c r="CM145" s="21">
        <f>EXP(-LN(2)/2)*CM144+(1-EXP(-LN(2)/2))/(LN(2)/2)*CG145*CJ145*VLOOKUP('Données projet'!$B$12,Paramètres!$A$1:$I$89,3,0)*0.475*44/12</f>
        <v>0</v>
      </c>
      <c r="CN145" s="22">
        <f t="shared" si="120"/>
        <v>238.21216232719027</v>
      </c>
      <c r="CO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19.8100000000004</v>
      </c>
      <c r="CU145" s="17">
        <f>CT145*VLOOKUP('Données projet'!$B$13,Paramètres!$A$1:$I$89,3,0)*VLOOKUP('Données projet'!$B$13,Paramètres!$A$1:$I$89,5,0)</f>
        <v>18.851196000000382</v>
      </c>
      <c r="CV145" s="13">
        <f t="shared" si="149"/>
        <v>6.172221809210666</v>
      </c>
      <c r="CW145" s="20">
        <f t="shared" si="121"/>
        <v>43.582452684375909</v>
      </c>
      <c r="CX145" s="59">
        <f t="shared" si="122"/>
        <v>329.27761018743502</v>
      </c>
      <c r="CY145" s="59">
        <f ca="1">AVERAGE(OFFSET($CX$3,0,0,'Données projet'!$E$13+1,1))-AVERAGE(OFFSET($H$3,0,0,'Données projet'!$E$13+1,1))</f>
        <v>592.58528889137358</v>
      </c>
      <c r="CZ145" s="59">
        <f t="shared" si="150"/>
        <v>311.31528020403709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234.37003067675184</v>
      </c>
      <c r="DG145" s="21">
        <f>EXP(-LN(2)/25)*DG144+(1-EXP(-LN(2)/25))/(LN(2)/25)*Calculateur!DB145*Calculateur!DD145*VLOOKUP('Données projet'!$B$13,Paramètres!$A$1:$I$89,3,0)*0.475*44/12</f>
        <v>0</v>
      </c>
      <c r="DH145" s="21">
        <f>EXP(-LN(2)/2)*DH144+(1-EXP(-LN(2)/2))/(LN(2)/2)*DB145*DE145*VLOOKUP('Données projet'!$B$13,Paramètres!$A$1:$I$89,3,0)*0.475*44/12</f>
        <v>0</v>
      </c>
      <c r="DI145" s="22">
        <f t="shared" si="123"/>
        <v>234.37003067675184</v>
      </c>
      <c r="DJ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2">
        <f>'Scénario référence'!$B$16*5+'Scénario référence'!$B$17*0+'Scénario référence'!$B$18*5</f>
        <v>5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66">
        <f t="shared" si="110"/>
        <v>183.33333333333334</v>
      </c>
      <c r="I146" s="6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19.8100000000004</v>
      </c>
      <c r="O146" s="13">
        <f>N146*VLOOKUP('Données projet'!$B$9,Paramètres!$A$1:$I$89,3,0)*VLOOKUP('Données projet'!$B$9,Paramètres!$A$1:$I$89,5,0)</f>
        <v>17.924088000000364</v>
      </c>
      <c r="P146" s="13">
        <f t="shared" si="141"/>
        <v>5.9032212091029486</v>
      </c>
      <c r="Q146" s="20">
        <f t="shared" si="108"/>
        <v>41.499230205854936</v>
      </c>
      <c r="R146" s="59">
        <f t="shared" si="109"/>
        <v>327.32689298316637</v>
      </c>
      <c r="S146" s="59">
        <f ca="1">AVERAGE(OFFSET($R$3,0,0,'Données projet'!$E$9+1,1))-AVERAGE(OFFSET($H$3,0,0,'Données projet'!$E$9+1,1))</f>
        <v>567.42635821507474</v>
      </c>
      <c r="T146" s="59">
        <f t="shared" si="142"/>
        <v>299.04735309930152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218.47380795005699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218.47380795005699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404.00000000000017</v>
      </c>
      <c r="AJ146" s="13">
        <f>AI146*VLOOKUP('Données projet'!$B$10,Paramètres!$A$1:$I$89,3,0)*VLOOKUP('Données projet'!$B$10,Paramètres!$A$1:$I$89,5,0)</f>
        <v>346.63200000000018</v>
      </c>
      <c r="AK146" s="13">
        <f t="shared" si="143"/>
        <v>80.868615263336864</v>
      </c>
      <c r="AL146" s="20">
        <f t="shared" si="112"/>
        <v>744.56357158364528</v>
      </c>
      <c r="AM146" s="59">
        <f t="shared" si="113"/>
        <v>1030.3912343609568</v>
      </c>
      <c r="AN146" s="59">
        <f ca="1">AVERAGE(OFFSET($AM$3,0,0,'Données projet'!$E$10+1,1))-AVERAGE(OFFSET($H$3,0,0,'Données projet'!$E$10+1,1))</f>
        <v>481.23392184981651</v>
      </c>
      <c r="AO146" s="59">
        <f t="shared" si="144"/>
        <v>275.88160405468193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63.38520752866863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63.38520752866863</v>
      </c>
      <c r="AY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328.00000000000006</v>
      </c>
      <c r="BE146" s="13">
        <f>BD146*VLOOKUP('Données projet'!$B$11,Paramètres!$A$1:$I$89,3,0)*VLOOKUP('Données projet'!$B$11,Paramètres!$A$1:$I$89,5,0)</f>
        <v>255.84000000000006</v>
      </c>
      <c r="BF146" s="13">
        <f t="shared" si="145"/>
        <v>61.834803371075836</v>
      </c>
      <c r="BG146" s="20">
        <f t="shared" si="115"/>
        <v>553.28361587129041</v>
      </c>
      <c r="BH146" s="59">
        <f t="shared" si="116"/>
        <v>839.11127864860191</v>
      </c>
      <c r="BI146" s="59">
        <f ca="1">AVERAGE(OFFSET($BH$3,0,0,'Données projet'!$E$11+1,1))-AVERAGE(OFFSET($H$3,0,0,'Données projet'!$E$11+1,1))</f>
        <v>308.85018589589453</v>
      </c>
      <c r="BJ146" s="59">
        <f t="shared" si="146"/>
        <v>302.59481222418219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11.635805298170652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11.635805298170652</v>
      </c>
      <c r="BT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19.8100000000004</v>
      </c>
      <c r="BZ146" s="13">
        <f>BY146*VLOOKUP('Données projet'!$B$12,Paramètres!$A$1:$I$89,3,0)*VLOOKUP('Données projet'!$B$12,Paramètres!$A$1:$I$89,5,0)</f>
        <v>19.160232000000388</v>
      </c>
      <c r="CA146" s="13">
        <f t="shared" si="147"/>
        <v>6.2615431735370342</v>
      </c>
      <c r="CB146" s="20">
        <f t="shared" si="118"/>
        <v>44.27625842724435</v>
      </c>
      <c r="CC146" s="59">
        <f t="shared" si="119"/>
        <v>330.10392120455577</v>
      </c>
      <c r="CD146" s="59">
        <f ca="1">AVERAGE(OFFSET($CC$3,0,0,'Données projet'!$E$12+1,1))-AVERAGE(OFFSET($H$3,0,0,'Données projet'!$E$12+1,1))</f>
        <v>600.96600099724276</v>
      </c>
      <c r="CE146" s="59">
        <f t="shared" si="148"/>
        <v>315.40159260706264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233.54096711902639</v>
      </c>
      <c r="CL146" s="21">
        <f>EXP(-LN(2)/25)*CL145+(1-EXP(-LN(2)/25))/(LN(2)/25)*Calculateur!CG146*Calculateur!CI146*VLOOKUP('Données projet'!$B$12,Paramètres!$A$1:$I$89,3,0)*0.475*44/12</f>
        <v>0</v>
      </c>
      <c r="CM146" s="21">
        <f>EXP(-LN(2)/2)*CM145+(1-EXP(-LN(2)/2))/(LN(2)/2)*CG146*CJ146*VLOOKUP('Données projet'!$B$12,Paramètres!$A$1:$I$89,3,0)*0.475*44/12</f>
        <v>0</v>
      </c>
      <c r="CN146" s="22">
        <f t="shared" si="120"/>
        <v>233.54096711902639</v>
      </c>
      <c r="CO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19.8100000000004</v>
      </c>
      <c r="CU146" s="17">
        <f>CT146*VLOOKUP('Données projet'!$B$13,Paramètres!$A$1:$I$89,3,0)*VLOOKUP('Données projet'!$B$13,Paramètres!$A$1:$I$89,5,0)</f>
        <v>18.851196000000382</v>
      </c>
      <c r="CV146" s="13">
        <f t="shared" si="149"/>
        <v>6.172221809210666</v>
      </c>
      <c r="CW146" s="20">
        <f t="shared" si="121"/>
        <v>43.582452684375909</v>
      </c>
      <c r="CX146" s="59">
        <f t="shared" si="122"/>
        <v>329.41011546168738</v>
      </c>
      <c r="CY146" s="59">
        <f ca="1">AVERAGE(OFFSET($CX$3,0,0,'Données projet'!$E$13+1,1))-AVERAGE(OFFSET($H$3,0,0,'Données projet'!$E$13+1,1))</f>
        <v>592.58528889137358</v>
      </c>
      <c r="CZ146" s="59">
        <f t="shared" si="150"/>
        <v>311.31528020403709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229.77417732678416</v>
      </c>
      <c r="DG146" s="21">
        <f>EXP(-LN(2)/25)*DG145+(1-EXP(-LN(2)/25))/(LN(2)/25)*Calculateur!DB146*Calculateur!DD146*VLOOKUP('Données projet'!$B$13,Paramètres!$A$1:$I$89,3,0)*0.475*44/12</f>
        <v>0</v>
      </c>
      <c r="DH146" s="21">
        <f>EXP(-LN(2)/2)*DH145+(1-EXP(-LN(2)/2))/(LN(2)/2)*DB146*DE146*VLOOKUP('Données projet'!$B$13,Paramètres!$A$1:$I$89,3,0)*0.475*44/12</f>
        <v>0</v>
      </c>
      <c r="DI146" s="22">
        <f t="shared" si="123"/>
        <v>229.77417732678416</v>
      </c>
      <c r="DJ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2">
        <f>'Scénario référence'!$B$16*5+'Scénario référence'!$B$17*0+'Scénario référence'!$B$18*5</f>
        <v>5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66">
        <f t="shared" si="110"/>
        <v>183.33333333333334</v>
      </c>
      <c r="I147" s="6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19.8100000000004</v>
      </c>
      <c r="O147" s="13">
        <f>N147*VLOOKUP('Données projet'!$B$9,Paramètres!$A$1:$I$89,3,0)*VLOOKUP('Données projet'!$B$9,Paramètres!$A$1:$I$89,5,0)</f>
        <v>17.924088000000364</v>
      </c>
      <c r="P147" s="13">
        <f t="shared" si="141"/>
        <v>5.9032212091029486</v>
      </c>
      <c r="Q147" s="20">
        <f t="shared" si="108"/>
        <v>41.499230205854936</v>
      </c>
      <c r="R147" s="59">
        <f t="shared" si="109"/>
        <v>327.45709958714781</v>
      </c>
      <c r="S147" s="59">
        <f ca="1">AVERAGE(OFFSET($R$3,0,0,'Données projet'!$E$9+1,1))-AVERAGE(OFFSET($H$3,0,0,'Données projet'!$E$9+1,1))</f>
        <v>567.42635821507474</v>
      </c>
      <c r="T147" s="59">
        <f t="shared" si="142"/>
        <v>299.04735309930152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214.18966983202131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214.18966983202131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404.00000000000017</v>
      </c>
      <c r="AJ147" s="13">
        <f>AI147*VLOOKUP('Données projet'!$B$10,Paramètres!$A$1:$I$89,3,0)*VLOOKUP('Données projet'!$B$10,Paramètres!$A$1:$I$89,5,0)</f>
        <v>346.63200000000018</v>
      </c>
      <c r="AK147" s="13">
        <f t="shared" si="143"/>
        <v>80.868615263336864</v>
      </c>
      <c r="AL147" s="20">
        <f t="shared" si="112"/>
        <v>744.56357158364528</v>
      </c>
      <c r="AM147" s="59">
        <f t="shared" si="113"/>
        <v>1030.5214409649382</v>
      </c>
      <c r="AN147" s="59">
        <f ca="1">AVERAGE(OFFSET($AM$3,0,0,'Données projet'!$E$10+1,1))-AVERAGE(OFFSET($H$3,0,0,'Données projet'!$E$10+1,1))</f>
        <v>481.23392184981651</v>
      </c>
      <c r="AO147" s="59">
        <f t="shared" si="144"/>
        <v>275.88160405468193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62.142262270190557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62.142262270190557</v>
      </c>
      <c r="AY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328.00000000000006</v>
      </c>
      <c r="BE147" s="13">
        <f>BD147*VLOOKUP('Données projet'!$B$11,Paramètres!$A$1:$I$89,3,0)*VLOOKUP('Données projet'!$B$11,Paramètres!$A$1:$I$89,5,0)</f>
        <v>255.84000000000006</v>
      </c>
      <c r="BF147" s="13">
        <f t="shared" si="145"/>
        <v>61.834803371075836</v>
      </c>
      <c r="BG147" s="20">
        <f t="shared" si="115"/>
        <v>553.28361587129041</v>
      </c>
      <c r="BH147" s="59">
        <f t="shared" si="116"/>
        <v>839.24148525258329</v>
      </c>
      <c r="BI147" s="59">
        <f ca="1">AVERAGE(OFFSET($BH$3,0,0,'Données projet'!$E$11+1,1))-AVERAGE(OFFSET($H$3,0,0,'Données projet'!$E$11+1,1))</f>
        <v>308.85018589589453</v>
      </c>
      <c r="BJ147" s="59">
        <f t="shared" si="146"/>
        <v>302.59481222418219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11.407634253413972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11.407634253413972</v>
      </c>
      <c r="BT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19.8100000000004</v>
      </c>
      <c r="BZ147" s="13">
        <f>BY147*VLOOKUP('Données projet'!$B$12,Paramètres!$A$1:$I$89,3,0)*VLOOKUP('Données projet'!$B$12,Paramètres!$A$1:$I$89,5,0)</f>
        <v>19.160232000000388</v>
      </c>
      <c r="CA147" s="13">
        <f t="shared" si="147"/>
        <v>6.2615431735370342</v>
      </c>
      <c r="CB147" s="20">
        <f t="shared" si="118"/>
        <v>44.27625842724435</v>
      </c>
      <c r="CC147" s="59">
        <f t="shared" si="119"/>
        <v>330.23412780853721</v>
      </c>
      <c r="CD147" s="59">
        <f ca="1">AVERAGE(OFFSET($CC$3,0,0,'Données projet'!$E$12+1,1))-AVERAGE(OFFSET($H$3,0,0,'Données projet'!$E$12+1,1))</f>
        <v>600.96600099724276</v>
      </c>
      <c r="CE147" s="59">
        <f t="shared" si="148"/>
        <v>315.40159260706264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228.96137119974685</v>
      </c>
      <c r="CL147" s="21">
        <f>EXP(-LN(2)/25)*CL146+(1-EXP(-LN(2)/25))/(LN(2)/25)*Calculateur!CG147*Calculateur!CI147*VLOOKUP('Données projet'!$B$12,Paramètres!$A$1:$I$89,3,0)*0.475*44/12</f>
        <v>0</v>
      </c>
      <c r="CM147" s="21">
        <f>EXP(-LN(2)/2)*CM146+(1-EXP(-LN(2)/2))/(LN(2)/2)*CG147*CJ147*VLOOKUP('Données projet'!$B$12,Paramètres!$A$1:$I$89,3,0)*0.475*44/12</f>
        <v>0</v>
      </c>
      <c r="CN147" s="22">
        <f t="shared" si="120"/>
        <v>228.96137119974685</v>
      </c>
      <c r="CO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19.8100000000004</v>
      </c>
      <c r="CU147" s="17">
        <f>CT147*VLOOKUP('Données projet'!$B$13,Paramètres!$A$1:$I$89,3,0)*VLOOKUP('Données projet'!$B$13,Paramètres!$A$1:$I$89,5,0)</f>
        <v>18.851196000000382</v>
      </c>
      <c r="CV147" s="13">
        <f t="shared" si="149"/>
        <v>6.172221809210666</v>
      </c>
      <c r="CW147" s="20">
        <f t="shared" si="121"/>
        <v>43.582452684375909</v>
      </c>
      <c r="CX147" s="59">
        <f t="shared" si="122"/>
        <v>329.54032206566876</v>
      </c>
      <c r="CY147" s="59">
        <f ca="1">AVERAGE(OFFSET($CX$3,0,0,'Données projet'!$E$13+1,1))-AVERAGE(OFFSET($H$3,0,0,'Données projet'!$E$13+1,1))</f>
        <v>592.58528889137358</v>
      </c>
      <c r="CZ147" s="59">
        <f t="shared" si="150"/>
        <v>311.31528020403709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225.26844585781558</v>
      </c>
      <c r="DG147" s="21">
        <f>EXP(-LN(2)/25)*DG146+(1-EXP(-LN(2)/25))/(LN(2)/25)*Calculateur!DB147*Calculateur!DD147*VLOOKUP('Données projet'!$B$13,Paramètres!$A$1:$I$89,3,0)*0.475*44/12</f>
        <v>0</v>
      </c>
      <c r="DH147" s="21">
        <f>EXP(-LN(2)/2)*DH146+(1-EXP(-LN(2)/2))/(LN(2)/2)*DB147*DE147*VLOOKUP('Données projet'!$B$13,Paramètres!$A$1:$I$89,3,0)*0.475*44/12</f>
        <v>0</v>
      </c>
      <c r="DI147" s="22">
        <f t="shared" si="123"/>
        <v>225.26844585781558</v>
      </c>
      <c r="DJ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2">
        <f>'Scénario référence'!$B$16*5+'Scénario référence'!$B$17*0+'Scénario référence'!$B$18*5</f>
        <v>5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66">
        <f t="shared" si="110"/>
        <v>183.33333333333334</v>
      </c>
      <c r="I148" s="6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19.8100000000004</v>
      </c>
      <c r="O148" s="13">
        <f>N148*VLOOKUP('Données projet'!$B$9,Paramètres!$A$1:$I$89,3,0)*VLOOKUP('Données projet'!$B$9,Paramètres!$A$1:$I$89,5,0)</f>
        <v>17.924088000000364</v>
      </c>
      <c r="P148" s="13">
        <f t="shared" si="141"/>
        <v>5.9032212091029486</v>
      </c>
      <c r="Q148" s="20">
        <f t="shared" si="108"/>
        <v>41.499230205854936</v>
      </c>
      <c r="R148" s="59">
        <f t="shared" si="109"/>
        <v>327.58504739764851</v>
      </c>
      <c r="S148" s="59">
        <f ca="1">AVERAGE(OFFSET($R$3,0,0,'Données projet'!$E$9+1,1))-AVERAGE(OFFSET($H$3,0,0,'Données projet'!$E$9+1,1))</f>
        <v>567.42635821507474</v>
      </c>
      <c r="T148" s="59">
        <f t="shared" si="142"/>
        <v>299.04735309930152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209.98954104941407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209.98954104941407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404.00000000000017</v>
      </c>
      <c r="AJ148" s="13">
        <f>AI148*VLOOKUP('Données projet'!$B$10,Paramètres!$A$1:$I$89,3,0)*VLOOKUP('Données projet'!$B$10,Paramètres!$A$1:$I$89,5,0)</f>
        <v>346.63200000000018</v>
      </c>
      <c r="AK148" s="13">
        <f t="shared" si="143"/>
        <v>80.868615263336864</v>
      </c>
      <c r="AL148" s="20">
        <f t="shared" si="112"/>
        <v>744.56357158364528</v>
      </c>
      <c r="AM148" s="59">
        <f t="shared" si="113"/>
        <v>1030.6493887754389</v>
      </c>
      <c r="AN148" s="59">
        <f ca="1">AVERAGE(OFFSET($AM$3,0,0,'Données projet'!$E$10+1,1))-AVERAGE(OFFSET($H$3,0,0,'Données projet'!$E$10+1,1))</f>
        <v>481.23392184981651</v>
      </c>
      <c r="AO148" s="59">
        <f t="shared" si="144"/>
        <v>275.88160405468193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60.923690410109494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60.923690410109494</v>
      </c>
      <c r="AY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328.00000000000006</v>
      </c>
      <c r="BE148" s="13">
        <f>BD148*VLOOKUP('Données projet'!$B$11,Paramètres!$A$1:$I$89,3,0)*VLOOKUP('Données projet'!$B$11,Paramètres!$A$1:$I$89,5,0)</f>
        <v>255.84000000000006</v>
      </c>
      <c r="BF148" s="13">
        <f t="shared" si="145"/>
        <v>61.834803371075836</v>
      </c>
      <c r="BG148" s="20">
        <f t="shared" si="115"/>
        <v>553.28361587129041</v>
      </c>
      <c r="BH148" s="59">
        <f t="shared" si="116"/>
        <v>839.36943306308399</v>
      </c>
      <c r="BI148" s="59">
        <f ca="1">AVERAGE(OFFSET($BH$3,0,0,'Données projet'!$E$11+1,1))-AVERAGE(OFFSET($H$3,0,0,'Données projet'!$E$11+1,1))</f>
        <v>308.85018589589453</v>
      </c>
      <c r="BJ148" s="59">
        <f t="shared" si="146"/>
        <v>302.59481222418219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11.183937503674377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11.183937503674377</v>
      </c>
      <c r="BT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19.8100000000004</v>
      </c>
      <c r="BZ148" s="13">
        <f>BY148*VLOOKUP('Données projet'!$B$12,Paramètres!$A$1:$I$89,3,0)*VLOOKUP('Données projet'!$B$12,Paramètres!$A$1:$I$89,5,0)</f>
        <v>19.160232000000388</v>
      </c>
      <c r="CA148" s="13">
        <f t="shared" si="147"/>
        <v>6.2615431735370342</v>
      </c>
      <c r="CB148" s="20">
        <f t="shared" si="118"/>
        <v>44.27625842724435</v>
      </c>
      <c r="CC148" s="59">
        <f t="shared" si="119"/>
        <v>330.36207561903791</v>
      </c>
      <c r="CD148" s="59">
        <f ca="1">AVERAGE(OFFSET($CC$3,0,0,'Données projet'!$E$12+1,1))-AVERAGE(OFFSET($H$3,0,0,'Données projet'!$E$12+1,1))</f>
        <v>600.96600099724276</v>
      </c>
      <c r="CE148" s="59">
        <f t="shared" si="148"/>
        <v>315.40159260706264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224.47157836316669</v>
      </c>
      <c r="CL148" s="21">
        <f>EXP(-LN(2)/25)*CL147+(1-EXP(-LN(2)/25))/(LN(2)/25)*Calculateur!CG148*Calculateur!CI148*VLOOKUP('Données projet'!$B$12,Paramètres!$A$1:$I$89,3,0)*0.475*44/12</f>
        <v>0</v>
      </c>
      <c r="CM148" s="21">
        <f>EXP(-LN(2)/2)*CM147+(1-EXP(-LN(2)/2))/(LN(2)/2)*CG148*CJ148*VLOOKUP('Données projet'!$B$12,Paramètres!$A$1:$I$89,3,0)*0.475*44/12</f>
        <v>0</v>
      </c>
      <c r="CN148" s="22">
        <f t="shared" si="120"/>
        <v>224.47157836316669</v>
      </c>
      <c r="CO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19.8100000000004</v>
      </c>
      <c r="CU148" s="17">
        <f>CT148*VLOOKUP('Données projet'!$B$13,Paramètres!$A$1:$I$89,3,0)*VLOOKUP('Données projet'!$B$13,Paramètres!$A$1:$I$89,5,0)</f>
        <v>18.851196000000382</v>
      </c>
      <c r="CV148" s="13">
        <f t="shared" si="149"/>
        <v>6.172221809210666</v>
      </c>
      <c r="CW148" s="20">
        <f t="shared" si="121"/>
        <v>43.582452684375909</v>
      </c>
      <c r="CX148" s="59">
        <f t="shared" si="122"/>
        <v>329.66826987616946</v>
      </c>
      <c r="CY148" s="59">
        <f ca="1">AVERAGE(OFFSET($CX$3,0,0,'Données projet'!$E$13+1,1))-AVERAGE(OFFSET($H$3,0,0,'Données projet'!$E$13+1,1))</f>
        <v>592.58528889137358</v>
      </c>
      <c r="CZ148" s="59">
        <f t="shared" si="150"/>
        <v>311.31528020403709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220.85106903472865</v>
      </c>
      <c r="DG148" s="21">
        <f>EXP(-LN(2)/25)*DG147+(1-EXP(-LN(2)/25))/(LN(2)/25)*Calculateur!DB148*Calculateur!DD148*VLOOKUP('Données projet'!$B$13,Paramètres!$A$1:$I$89,3,0)*0.475*44/12</f>
        <v>0</v>
      </c>
      <c r="DH148" s="21">
        <f>EXP(-LN(2)/2)*DH147+(1-EXP(-LN(2)/2))/(LN(2)/2)*DB148*DE148*VLOOKUP('Données projet'!$B$13,Paramètres!$A$1:$I$89,3,0)*0.475*44/12</f>
        <v>0</v>
      </c>
      <c r="DI148" s="22">
        <f t="shared" si="123"/>
        <v>220.85106903472865</v>
      </c>
      <c r="DJ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2">
        <f>'Scénario référence'!$B$16*5+'Scénario référence'!$B$17*0+'Scénario référence'!$B$18*5</f>
        <v>5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66">
        <f t="shared" si="110"/>
        <v>183.33333333333334</v>
      </c>
      <c r="I149" s="6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19.8100000000004</v>
      </c>
      <c r="O149" s="13">
        <f>N149*VLOOKUP('Données projet'!$B$9,Paramètres!$A$1:$I$89,3,0)*VLOOKUP('Données projet'!$B$9,Paramètres!$A$1:$I$89,5,0)</f>
        <v>17.924088000000364</v>
      </c>
      <c r="P149" s="13">
        <f t="shared" si="141"/>
        <v>5.9032212091029486</v>
      </c>
      <c r="Q149" s="20">
        <f t="shared" si="108"/>
        <v>41.499230205854936</v>
      </c>
      <c r="R149" s="59">
        <f t="shared" si="109"/>
        <v>327.71077559968558</v>
      </c>
      <c r="S149" s="59">
        <f ca="1">AVERAGE(OFFSET($R$3,0,0,'Données projet'!$E$9+1,1))-AVERAGE(OFFSET($H$3,0,0,'Données projet'!$E$9+1,1))</f>
        <v>567.42635821507474</v>
      </c>
      <c r="T149" s="59">
        <f t="shared" si="142"/>
        <v>299.04735309930152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205.87177423040816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205.87177423040816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404.00000000000017</v>
      </c>
      <c r="AJ149" s="13">
        <f>AI149*VLOOKUP('Données projet'!$B$10,Paramètres!$A$1:$I$89,3,0)*VLOOKUP('Données projet'!$B$10,Paramètres!$A$1:$I$89,5,0)</f>
        <v>346.63200000000018</v>
      </c>
      <c r="AK149" s="13">
        <f t="shared" si="143"/>
        <v>80.868615263336864</v>
      </c>
      <c r="AL149" s="20">
        <f t="shared" si="112"/>
        <v>744.56357158364528</v>
      </c>
      <c r="AM149" s="59">
        <f t="shared" si="113"/>
        <v>1030.775116977476</v>
      </c>
      <c r="AN149" s="59">
        <f ca="1">AVERAGE(OFFSET($AM$3,0,0,'Données projet'!$E$10+1,1))-AVERAGE(OFFSET($H$3,0,0,'Données projet'!$E$10+1,1))</f>
        <v>481.23392184981651</v>
      </c>
      <c r="AO149" s="59">
        <f t="shared" si="144"/>
        <v>275.88160405468193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59.729014000949171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59.729014000949171</v>
      </c>
      <c r="AY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328.00000000000006</v>
      </c>
      <c r="BE149" s="13">
        <f>BD149*VLOOKUP('Données projet'!$B$11,Paramètres!$A$1:$I$89,3,0)*VLOOKUP('Données projet'!$B$11,Paramètres!$A$1:$I$89,5,0)</f>
        <v>255.84000000000006</v>
      </c>
      <c r="BF149" s="13">
        <f t="shared" si="145"/>
        <v>61.834803371075836</v>
      </c>
      <c r="BG149" s="20">
        <f t="shared" si="115"/>
        <v>553.28361587129041</v>
      </c>
      <c r="BH149" s="59">
        <f t="shared" si="116"/>
        <v>839.49516126512106</v>
      </c>
      <c r="BI149" s="59">
        <f ca="1">AVERAGE(OFFSET($BH$3,0,0,'Données projet'!$E$11+1,1))-AVERAGE(OFFSET($H$3,0,0,'Données projet'!$E$11+1,1))</f>
        <v>308.85018589589453</v>
      </c>
      <c r="BJ149" s="59">
        <f t="shared" si="146"/>
        <v>302.59481222418219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10.964627310755629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10.964627310755629</v>
      </c>
      <c r="BT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19.8100000000004</v>
      </c>
      <c r="BZ149" s="13">
        <f>BY149*VLOOKUP('Données projet'!$B$12,Paramètres!$A$1:$I$89,3,0)*VLOOKUP('Données projet'!$B$12,Paramètres!$A$1:$I$89,5,0)</f>
        <v>19.160232000000388</v>
      </c>
      <c r="CA149" s="13">
        <f t="shared" si="147"/>
        <v>6.2615431735370342</v>
      </c>
      <c r="CB149" s="20">
        <f t="shared" si="118"/>
        <v>44.27625842724435</v>
      </c>
      <c r="CC149" s="59">
        <f t="shared" si="119"/>
        <v>330.48780382107498</v>
      </c>
      <c r="CD149" s="59">
        <f ca="1">AVERAGE(OFFSET($CC$3,0,0,'Données projet'!$E$12+1,1))-AVERAGE(OFFSET($H$3,0,0,'Données projet'!$E$12+1,1))</f>
        <v>600.96600099724276</v>
      </c>
      <c r="CE149" s="59">
        <f t="shared" si="148"/>
        <v>315.40159260706264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220.06982762560864</v>
      </c>
      <c r="CL149" s="21">
        <f>EXP(-LN(2)/25)*CL148+(1-EXP(-LN(2)/25))/(LN(2)/25)*Calculateur!CG149*Calculateur!CI149*VLOOKUP('Données projet'!$B$12,Paramètres!$A$1:$I$89,3,0)*0.475*44/12</f>
        <v>0</v>
      </c>
      <c r="CM149" s="21">
        <f>EXP(-LN(2)/2)*CM148+(1-EXP(-LN(2)/2))/(LN(2)/2)*CG149*CJ149*VLOOKUP('Données projet'!$B$12,Paramètres!$A$1:$I$89,3,0)*0.475*44/12</f>
        <v>0</v>
      </c>
      <c r="CN149" s="22">
        <f t="shared" si="120"/>
        <v>220.06982762560864</v>
      </c>
      <c r="CO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19.8100000000004</v>
      </c>
      <c r="CU149" s="17">
        <f>CT149*VLOOKUP('Données projet'!$B$13,Paramètres!$A$1:$I$89,3,0)*VLOOKUP('Données projet'!$B$13,Paramètres!$A$1:$I$89,5,0)</f>
        <v>18.851196000000382</v>
      </c>
      <c r="CV149" s="13">
        <f t="shared" si="149"/>
        <v>6.172221809210666</v>
      </c>
      <c r="CW149" s="20">
        <f t="shared" si="121"/>
        <v>43.582452684375909</v>
      </c>
      <c r="CX149" s="59">
        <f t="shared" si="122"/>
        <v>329.79399807820653</v>
      </c>
      <c r="CY149" s="59">
        <f ca="1">AVERAGE(OFFSET($CX$3,0,0,'Données projet'!$E$13+1,1))-AVERAGE(OFFSET($H$3,0,0,'Données projet'!$E$13+1,1))</f>
        <v>592.58528889137358</v>
      </c>
      <c r="CZ149" s="59">
        <f t="shared" si="150"/>
        <v>311.31528020403709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216.52031427680865</v>
      </c>
      <c r="DG149" s="21">
        <f>EXP(-LN(2)/25)*DG148+(1-EXP(-LN(2)/25))/(LN(2)/25)*Calculateur!DB149*Calculateur!DD149*VLOOKUP('Données projet'!$B$13,Paramètres!$A$1:$I$89,3,0)*0.475*44/12</f>
        <v>0</v>
      </c>
      <c r="DH149" s="21">
        <f>EXP(-LN(2)/2)*DH148+(1-EXP(-LN(2)/2))/(LN(2)/2)*DB149*DE149*VLOOKUP('Données projet'!$B$13,Paramètres!$A$1:$I$89,3,0)*0.475*44/12</f>
        <v>0</v>
      </c>
      <c r="DI149" s="22">
        <f t="shared" si="123"/>
        <v>216.52031427680865</v>
      </c>
      <c r="DJ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2">
        <f>'Scénario référence'!$B$16*5+'Scénario référence'!$B$17*0+'Scénario référence'!$B$18*5</f>
        <v>5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66">
        <f t="shared" si="110"/>
        <v>183.33333333333334</v>
      </c>
      <c r="I150" s="6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19.8100000000004</v>
      </c>
      <c r="O150" s="13">
        <f>N150*VLOOKUP('Données projet'!$B$9,Paramètres!$A$1:$I$89,3,0)*VLOOKUP('Données projet'!$B$9,Paramètres!$A$1:$I$89,5,0)</f>
        <v>17.924088000000364</v>
      </c>
      <c r="P150" s="13">
        <f t="shared" si="141"/>
        <v>5.9032212091029486</v>
      </c>
      <c r="Q150" s="20">
        <f t="shared" si="108"/>
        <v>41.499230205854936</v>
      </c>
      <c r="R150" s="59">
        <f t="shared" si="109"/>
        <v>327.83432269850334</v>
      </c>
      <c r="S150" s="59">
        <f ca="1">AVERAGE(OFFSET($R$3,0,0,'Données projet'!$E$9+1,1))-AVERAGE(OFFSET($H$3,0,0,'Données projet'!$E$9+1,1))</f>
        <v>567.42635821507474</v>
      </c>
      <c r="T150" s="59">
        <f t="shared" si="142"/>
        <v>299.04735309930152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201.83475430713318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201.83475430713318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404.00000000000017</v>
      </c>
      <c r="AJ150" s="13">
        <f>AI150*VLOOKUP('Données projet'!$B$10,Paramètres!$A$1:$I$89,3,0)*VLOOKUP('Données projet'!$B$10,Paramètres!$A$1:$I$89,5,0)</f>
        <v>346.63200000000018</v>
      </c>
      <c r="AK150" s="13">
        <f t="shared" si="143"/>
        <v>80.868615263336864</v>
      </c>
      <c r="AL150" s="20">
        <f t="shared" si="112"/>
        <v>744.56357158364528</v>
      </c>
      <c r="AM150" s="59">
        <f t="shared" si="113"/>
        <v>1030.8986640762937</v>
      </c>
      <c r="AN150" s="59">
        <f ca="1">AVERAGE(OFFSET($AM$3,0,0,'Données projet'!$E$10+1,1))-AVERAGE(OFFSET($H$3,0,0,'Données projet'!$E$10+1,1))</f>
        <v>481.23392184981651</v>
      </c>
      <c r="AO150" s="59">
        <f t="shared" si="144"/>
        <v>275.88160405468193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58.557764467491829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58.557764467491829</v>
      </c>
      <c r="AY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328.00000000000006</v>
      </c>
      <c r="BE150" s="13">
        <f>BD150*VLOOKUP('Données projet'!$B$11,Paramètres!$A$1:$I$89,3,0)*VLOOKUP('Données projet'!$B$11,Paramètres!$A$1:$I$89,5,0)</f>
        <v>255.84000000000006</v>
      </c>
      <c r="BF150" s="13">
        <f t="shared" si="145"/>
        <v>61.834803371075836</v>
      </c>
      <c r="BG150" s="20">
        <f t="shared" si="115"/>
        <v>553.28361587129041</v>
      </c>
      <c r="BH150" s="59">
        <f t="shared" si="116"/>
        <v>839.61870836393882</v>
      </c>
      <c r="BI150" s="59">
        <f ca="1">AVERAGE(OFFSET($BH$3,0,0,'Données projet'!$E$11+1,1))-AVERAGE(OFFSET($H$3,0,0,'Données projet'!$E$11+1,1))</f>
        <v>308.85018589589453</v>
      </c>
      <c r="BJ150" s="59">
        <f t="shared" si="146"/>
        <v>302.59481222418219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10.74961765695401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10.74961765695401</v>
      </c>
      <c r="BT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19.8100000000004</v>
      </c>
      <c r="BZ150" s="13">
        <f>BY150*VLOOKUP('Données projet'!$B$12,Paramètres!$A$1:$I$89,3,0)*VLOOKUP('Données projet'!$B$12,Paramètres!$A$1:$I$89,5,0)</f>
        <v>19.160232000000388</v>
      </c>
      <c r="CA150" s="13">
        <f t="shared" si="147"/>
        <v>6.2615431735370342</v>
      </c>
      <c r="CB150" s="20">
        <f t="shared" si="118"/>
        <v>44.27625842724435</v>
      </c>
      <c r="CC150" s="59">
        <f t="shared" si="119"/>
        <v>330.61135091989274</v>
      </c>
      <c r="CD150" s="59">
        <f ca="1">AVERAGE(OFFSET($CC$3,0,0,'Données projet'!$E$12+1,1))-AVERAGE(OFFSET($H$3,0,0,'Données projet'!$E$12+1,1))</f>
        <v>600.96600099724276</v>
      </c>
      <c r="CE150" s="59">
        <f t="shared" si="148"/>
        <v>315.40159260706264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215.75439253521125</v>
      </c>
      <c r="CL150" s="21">
        <f>EXP(-LN(2)/25)*CL149+(1-EXP(-LN(2)/25))/(LN(2)/25)*Calculateur!CG150*Calculateur!CI150*VLOOKUP('Données projet'!$B$12,Paramètres!$A$1:$I$89,3,0)*0.475*44/12</f>
        <v>0</v>
      </c>
      <c r="CM150" s="21">
        <f>EXP(-LN(2)/2)*CM149+(1-EXP(-LN(2)/2))/(LN(2)/2)*CG150*CJ150*VLOOKUP('Données projet'!$B$12,Paramètres!$A$1:$I$89,3,0)*0.475*44/12</f>
        <v>0</v>
      </c>
      <c r="CN150" s="22">
        <f t="shared" si="120"/>
        <v>215.75439253521125</v>
      </c>
      <c r="CO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19.8100000000004</v>
      </c>
      <c r="CU150" s="17">
        <f>CT150*VLOOKUP('Données projet'!$B$13,Paramètres!$A$1:$I$89,3,0)*VLOOKUP('Données projet'!$B$13,Paramètres!$A$1:$I$89,5,0)</f>
        <v>18.851196000000382</v>
      </c>
      <c r="CV150" s="13">
        <f t="shared" si="149"/>
        <v>6.172221809210666</v>
      </c>
      <c r="CW150" s="20">
        <f t="shared" si="121"/>
        <v>43.582452684375909</v>
      </c>
      <c r="CX150" s="59">
        <f t="shared" si="122"/>
        <v>329.91754517702429</v>
      </c>
      <c r="CY150" s="59">
        <f ca="1">AVERAGE(OFFSET($CX$3,0,0,'Données projet'!$E$13+1,1))-AVERAGE(OFFSET($H$3,0,0,'Données projet'!$E$13+1,1))</f>
        <v>592.58528889137358</v>
      </c>
      <c r="CZ150" s="59">
        <f t="shared" si="150"/>
        <v>311.31528020403709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212.27448297819186</v>
      </c>
      <c r="DG150" s="21">
        <f>EXP(-LN(2)/25)*DG149+(1-EXP(-LN(2)/25))/(LN(2)/25)*Calculateur!DB150*Calculateur!DD150*VLOOKUP('Données projet'!$B$13,Paramètres!$A$1:$I$89,3,0)*0.475*44/12</f>
        <v>0</v>
      </c>
      <c r="DH150" s="21">
        <f>EXP(-LN(2)/2)*DH149+(1-EXP(-LN(2)/2))/(LN(2)/2)*DB150*DE150*VLOOKUP('Données projet'!$B$13,Paramètres!$A$1:$I$89,3,0)*0.475*44/12</f>
        <v>0</v>
      </c>
      <c r="DI150" s="22">
        <f t="shared" si="123"/>
        <v>212.27448297819186</v>
      </c>
      <c r="DJ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2">
        <f>'Scénario référence'!$B$16*5+'Scénario référence'!$B$17*0+'Scénario référence'!$B$18*5</f>
        <v>5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66">
        <f t="shared" si="110"/>
        <v>183.33333333333334</v>
      </c>
      <c r="I151" s="6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19.8100000000004</v>
      </c>
      <c r="O151" s="13">
        <f>N151*VLOOKUP('Données projet'!$B$9,Paramètres!$A$1:$I$89,3,0)*VLOOKUP('Données projet'!$B$9,Paramètres!$A$1:$I$89,5,0)</f>
        <v>17.924088000000364</v>
      </c>
      <c r="P151" s="13">
        <f t="shared" si="141"/>
        <v>5.9032212091029486</v>
      </c>
      <c r="Q151" s="20">
        <f t="shared" si="108"/>
        <v>41.499230205854936</v>
      </c>
      <c r="R151" s="59">
        <f t="shared" si="109"/>
        <v>327.95572653136662</v>
      </c>
      <c r="S151" s="59">
        <f ca="1">AVERAGE(OFFSET($R$3,0,0,'Données projet'!$E$9+1,1))-AVERAGE(OFFSET($H$3,0,0,'Données projet'!$E$9+1,1))</f>
        <v>567.42635821507474</v>
      </c>
      <c r="T151" s="59">
        <f t="shared" si="142"/>
        <v>299.04735309930152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197.87689788221462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197.87689788221462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404.00000000000017</v>
      </c>
      <c r="AJ151" s="13">
        <f>AI151*VLOOKUP('Données projet'!$B$10,Paramètres!$A$1:$I$89,3,0)*VLOOKUP('Données projet'!$B$10,Paramètres!$A$1:$I$89,5,0)</f>
        <v>346.63200000000018</v>
      </c>
      <c r="AK151" s="13">
        <f t="shared" si="143"/>
        <v>80.868615263336864</v>
      </c>
      <c r="AL151" s="20">
        <f t="shared" si="112"/>
        <v>744.56357158364528</v>
      </c>
      <c r="AM151" s="59">
        <f t="shared" si="113"/>
        <v>1031.020067909157</v>
      </c>
      <c r="AN151" s="59">
        <f ca="1">AVERAGE(OFFSET($AM$3,0,0,'Données projet'!$E$10+1,1))-AVERAGE(OFFSET($H$3,0,0,'Données projet'!$E$10+1,1))</f>
        <v>481.23392184981651</v>
      </c>
      <c r="AO151" s="59">
        <f t="shared" si="144"/>
        <v>275.88160405468193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57.409482422993911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57.409482422993911</v>
      </c>
      <c r="AY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328.00000000000006</v>
      </c>
      <c r="BE151" s="13">
        <f>BD151*VLOOKUP('Données projet'!$B$11,Paramètres!$A$1:$I$89,3,0)*VLOOKUP('Données projet'!$B$11,Paramètres!$A$1:$I$89,5,0)</f>
        <v>255.84000000000006</v>
      </c>
      <c r="BF151" s="13">
        <f t="shared" si="145"/>
        <v>61.834803371075836</v>
      </c>
      <c r="BG151" s="20">
        <f t="shared" si="115"/>
        <v>553.28361587129041</v>
      </c>
      <c r="BH151" s="59">
        <f t="shared" si="116"/>
        <v>839.7401121968021</v>
      </c>
      <c r="BI151" s="59">
        <f ca="1">AVERAGE(OFFSET($BH$3,0,0,'Données projet'!$E$11+1,1))-AVERAGE(OFFSET($H$3,0,0,'Données projet'!$E$11+1,1))</f>
        <v>308.85018589589453</v>
      </c>
      <c r="BJ151" s="59">
        <f t="shared" si="146"/>
        <v>302.59481222418219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10.538824211320501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10.538824211320501</v>
      </c>
      <c r="BT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19.8100000000004</v>
      </c>
      <c r="BZ151" s="13">
        <f>BY151*VLOOKUP('Données projet'!$B$12,Paramètres!$A$1:$I$89,3,0)*VLOOKUP('Données projet'!$B$12,Paramètres!$A$1:$I$89,5,0)</f>
        <v>19.160232000000388</v>
      </c>
      <c r="CA151" s="13">
        <f t="shared" si="147"/>
        <v>6.2615431735370342</v>
      </c>
      <c r="CB151" s="20">
        <f t="shared" si="118"/>
        <v>44.27625842724435</v>
      </c>
      <c r="CC151" s="59">
        <f t="shared" si="119"/>
        <v>330.73275475275602</v>
      </c>
      <c r="CD151" s="59">
        <f ca="1">AVERAGE(OFFSET($CC$3,0,0,'Données projet'!$E$12+1,1))-AVERAGE(OFFSET($H$3,0,0,'Données projet'!$E$12+1,1))</f>
        <v>600.96600099724276</v>
      </c>
      <c r="CE151" s="59">
        <f t="shared" si="148"/>
        <v>315.40159260706264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211.52358049478107</v>
      </c>
      <c r="CL151" s="21">
        <f>EXP(-LN(2)/25)*CL150+(1-EXP(-LN(2)/25))/(LN(2)/25)*Calculateur!CG151*Calculateur!CI151*VLOOKUP('Données projet'!$B$12,Paramètres!$A$1:$I$89,3,0)*0.475*44/12</f>
        <v>0</v>
      </c>
      <c r="CM151" s="21">
        <f>EXP(-LN(2)/2)*CM150+(1-EXP(-LN(2)/2))/(LN(2)/2)*CG151*CJ151*VLOOKUP('Données projet'!$B$12,Paramètres!$A$1:$I$89,3,0)*0.475*44/12</f>
        <v>0</v>
      </c>
      <c r="CN151" s="22">
        <f t="shared" si="120"/>
        <v>211.52358049478107</v>
      </c>
      <c r="CO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19.8100000000004</v>
      </c>
      <c r="CU151" s="17">
        <f>CT151*VLOOKUP('Données projet'!$B$13,Paramètres!$A$1:$I$89,3,0)*VLOOKUP('Données projet'!$B$13,Paramètres!$A$1:$I$89,5,0)</f>
        <v>18.851196000000382</v>
      </c>
      <c r="CV151" s="13">
        <f t="shared" si="149"/>
        <v>6.172221809210666</v>
      </c>
      <c r="CW151" s="20">
        <f t="shared" si="121"/>
        <v>43.582452684375909</v>
      </c>
      <c r="CX151" s="59">
        <f t="shared" si="122"/>
        <v>330.03894900988757</v>
      </c>
      <c r="CY151" s="59">
        <f ca="1">AVERAGE(OFFSET($CX$3,0,0,'Données projet'!$E$13+1,1))-AVERAGE(OFFSET($H$3,0,0,'Données projet'!$E$13+1,1))</f>
        <v>592.58528889137358</v>
      </c>
      <c r="CZ151" s="59">
        <f t="shared" si="150"/>
        <v>311.31528020403709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208.11190984163957</v>
      </c>
      <c r="DG151" s="21">
        <f>EXP(-LN(2)/25)*DG150+(1-EXP(-LN(2)/25))/(LN(2)/25)*Calculateur!DB151*Calculateur!DD151*VLOOKUP('Données projet'!$B$13,Paramètres!$A$1:$I$89,3,0)*0.475*44/12</f>
        <v>0</v>
      </c>
      <c r="DH151" s="21">
        <f>EXP(-LN(2)/2)*DH150+(1-EXP(-LN(2)/2))/(LN(2)/2)*DB151*DE151*VLOOKUP('Données projet'!$B$13,Paramètres!$A$1:$I$89,3,0)*0.475*44/12</f>
        <v>0</v>
      </c>
      <c r="DI151" s="22">
        <f t="shared" si="123"/>
        <v>208.11190984163957</v>
      </c>
      <c r="DJ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2">
        <f>'Scénario référence'!$B$16*5+'Scénario référence'!$B$17*0+'Scénario référence'!$B$18*5</f>
        <v>5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66">
        <f t="shared" si="110"/>
        <v>183.33333333333334</v>
      </c>
      <c r="I152" s="6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19.8100000000004</v>
      </c>
      <c r="O152" s="13">
        <f>N152*VLOOKUP('Données projet'!$B$9,Paramètres!$A$1:$I$89,3,0)*VLOOKUP('Données projet'!$B$9,Paramètres!$A$1:$I$89,5,0)</f>
        <v>17.924088000000364</v>
      </c>
      <c r="P152" s="13">
        <f t="shared" si="141"/>
        <v>5.9032212091029486</v>
      </c>
      <c r="Q152" s="20">
        <f t="shared" si="108"/>
        <v>41.499230205854936</v>
      </c>
      <c r="R152" s="59">
        <f t="shared" si="109"/>
        <v>328.07502427914801</v>
      </c>
      <c r="S152" s="59">
        <f ca="1">AVERAGE(OFFSET($R$3,0,0,'Données projet'!$E$9+1,1))-AVERAGE(OFFSET($H$3,0,0,'Données projet'!$E$9+1,1))</f>
        <v>567.42635821507474</v>
      </c>
      <c r="T152" s="59">
        <f t="shared" si="142"/>
        <v>299.04735309930152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193.99665260773466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193.99665260773466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404.00000000000017</v>
      </c>
      <c r="AJ152" s="13">
        <f>AI152*VLOOKUP('Données projet'!$B$10,Paramètres!$A$1:$I$89,3,0)*VLOOKUP('Données projet'!$B$10,Paramètres!$A$1:$I$89,5,0)</f>
        <v>346.63200000000018</v>
      </c>
      <c r="AK152" s="13">
        <f t="shared" si="143"/>
        <v>80.868615263336864</v>
      </c>
      <c r="AL152" s="20">
        <f t="shared" si="112"/>
        <v>744.56357158364528</v>
      </c>
      <c r="AM152" s="59">
        <f t="shared" si="113"/>
        <v>1031.1393656569385</v>
      </c>
      <c r="AN152" s="59">
        <f ca="1">AVERAGE(OFFSET($AM$3,0,0,'Données projet'!$E$10+1,1))-AVERAGE(OFFSET($H$3,0,0,'Données projet'!$E$10+1,1))</f>
        <v>481.23392184981651</v>
      </c>
      <c r="AO152" s="59">
        <f t="shared" si="144"/>
        <v>275.88160405468193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56.283717489005703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56.283717489005703</v>
      </c>
      <c r="AY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328.00000000000006</v>
      </c>
      <c r="BE152" s="13">
        <f>BD152*VLOOKUP('Données projet'!$B$11,Paramètres!$A$1:$I$89,3,0)*VLOOKUP('Données projet'!$B$11,Paramètres!$A$1:$I$89,5,0)</f>
        <v>255.84000000000006</v>
      </c>
      <c r="BF152" s="13">
        <f t="shared" si="145"/>
        <v>61.834803371075836</v>
      </c>
      <c r="BG152" s="20">
        <f t="shared" si="115"/>
        <v>553.28361587129041</v>
      </c>
      <c r="BH152" s="59">
        <f t="shared" si="116"/>
        <v>839.85940994458349</v>
      </c>
      <c r="BI152" s="59">
        <f ca="1">AVERAGE(OFFSET($BH$3,0,0,'Données projet'!$E$11+1,1))-AVERAGE(OFFSET($H$3,0,0,'Données projet'!$E$11+1,1))</f>
        <v>308.85018589589453</v>
      </c>
      <c r="BJ152" s="59">
        <f t="shared" si="146"/>
        <v>302.59481222418219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10.332164296584558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10.332164296584558</v>
      </c>
      <c r="BT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19.8100000000004</v>
      </c>
      <c r="BZ152" s="13">
        <f>BY152*VLOOKUP('Données projet'!$B$12,Paramètres!$A$1:$I$89,3,0)*VLOOKUP('Données projet'!$B$12,Paramètres!$A$1:$I$89,5,0)</f>
        <v>19.160232000000388</v>
      </c>
      <c r="CA152" s="13">
        <f t="shared" si="147"/>
        <v>6.2615431735370342</v>
      </c>
      <c r="CB152" s="20">
        <f t="shared" si="118"/>
        <v>44.27625842724435</v>
      </c>
      <c r="CC152" s="59">
        <f t="shared" si="119"/>
        <v>330.85205250053741</v>
      </c>
      <c r="CD152" s="59">
        <f ca="1">AVERAGE(OFFSET($CC$3,0,0,'Données projet'!$E$12+1,1))-AVERAGE(OFFSET($H$3,0,0,'Données projet'!$E$12+1,1))</f>
        <v>600.96600099724276</v>
      </c>
      <c r="CE152" s="59">
        <f t="shared" si="148"/>
        <v>315.40159260706264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207.37573209792319</v>
      </c>
      <c r="CL152" s="21">
        <f>EXP(-LN(2)/25)*CL151+(1-EXP(-LN(2)/25))/(LN(2)/25)*Calculateur!CG152*Calculateur!CI152*VLOOKUP('Données projet'!$B$12,Paramètres!$A$1:$I$89,3,0)*0.475*44/12</f>
        <v>0</v>
      </c>
      <c r="CM152" s="21">
        <f>EXP(-LN(2)/2)*CM151+(1-EXP(-LN(2)/2))/(LN(2)/2)*CG152*CJ152*VLOOKUP('Données projet'!$B$12,Paramètres!$A$1:$I$89,3,0)*0.475*44/12</f>
        <v>0</v>
      </c>
      <c r="CN152" s="22">
        <f t="shared" si="120"/>
        <v>207.37573209792319</v>
      </c>
      <c r="CO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19.8100000000004</v>
      </c>
      <c r="CU152" s="17">
        <f>CT152*VLOOKUP('Données projet'!$B$13,Paramètres!$A$1:$I$89,3,0)*VLOOKUP('Données projet'!$B$13,Paramètres!$A$1:$I$89,5,0)</f>
        <v>18.851196000000382</v>
      </c>
      <c r="CV152" s="13">
        <f t="shared" si="149"/>
        <v>6.172221809210666</v>
      </c>
      <c r="CW152" s="20">
        <f t="shared" si="121"/>
        <v>43.582452684375909</v>
      </c>
      <c r="CX152" s="59">
        <f t="shared" si="122"/>
        <v>330.15824675766896</v>
      </c>
      <c r="CY152" s="59">
        <f ca="1">AVERAGE(OFFSET($CX$3,0,0,'Données projet'!$E$13+1,1))-AVERAGE(OFFSET($H$3,0,0,'Données projet'!$E$13+1,1))</f>
        <v>592.58528889137358</v>
      </c>
      <c r="CZ152" s="59">
        <f t="shared" si="150"/>
        <v>311.31528020403709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204.03096222537616</v>
      </c>
      <c r="DG152" s="21">
        <f>EXP(-LN(2)/25)*DG151+(1-EXP(-LN(2)/25))/(LN(2)/25)*Calculateur!DB152*Calculateur!DD152*VLOOKUP('Données projet'!$B$13,Paramètres!$A$1:$I$89,3,0)*0.475*44/12</f>
        <v>0</v>
      </c>
      <c r="DH152" s="21">
        <f>EXP(-LN(2)/2)*DH151+(1-EXP(-LN(2)/2))/(LN(2)/2)*DB152*DE152*VLOOKUP('Données projet'!$B$13,Paramètres!$A$1:$I$89,3,0)*0.475*44/12</f>
        <v>0</v>
      </c>
      <c r="DI152" s="22">
        <f t="shared" si="123"/>
        <v>204.03096222537616</v>
      </c>
      <c r="DJ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2">
        <f>'Scénario référence'!$B$16*5+'Scénario référence'!$B$17*0+'Scénario référence'!$B$18*5</f>
        <v>5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66">
        <f t="shared" si="110"/>
        <v>183.33333333333334</v>
      </c>
      <c r="I153" s="6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19.8100000000004</v>
      </c>
      <c r="O153" s="13">
        <f>N153*VLOOKUP('Données projet'!$B$9,Paramètres!$A$1:$I$89,3,0)*VLOOKUP('Données projet'!$B$9,Paramètres!$A$1:$I$89,5,0)</f>
        <v>17.924088000000364</v>
      </c>
      <c r="P153" s="13">
        <f t="shared" si="141"/>
        <v>5.9032212091029486</v>
      </c>
      <c r="Q153" s="20">
        <f t="shared" si="108"/>
        <v>41.499230205854936</v>
      </c>
      <c r="R153" s="59">
        <f t="shared" si="109"/>
        <v>328.19225247771527</v>
      </c>
      <c r="S153" s="59">
        <f ca="1">AVERAGE(OFFSET($R$3,0,0,'Données projet'!$E$9+1,1))-AVERAGE(OFFSET($H$3,0,0,'Données projet'!$E$9+1,1))</f>
        <v>567.42635821507474</v>
      </c>
      <c r="T153" s="59">
        <f t="shared" si="142"/>
        <v>299.04735309930152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190.19249657637133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190.19249657637133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404.00000000000017</v>
      </c>
      <c r="AJ153" s="13">
        <f>AI153*VLOOKUP('Données projet'!$B$10,Paramètres!$A$1:$I$89,3,0)*VLOOKUP('Données projet'!$B$10,Paramètres!$A$1:$I$89,5,0)</f>
        <v>346.63200000000018</v>
      </c>
      <c r="AK153" s="13">
        <f t="shared" si="143"/>
        <v>80.868615263336864</v>
      </c>
      <c r="AL153" s="20">
        <f t="shared" si="112"/>
        <v>744.56357158364528</v>
      </c>
      <c r="AM153" s="59">
        <f t="shared" si="113"/>
        <v>1031.2565938555056</v>
      </c>
      <c r="AN153" s="59">
        <f ca="1">AVERAGE(OFFSET($AM$3,0,0,'Données projet'!$E$10+1,1))-AVERAGE(OFFSET($H$3,0,0,'Données projet'!$E$10+1,1))</f>
        <v>481.23392184981651</v>
      </c>
      <c r="AO153" s="59">
        <f t="shared" si="144"/>
        <v>275.88160405468193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55.180028118724195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55.180028118724195</v>
      </c>
      <c r="AY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328.00000000000006</v>
      </c>
      <c r="BE153" s="13">
        <f>BD153*VLOOKUP('Données projet'!$B$11,Paramètres!$A$1:$I$89,3,0)*VLOOKUP('Données projet'!$B$11,Paramètres!$A$1:$I$89,5,0)</f>
        <v>255.84000000000006</v>
      </c>
      <c r="BF153" s="13">
        <f t="shared" si="145"/>
        <v>61.834803371075836</v>
      </c>
      <c r="BG153" s="20">
        <f t="shared" si="115"/>
        <v>553.28361587129041</v>
      </c>
      <c r="BH153" s="59">
        <f t="shared" si="116"/>
        <v>839.97663814315069</v>
      </c>
      <c r="BI153" s="59">
        <f ca="1">AVERAGE(OFFSET($BH$3,0,0,'Données projet'!$E$11+1,1))-AVERAGE(OFFSET($H$3,0,0,'Données projet'!$E$11+1,1))</f>
        <v>308.85018589589453</v>
      </c>
      <c r="BJ153" s="59">
        <f t="shared" si="146"/>
        <v>302.59481222418219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10.129556856726486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10.129556856726486</v>
      </c>
      <c r="BT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19.8100000000004</v>
      </c>
      <c r="BZ153" s="13">
        <f>BY153*VLOOKUP('Données projet'!$B$12,Paramètres!$A$1:$I$89,3,0)*VLOOKUP('Données projet'!$B$12,Paramètres!$A$1:$I$89,5,0)</f>
        <v>19.160232000000388</v>
      </c>
      <c r="CA153" s="13">
        <f t="shared" si="147"/>
        <v>6.2615431735370342</v>
      </c>
      <c r="CB153" s="20">
        <f t="shared" si="118"/>
        <v>44.27625842724435</v>
      </c>
      <c r="CC153" s="59">
        <f t="shared" si="119"/>
        <v>330.96928069910467</v>
      </c>
      <c r="CD153" s="59">
        <f ca="1">AVERAGE(OFFSET($CC$3,0,0,'Données projet'!$E$12+1,1))-AVERAGE(OFFSET($H$3,0,0,'Données projet'!$E$12+1,1))</f>
        <v>600.96600099724276</v>
      </c>
      <c r="CE153" s="59">
        <f t="shared" si="148"/>
        <v>315.40159260706264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203.30922047818999</v>
      </c>
      <c r="CL153" s="21">
        <f>EXP(-LN(2)/25)*CL152+(1-EXP(-LN(2)/25))/(LN(2)/25)*Calculateur!CG153*Calculateur!CI153*VLOOKUP('Données projet'!$B$12,Paramètres!$A$1:$I$89,3,0)*0.475*44/12</f>
        <v>0</v>
      </c>
      <c r="CM153" s="21">
        <f>EXP(-LN(2)/2)*CM152+(1-EXP(-LN(2)/2))/(LN(2)/2)*CG153*CJ153*VLOOKUP('Données projet'!$B$12,Paramètres!$A$1:$I$89,3,0)*0.475*44/12</f>
        <v>0</v>
      </c>
      <c r="CN153" s="22">
        <f t="shared" si="120"/>
        <v>203.30922047818999</v>
      </c>
      <c r="CO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19.8100000000004</v>
      </c>
      <c r="CU153" s="17">
        <f>CT153*VLOOKUP('Données projet'!$B$13,Paramètres!$A$1:$I$89,3,0)*VLOOKUP('Données projet'!$B$13,Paramètres!$A$1:$I$89,5,0)</f>
        <v>18.851196000000382</v>
      </c>
      <c r="CV153" s="13">
        <f t="shared" si="149"/>
        <v>6.172221809210666</v>
      </c>
      <c r="CW153" s="20">
        <f t="shared" si="121"/>
        <v>43.582452684375909</v>
      </c>
      <c r="CX153" s="59">
        <f t="shared" si="122"/>
        <v>330.27547495623628</v>
      </c>
      <c r="CY153" s="59">
        <f ca="1">AVERAGE(OFFSET($CX$3,0,0,'Données projet'!$E$13+1,1))-AVERAGE(OFFSET($H$3,0,0,'Données projet'!$E$13+1,1))</f>
        <v>592.58528889137358</v>
      </c>
      <c r="CZ153" s="59">
        <f t="shared" si="150"/>
        <v>311.31528020403709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200.03003950273541</v>
      </c>
      <c r="DG153" s="21">
        <f>EXP(-LN(2)/25)*DG152+(1-EXP(-LN(2)/25))/(LN(2)/25)*Calculateur!DB153*Calculateur!DD153*VLOOKUP('Données projet'!$B$13,Paramètres!$A$1:$I$89,3,0)*0.475*44/12</f>
        <v>0</v>
      </c>
      <c r="DH153" s="21">
        <f>EXP(-LN(2)/2)*DH152+(1-EXP(-LN(2)/2))/(LN(2)/2)*DB153*DE153*VLOOKUP('Données projet'!$B$13,Paramètres!$A$1:$I$89,3,0)*0.475*44/12</f>
        <v>0</v>
      </c>
      <c r="DI153" s="22">
        <f t="shared" si="123"/>
        <v>200.03003950273541</v>
      </c>
      <c r="DJ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2">
        <f>'Scénario référence'!$B$16*5+'Scénario référence'!$B$17*0+'Scénario référence'!$B$18*5</f>
        <v>5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66">
        <f t="shared" si="110"/>
        <v>183.33333333333334</v>
      </c>
      <c r="I154" s="6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19.8100000000004</v>
      </c>
      <c r="O154" s="13">
        <f>N154*VLOOKUP('Données projet'!$B$9,Paramètres!$A$1:$I$89,3,0)*VLOOKUP('Données projet'!$B$9,Paramètres!$A$1:$I$89,5,0)</f>
        <v>17.924088000000364</v>
      </c>
      <c r="P154" s="13">
        <f t="shared" si="141"/>
        <v>5.9032212091029486</v>
      </c>
      <c r="Q154" s="20">
        <f t="shared" ref="Q154:Q203" si="162">(O154+P154)*0.475*44/12</f>
        <v>41.499230205854936</v>
      </c>
      <c r="R154" s="59">
        <f t="shared" si="109"/>
        <v>328.30744702912028</v>
      </c>
      <c r="S154" s="59">
        <f ca="1">AVERAGE(OFFSET($R$3,0,0,'Données projet'!$E$9+1,1))-AVERAGE(OFFSET($H$3,0,0,'Données projet'!$E$9+1,1))</f>
        <v>567.42635821507474</v>
      </c>
      <c r="T154" s="59">
        <f t="shared" si="142"/>
        <v>299.04735309930152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186.46293772447694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186.46293772447694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404.00000000000017</v>
      </c>
      <c r="AJ154" s="13">
        <f>AI154*VLOOKUP('Données projet'!$B$10,Paramètres!$A$1:$I$89,3,0)*VLOOKUP('Données projet'!$B$10,Paramètres!$A$1:$I$89,5,0)</f>
        <v>346.63200000000018</v>
      </c>
      <c r="AK154" s="13">
        <f t="shared" ref="AK154:AK203" si="164">EXP(-1.0587+0.8836*LN(AJ154)+0.284)</f>
        <v>80.868615263336864</v>
      </c>
      <c r="AL154" s="20">
        <f t="shared" ref="AL154:AL203" si="165">(AJ154+AK154)*0.475*44/12</f>
        <v>744.56357158364528</v>
      </c>
      <c r="AM154" s="59">
        <f t="shared" si="113"/>
        <v>1031.3717884069106</v>
      </c>
      <c r="AN154" s="59">
        <f ca="1">AVERAGE(OFFSET($AM$3,0,0,'Données projet'!$E$10+1,1))-AVERAGE(OFFSET($H$3,0,0,'Données projet'!$E$10+1,1))</f>
        <v>481.23392184981651</v>
      </c>
      <c r="AO154" s="59">
        <f t="shared" si="144"/>
        <v>275.88160405468193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54.097981423809863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54.097981423809863</v>
      </c>
      <c r="AY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328.00000000000006</v>
      </c>
      <c r="BE154" s="13">
        <f>BD154*VLOOKUP('Données projet'!$B$11,Paramètres!$A$1:$I$89,3,0)*VLOOKUP('Données projet'!$B$11,Paramètres!$A$1:$I$89,5,0)</f>
        <v>255.84000000000006</v>
      </c>
      <c r="BF154" s="13">
        <f t="shared" ref="BF154:BF203" si="167">EXP(-1.0587+0.8836*LN(BE154)+0.284)</f>
        <v>61.834803371075836</v>
      </c>
      <c r="BG154" s="20">
        <f t="shared" ref="BG154:BG203" si="168">(BE154+BF154)*0.475*44/12</f>
        <v>553.28361587129041</v>
      </c>
      <c r="BH154" s="59">
        <f t="shared" si="116"/>
        <v>840.09183269455571</v>
      </c>
      <c r="BI154" s="59">
        <f ca="1">AVERAGE(OFFSET($BH$3,0,0,'Données projet'!$E$11+1,1))-AVERAGE(OFFSET($H$3,0,0,'Données projet'!$E$11+1,1))</f>
        <v>308.85018589589453</v>
      </c>
      <c r="BJ154" s="59">
        <f t="shared" si="146"/>
        <v>302.59481222418219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9.9309224251856936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9.9309224251856936</v>
      </c>
      <c r="BT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19.8100000000004</v>
      </c>
      <c r="BZ154" s="13">
        <f>BY154*VLOOKUP('Données projet'!$B$12,Paramètres!$A$1:$I$89,3,0)*VLOOKUP('Données projet'!$B$12,Paramètres!$A$1:$I$89,5,0)</f>
        <v>19.160232000000388</v>
      </c>
      <c r="CA154" s="13">
        <f t="shared" ref="CA154:CA203" si="170">EXP(-1.0587+0.8836*LN(BZ154)+0.284)</f>
        <v>6.2615431735370342</v>
      </c>
      <c r="CB154" s="20">
        <f t="shared" ref="CB154:CB203" si="171">(BZ154+CA154)*0.475*44/12</f>
        <v>44.27625842724435</v>
      </c>
      <c r="CC154" s="59">
        <f t="shared" si="119"/>
        <v>331.08447525050968</v>
      </c>
      <c r="CD154" s="59">
        <f ca="1">AVERAGE(OFFSET($CC$3,0,0,'Données projet'!$E$12+1,1))-AVERAGE(OFFSET($H$3,0,0,'Données projet'!$E$12+1,1))</f>
        <v>600.96600099724276</v>
      </c>
      <c r="CE154" s="59">
        <f t="shared" si="148"/>
        <v>315.40159260706264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199.32245067099257</v>
      </c>
      <c r="CL154" s="21">
        <f>EXP(-LN(2)/25)*CL153+(1-EXP(-LN(2)/25))/(LN(2)/25)*Calculateur!CG154*Calculateur!CI154*VLOOKUP('Données projet'!$B$12,Paramètres!$A$1:$I$89,3,0)*0.475*44/12</f>
        <v>0</v>
      </c>
      <c r="CM154" s="21">
        <f>EXP(-LN(2)/2)*CM153+(1-EXP(-LN(2)/2))/(LN(2)/2)*CG154*CJ154*VLOOKUP('Données projet'!$B$12,Paramètres!$A$1:$I$89,3,0)*0.475*44/12</f>
        <v>0</v>
      </c>
      <c r="CN154" s="22">
        <f t="shared" ref="CN154:CN203" si="172">SUM(CK154:CM154)</f>
        <v>199.32245067099257</v>
      </c>
      <c r="CO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19.8100000000004</v>
      </c>
      <c r="CU154" s="17">
        <f>CT154*VLOOKUP('Données projet'!$B$13,Paramètres!$A$1:$I$89,3,0)*VLOOKUP('Données projet'!$B$13,Paramètres!$A$1:$I$89,5,0)</f>
        <v>18.851196000000382</v>
      </c>
      <c r="CV154" s="13">
        <f t="shared" ref="CV154:CV203" si="173">EXP(-1.0587+0.8836*LN(CU154)+0.284)</f>
        <v>6.172221809210666</v>
      </c>
      <c r="CW154" s="20">
        <f t="shared" ref="CW154:CW203" si="174">(CU154+CV154)*0.475*44/12</f>
        <v>43.582452684375909</v>
      </c>
      <c r="CX154" s="59">
        <f t="shared" si="122"/>
        <v>330.39066950764129</v>
      </c>
      <c r="CY154" s="59">
        <f ca="1">AVERAGE(OFFSET($CX$3,0,0,'Données projet'!$E$13+1,1))-AVERAGE(OFFSET($H$3,0,0,'Données projet'!$E$13+1,1))</f>
        <v>592.58528889137358</v>
      </c>
      <c r="CZ154" s="59">
        <f t="shared" si="150"/>
        <v>311.31528020403709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196.10757243436373</v>
      </c>
      <c r="DG154" s="21">
        <f>EXP(-LN(2)/25)*DG153+(1-EXP(-LN(2)/25))/(LN(2)/25)*Calculateur!DB154*Calculateur!DD154*VLOOKUP('Données projet'!$B$13,Paramètres!$A$1:$I$89,3,0)*0.475*44/12</f>
        <v>0</v>
      </c>
      <c r="DH154" s="21">
        <f>EXP(-LN(2)/2)*DH153+(1-EXP(-LN(2)/2))/(LN(2)/2)*DB154*DE154*VLOOKUP('Données projet'!$B$13,Paramètres!$A$1:$I$89,3,0)*0.475*44/12</f>
        <v>0</v>
      </c>
      <c r="DI154" s="22">
        <f t="shared" ref="DI154:DI203" si="175">SUM(DF154:DH154)</f>
        <v>196.10757243436373</v>
      </c>
      <c r="DJ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2">
        <f>'Scénario référence'!$B$16*5+'Scénario référence'!$B$17*0+'Scénario référence'!$B$18*5</f>
        <v>5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66">
        <f t="shared" si="110"/>
        <v>183.33333333333334</v>
      </c>
      <c r="I155" s="6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19.8100000000004</v>
      </c>
      <c r="O155" s="13">
        <f>N155*VLOOKUP('Données projet'!$B$9,Paramètres!$A$1:$I$89,3,0)*VLOOKUP('Données projet'!$B$9,Paramètres!$A$1:$I$89,5,0)</f>
        <v>17.924088000000364</v>
      </c>
      <c r="P155" s="13">
        <f t="shared" si="141"/>
        <v>5.9032212091029486</v>
      </c>
      <c r="Q155" s="20">
        <f t="shared" si="162"/>
        <v>41.499230205854936</v>
      </c>
      <c r="R155" s="59">
        <f t="shared" si="109"/>
        <v>328.42064321259483</v>
      </c>
      <c r="S155" s="59">
        <f ca="1">AVERAGE(OFFSET($R$3,0,0,'Données projet'!$E$9+1,1))-AVERAGE(OFFSET($H$3,0,0,'Données projet'!$E$9+1,1))</f>
        <v>567.42635821507474</v>
      </c>
      <c r="T155" s="59">
        <f t="shared" si="142"/>
        <v>299.04735309930152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182.80651324686195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182.80651324686195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404.00000000000017</v>
      </c>
      <c r="AJ155" s="13">
        <f>AI155*VLOOKUP('Données projet'!$B$10,Paramètres!$A$1:$I$89,3,0)*VLOOKUP('Données projet'!$B$10,Paramètres!$A$1:$I$89,5,0)</f>
        <v>346.63200000000018</v>
      </c>
      <c r="AK155" s="13">
        <f t="shared" si="164"/>
        <v>80.868615263336864</v>
      </c>
      <c r="AL155" s="20">
        <f t="shared" si="165"/>
        <v>744.56357158364528</v>
      </c>
      <c r="AM155" s="59">
        <f t="shared" si="113"/>
        <v>1031.4849845903852</v>
      </c>
      <c r="AN155" s="59">
        <f ca="1">AVERAGE(OFFSET($AM$3,0,0,'Données projet'!$E$10+1,1))-AVERAGE(OFFSET($H$3,0,0,'Données projet'!$E$10+1,1))</f>
        <v>481.23392184981651</v>
      </c>
      <c r="AO155" s="59">
        <f t="shared" si="144"/>
        <v>275.88160405468193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53.037153004599482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53.037153004599482</v>
      </c>
      <c r="AY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328.00000000000006</v>
      </c>
      <c r="BE155" s="13">
        <f>BD155*VLOOKUP('Données projet'!$B$11,Paramètres!$A$1:$I$89,3,0)*VLOOKUP('Données projet'!$B$11,Paramètres!$A$1:$I$89,5,0)</f>
        <v>255.84000000000006</v>
      </c>
      <c r="BF155" s="13">
        <f t="shared" si="167"/>
        <v>61.834803371075836</v>
      </c>
      <c r="BG155" s="20">
        <f t="shared" si="168"/>
        <v>553.28361587129041</v>
      </c>
      <c r="BH155" s="59">
        <f t="shared" si="116"/>
        <v>840.20502887803036</v>
      </c>
      <c r="BI155" s="59">
        <f ca="1">AVERAGE(OFFSET($BH$3,0,0,'Données projet'!$E$11+1,1))-AVERAGE(OFFSET($H$3,0,0,'Données projet'!$E$11+1,1))</f>
        <v>308.85018589589453</v>
      </c>
      <c r="BJ155" s="59">
        <f t="shared" si="146"/>
        <v>302.59481222418219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9.736183093692377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9.736183093692377</v>
      </c>
      <c r="BT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19.8100000000004</v>
      </c>
      <c r="BZ155" s="13">
        <f>BY155*VLOOKUP('Données projet'!$B$12,Paramètres!$A$1:$I$89,3,0)*VLOOKUP('Données projet'!$B$12,Paramètres!$A$1:$I$89,5,0)</f>
        <v>19.160232000000388</v>
      </c>
      <c r="CA155" s="13">
        <f t="shared" si="170"/>
        <v>6.2615431735370342</v>
      </c>
      <c r="CB155" s="20">
        <f t="shared" si="171"/>
        <v>44.27625842724435</v>
      </c>
      <c r="CC155" s="59">
        <f t="shared" si="119"/>
        <v>331.19767143398423</v>
      </c>
      <c r="CD155" s="59">
        <f ca="1">AVERAGE(OFFSET($CC$3,0,0,'Données projet'!$E$12+1,1))-AVERAGE(OFFSET($H$3,0,0,'Données projet'!$E$12+1,1))</f>
        <v>600.96600099724276</v>
      </c>
      <c r="CE155" s="59">
        <f t="shared" si="148"/>
        <v>315.40159260706264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195.4138589880248</v>
      </c>
      <c r="CL155" s="21">
        <f>EXP(-LN(2)/25)*CL154+(1-EXP(-LN(2)/25))/(LN(2)/25)*Calculateur!CG155*Calculateur!CI155*VLOOKUP('Données projet'!$B$12,Paramètres!$A$1:$I$89,3,0)*0.475*44/12</f>
        <v>0</v>
      </c>
      <c r="CM155" s="21">
        <f>EXP(-LN(2)/2)*CM154+(1-EXP(-LN(2)/2))/(LN(2)/2)*CG155*CJ155*VLOOKUP('Données projet'!$B$12,Paramètres!$A$1:$I$89,3,0)*0.475*44/12</f>
        <v>0</v>
      </c>
      <c r="CN155" s="22">
        <f t="shared" si="172"/>
        <v>195.4138589880248</v>
      </c>
      <c r="CO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19.8100000000004</v>
      </c>
      <c r="CU155" s="17">
        <f>CT155*VLOOKUP('Données projet'!$B$13,Paramètres!$A$1:$I$89,3,0)*VLOOKUP('Données projet'!$B$13,Paramètres!$A$1:$I$89,5,0)</f>
        <v>18.851196000000382</v>
      </c>
      <c r="CV155" s="13">
        <f t="shared" si="173"/>
        <v>6.172221809210666</v>
      </c>
      <c r="CW155" s="20">
        <f t="shared" si="174"/>
        <v>43.582452684375909</v>
      </c>
      <c r="CX155" s="59">
        <f t="shared" si="122"/>
        <v>330.50386569111583</v>
      </c>
      <c r="CY155" s="59">
        <f ca="1">AVERAGE(OFFSET($CX$3,0,0,'Données projet'!$E$13+1,1))-AVERAGE(OFFSET($H$3,0,0,'Données projet'!$E$13+1,1))</f>
        <v>592.58528889137358</v>
      </c>
      <c r="CZ155" s="59">
        <f t="shared" si="150"/>
        <v>311.31528020403709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192.26202255273415</v>
      </c>
      <c r="DG155" s="21">
        <f>EXP(-LN(2)/25)*DG154+(1-EXP(-LN(2)/25))/(LN(2)/25)*Calculateur!DB155*Calculateur!DD155*VLOOKUP('Données projet'!$B$13,Paramètres!$A$1:$I$89,3,0)*0.475*44/12</f>
        <v>0</v>
      </c>
      <c r="DH155" s="21">
        <f>EXP(-LN(2)/2)*DH154+(1-EXP(-LN(2)/2))/(LN(2)/2)*DB155*DE155*VLOOKUP('Données projet'!$B$13,Paramètres!$A$1:$I$89,3,0)*0.475*44/12</f>
        <v>0</v>
      </c>
      <c r="DI155" s="22">
        <f t="shared" si="175"/>
        <v>192.26202255273415</v>
      </c>
      <c r="DJ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2">
        <f>'Scénario référence'!$B$16*5+'Scénario référence'!$B$17*0+'Scénario référence'!$B$18*5</f>
        <v>5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66">
        <f t="shared" si="110"/>
        <v>183.33333333333334</v>
      </c>
      <c r="I156" s="6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19.8100000000004</v>
      </c>
      <c r="O156" s="13">
        <f>N156*VLOOKUP('Données projet'!$B$9,Paramètres!$A$1:$I$89,3,0)*VLOOKUP('Données projet'!$B$9,Paramètres!$A$1:$I$89,5,0)</f>
        <v>17.924088000000364</v>
      </c>
      <c r="P156" s="13">
        <f t="shared" si="141"/>
        <v>5.9032212091029486</v>
      </c>
      <c r="Q156" s="20">
        <f t="shared" si="162"/>
        <v>41.499230205854936</v>
      </c>
      <c r="R156" s="59">
        <f t="shared" si="109"/>
        <v>328.53187569535493</v>
      </c>
      <c r="S156" s="59">
        <f ca="1">AVERAGE(OFFSET($R$3,0,0,'Données projet'!$E$9+1,1))-AVERAGE(OFFSET($H$3,0,0,'Données projet'!$E$9+1,1))</f>
        <v>567.42635821507474</v>
      </c>
      <c r="T156" s="59">
        <f t="shared" si="142"/>
        <v>299.04735309930152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179.22178902305427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179.22178902305427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404.00000000000017</v>
      </c>
      <c r="AJ156" s="13">
        <f>AI156*VLOOKUP('Données projet'!$B$10,Paramètres!$A$1:$I$89,3,0)*VLOOKUP('Données projet'!$B$10,Paramètres!$A$1:$I$89,5,0)</f>
        <v>346.63200000000018</v>
      </c>
      <c r="AK156" s="13">
        <f t="shared" si="164"/>
        <v>80.868615263336864</v>
      </c>
      <c r="AL156" s="20">
        <f t="shared" si="165"/>
        <v>744.56357158364528</v>
      </c>
      <c r="AM156" s="59">
        <f t="shared" si="113"/>
        <v>1031.5962170731452</v>
      </c>
      <c r="AN156" s="59">
        <f ca="1">AVERAGE(OFFSET($AM$3,0,0,'Données projet'!$E$10+1,1))-AVERAGE(OFFSET($H$3,0,0,'Données projet'!$E$10+1,1))</f>
        <v>481.23392184981651</v>
      </c>
      <c r="AO156" s="59">
        <f t="shared" si="144"/>
        <v>275.88160405468193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51.997126783648376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51.997126783648376</v>
      </c>
      <c r="AY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328.00000000000006</v>
      </c>
      <c r="BE156" s="13">
        <f>BD156*VLOOKUP('Données projet'!$B$11,Paramètres!$A$1:$I$89,3,0)*VLOOKUP('Données projet'!$B$11,Paramètres!$A$1:$I$89,5,0)</f>
        <v>255.84000000000006</v>
      </c>
      <c r="BF156" s="13">
        <f t="shared" si="167"/>
        <v>61.834803371075836</v>
      </c>
      <c r="BG156" s="20">
        <f t="shared" si="168"/>
        <v>553.28361587129041</v>
      </c>
      <c r="BH156" s="59">
        <f t="shared" si="116"/>
        <v>840.31626136079035</v>
      </c>
      <c r="BI156" s="59">
        <f ca="1">AVERAGE(OFFSET($BH$3,0,0,'Données projet'!$E$11+1,1))-AVERAGE(OFFSET($H$3,0,0,'Données projet'!$E$11+1,1))</f>
        <v>308.85018589589453</v>
      </c>
      <c r="BJ156" s="59">
        <f t="shared" si="146"/>
        <v>302.59481222418219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9.5452624817103793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9.5452624817103793</v>
      </c>
      <c r="BT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19.8100000000004</v>
      </c>
      <c r="BZ156" s="13">
        <f>BY156*VLOOKUP('Données projet'!$B$12,Paramètres!$A$1:$I$89,3,0)*VLOOKUP('Données projet'!$B$12,Paramètres!$A$1:$I$89,5,0)</f>
        <v>19.160232000000388</v>
      </c>
      <c r="CA156" s="13">
        <f t="shared" si="170"/>
        <v>6.2615431735370342</v>
      </c>
      <c r="CB156" s="20">
        <f t="shared" si="171"/>
        <v>44.27625842724435</v>
      </c>
      <c r="CC156" s="59">
        <f t="shared" si="119"/>
        <v>331.30890391674433</v>
      </c>
      <c r="CD156" s="59">
        <f ca="1">AVERAGE(OFFSET($CC$3,0,0,'Données projet'!$E$12+1,1))-AVERAGE(OFFSET($H$3,0,0,'Données projet'!$E$12+1,1))</f>
        <v>600.96600099724276</v>
      </c>
      <c r="CE156" s="59">
        <f t="shared" si="148"/>
        <v>315.40159260706264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191.5819124039545</v>
      </c>
      <c r="CL156" s="21">
        <f>EXP(-LN(2)/25)*CL155+(1-EXP(-LN(2)/25))/(LN(2)/25)*Calculateur!CG156*Calculateur!CI156*VLOOKUP('Données projet'!$B$12,Paramètres!$A$1:$I$89,3,0)*0.475*44/12</f>
        <v>0</v>
      </c>
      <c r="CM156" s="21">
        <f>EXP(-LN(2)/2)*CM155+(1-EXP(-LN(2)/2))/(LN(2)/2)*CG156*CJ156*VLOOKUP('Données projet'!$B$12,Paramètres!$A$1:$I$89,3,0)*0.475*44/12</f>
        <v>0</v>
      </c>
      <c r="CN156" s="22">
        <f t="shared" si="172"/>
        <v>191.5819124039545</v>
      </c>
      <c r="CO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19.8100000000004</v>
      </c>
      <c r="CU156" s="17">
        <f>CT156*VLOOKUP('Données projet'!$B$13,Paramètres!$A$1:$I$89,3,0)*VLOOKUP('Données projet'!$B$13,Paramètres!$A$1:$I$89,5,0)</f>
        <v>18.851196000000382</v>
      </c>
      <c r="CV156" s="13">
        <f t="shared" si="173"/>
        <v>6.172221809210666</v>
      </c>
      <c r="CW156" s="20">
        <f t="shared" si="174"/>
        <v>43.582452684375909</v>
      </c>
      <c r="CX156" s="59">
        <f t="shared" si="122"/>
        <v>330.61509817387594</v>
      </c>
      <c r="CY156" s="59">
        <f ca="1">AVERAGE(OFFSET($CX$3,0,0,'Données projet'!$E$13+1,1))-AVERAGE(OFFSET($H$3,0,0,'Données projet'!$E$13+1,1))</f>
        <v>592.58528889137358</v>
      </c>
      <c r="CZ156" s="59">
        <f t="shared" si="150"/>
        <v>311.31528020403709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188.49188155872952</v>
      </c>
      <c r="DG156" s="21">
        <f>EXP(-LN(2)/25)*DG155+(1-EXP(-LN(2)/25))/(LN(2)/25)*Calculateur!DB156*Calculateur!DD156*VLOOKUP('Données projet'!$B$13,Paramètres!$A$1:$I$89,3,0)*0.475*44/12</f>
        <v>0</v>
      </c>
      <c r="DH156" s="21">
        <f>EXP(-LN(2)/2)*DH155+(1-EXP(-LN(2)/2))/(LN(2)/2)*DB156*DE156*VLOOKUP('Données projet'!$B$13,Paramètres!$A$1:$I$89,3,0)*0.475*44/12</f>
        <v>0</v>
      </c>
      <c r="DI156" s="22">
        <f t="shared" si="175"/>
        <v>188.49188155872952</v>
      </c>
      <c r="DJ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2">
        <f>'Scénario référence'!$B$16*5+'Scénario référence'!$B$17*0+'Scénario référence'!$B$18*5</f>
        <v>5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66">
        <f t="shared" si="110"/>
        <v>183.33333333333334</v>
      </c>
      <c r="I157" s="6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19.8100000000004</v>
      </c>
      <c r="O157" s="13">
        <f>N157*VLOOKUP('Données projet'!$B$9,Paramètres!$A$1:$I$89,3,0)*VLOOKUP('Données projet'!$B$9,Paramètres!$A$1:$I$89,5,0)</f>
        <v>17.924088000000364</v>
      </c>
      <c r="P157" s="13">
        <f t="shared" si="141"/>
        <v>5.9032212091029486</v>
      </c>
      <c r="Q157" s="20">
        <f t="shared" si="162"/>
        <v>41.499230205854936</v>
      </c>
      <c r="R157" s="59">
        <f t="shared" si="109"/>
        <v>328.64117854321768</v>
      </c>
      <c r="S157" s="59">
        <f ca="1">AVERAGE(OFFSET($R$3,0,0,'Données projet'!$E$9+1,1))-AVERAGE(OFFSET($H$3,0,0,'Données projet'!$E$9+1,1))</f>
        <v>567.42635821507474</v>
      </c>
      <c r="T157" s="59">
        <f t="shared" si="142"/>
        <v>299.04735309930152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175.70735905480956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175.70735905480956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404.00000000000017</v>
      </c>
      <c r="AJ157" s="13">
        <f>AI157*VLOOKUP('Données projet'!$B$10,Paramètres!$A$1:$I$89,3,0)*VLOOKUP('Données projet'!$B$10,Paramètres!$A$1:$I$89,5,0)</f>
        <v>346.63200000000018</v>
      </c>
      <c r="AK157" s="13">
        <f t="shared" si="164"/>
        <v>80.868615263336864</v>
      </c>
      <c r="AL157" s="20">
        <f t="shared" si="165"/>
        <v>744.56357158364528</v>
      </c>
      <c r="AM157" s="59">
        <f t="shared" si="113"/>
        <v>1031.7055199210081</v>
      </c>
      <c r="AN157" s="59">
        <f ca="1">AVERAGE(OFFSET($AM$3,0,0,'Données projet'!$E$10+1,1))-AVERAGE(OFFSET($H$3,0,0,'Données projet'!$E$10+1,1))</f>
        <v>481.23392184981651</v>
      </c>
      <c r="AO157" s="59">
        <f t="shared" si="144"/>
        <v>275.88160405468193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50.977494842536764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50.977494842536764</v>
      </c>
      <c r="AY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328.00000000000006</v>
      </c>
      <c r="BE157" s="13">
        <f>BD157*VLOOKUP('Données projet'!$B$11,Paramètres!$A$1:$I$89,3,0)*VLOOKUP('Données projet'!$B$11,Paramètres!$A$1:$I$89,5,0)</f>
        <v>255.84000000000006</v>
      </c>
      <c r="BF157" s="13">
        <f t="shared" si="167"/>
        <v>61.834803371075836</v>
      </c>
      <c r="BG157" s="20">
        <f t="shared" si="168"/>
        <v>553.28361587129041</v>
      </c>
      <c r="BH157" s="59">
        <f t="shared" si="116"/>
        <v>840.42556420865321</v>
      </c>
      <c r="BI157" s="59">
        <f ca="1">AVERAGE(OFFSET($BH$3,0,0,'Données projet'!$E$11+1,1))-AVERAGE(OFFSET($H$3,0,0,'Données projet'!$E$11+1,1))</f>
        <v>308.85018589589453</v>
      </c>
      <c r="BJ157" s="59">
        <f t="shared" si="146"/>
        <v>302.59481222418219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9.3580857064792742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9.3580857064792742</v>
      </c>
      <c r="BT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19.8100000000004</v>
      </c>
      <c r="BZ157" s="13">
        <f>BY157*VLOOKUP('Données projet'!$B$12,Paramètres!$A$1:$I$89,3,0)*VLOOKUP('Données projet'!$B$12,Paramètres!$A$1:$I$89,5,0)</f>
        <v>19.160232000000388</v>
      </c>
      <c r="CA157" s="13">
        <f t="shared" si="170"/>
        <v>6.2615431735370342</v>
      </c>
      <c r="CB157" s="20">
        <f t="shared" si="171"/>
        <v>44.27625842724435</v>
      </c>
      <c r="CC157" s="59">
        <f t="shared" si="119"/>
        <v>331.41820676460708</v>
      </c>
      <c r="CD157" s="59">
        <f ca="1">AVERAGE(OFFSET($CC$3,0,0,'Données projet'!$E$12+1,1))-AVERAGE(OFFSET($H$3,0,0,'Données projet'!$E$12+1,1))</f>
        <v>600.96600099724276</v>
      </c>
      <c r="CE157" s="59">
        <f t="shared" si="148"/>
        <v>315.40159260706264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187.82510795514119</v>
      </c>
      <c r="CL157" s="21">
        <f>EXP(-LN(2)/25)*CL156+(1-EXP(-LN(2)/25))/(LN(2)/25)*Calculateur!CG157*Calculateur!CI157*VLOOKUP('Données projet'!$B$12,Paramètres!$A$1:$I$89,3,0)*0.475*44/12</f>
        <v>0</v>
      </c>
      <c r="CM157" s="21">
        <f>EXP(-LN(2)/2)*CM156+(1-EXP(-LN(2)/2))/(LN(2)/2)*CG157*CJ157*VLOOKUP('Données projet'!$B$12,Paramètres!$A$1:$I$89,3,0)*0.475*44/12</f>
        <v>0</v>
      </c>
      <c r="CN157" s="22">
        <f t="shared" si="172"/>
        <v>187.82510795514119</v>
      </c>
      <c r="CO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19.8100000000004</v>
      </c>
      <c r="CU157" s="17">
        <f>CT157*VLOOKUP('Données projet'!$B$13,Paramètres!$A$1:$I$89,3,0)*VLOOKUP('Données projet'!$B$13,Paramètres!$A$1:$I$89,5,0)</f>
        <v>18.851196000000382</v>
      </c>
      <c r="CV157" s="13">
        <f t="shared" si="173"/>
        <v>6.172221809210666</v>
      </c>
      <c r="CW157" s="20">
        <f t="shared" si="174"/>
        <v>43.582452684375909</v>
      </c>
      <c r="CX157" s="59">
        <f t="shared" si="122"/>
        <v>330.72440102173869</v>
      </c>
      <c r="CY157" s="59">
        <f ca="1">AVERAGE(OFFSET($CX$3,0,0,'Données projet'!$E$13+1,1))-AVERAGE(OFFSET($H$3,0,0,'Données projet'!$E$13+1,1))</f>
        <v>592.58528889137358</v>
      </c>
      <c r="CZ157" s="59">
        <f t="shared" si="150"/>
        <v>311.31528020403709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184.79567073005836</v>
      </c>
      <c r="DG157" s="21">
        <f>EXP(-LN(2)/25)*DG156+(1-EXP(-LN(2)/25))/(LN(2)/25)*Calculateur!DB157*Calculateur!DD157*VLOOKUP('Données projet'!$B$13,Paramètres!$A$1:$I$89,3,0)*0.475*44/12</f>
        <v>0</v>
      </c>
      <c r="DH157" s="21">
        <f>EXP(-LN(2)/2)*DH156+(1-EXP(-LN(2)/2))/(LN(2)/2)*DB157*DE157*VLOOKUP('Données projet'!$B$13,Paramètres!$A$1:$I$89,3,0)*0.475*44/12</f>
        <v>0</v>
      </c>
      <c r="DI157" s="22">
        <f t="shared" si="175"/>
        <v>184.79567073005836</v>
      </c>
      <c r="DJ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2">
        <f>'Scénario référence'!$B$16*5+'Scénario référence'!$B$17*0+'Scénario référence'!$B$18*5</f>
        <v>5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66">
        <f t="shared" si="110"/>
        <v>183.33333333333334</v>
      </c>
      <c r="I158" s="6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19.8100000000004</v>
      </c>
      <c r="O158" s="13">
        <f>N158*VLOOKUP('Données projet'!$B$9,Paramètres!$A$1:$I$89,3,0)*VLOOKUP('Données projet'!$B$9,Paramètres!$A$1:$I$89,5,0)</f>
        <v>17.924088000000364</v>
      </c>
      <c r="P158" s="13">
        <f t="shared" si="141"/>
        <v>5.9032212091029486</v>
      </c>
      <c r="Q158" s="20">
        <f t="shared" si="162"/>
        <v>41.499230205854936</v>
      </c>
      <c r="R158" s="59">
        <f t="shared" si="109"/>
        <v>328.74858523103461</v>
      </c>
      <c r="S158" s="59">
        <f ca="1">AVERAGE(OFFSET($R$3,0,0,'Données projet'!$E$9+1,1))-AVERAGE(OFFSET($H$3,0,0,'Données projet'!$E$9+1,1))</f>
        <v>567.42635821507474</v>
      </c>
      <c r="T158" s="59">
        <f t="shared" si="142"/>
        <v>299.04735309930152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172.2618449146515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172.2618449146515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404.00000000000017</v>
      </c>
      <c r="AJ158" s="13">
        <f>AI158*VLOOKUP('Données projet'!$B$10,Paramètres!$A$1:$I$89,3,0)*VLOOKUP('Données projet'!$B$10,Paramètres!$A$1:$I$89,5,0)</f>
        <v>346.63200000000018</v>
      </c>
      <c r="AK158" s="13">
        <f t="shared" si="164"/>
        <v>80.868615263336864</v>
      </c>
      <c r="AL158" s="20">
        <f t="shared" si="165"/>
        <v>744.56357158364528</v>
      </c>
      <c r="AM158" s="59">
        <f t="shared" si="113"/>
        <v>1031.8129266088249</v>
      </c>
      <c r="AN158" s="59">
        <f ca="1">AVERAGE(OFFSET($AM$3,0,0,'Données projet'!$E$10+1,1))-AVERAGE(OFFSET($H$3,0,0,'Données projet'!$E$10+1,1))</f>
        <v>481.23392184981651</v>
      </c>
      <c r="AO158" s="59">
        <f t="shared" si="144"/>
        <v>275.88160405468193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49.977857261876274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49.977857261876274</v>
      </c>
      <c r="AY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328.00000000000006</v>
      </c>
      <c r="BE158" s="13">
        <f>BD158*VLOOKUP('Données projet'!$B$11,Paramètres!$A$1:$I$89,3,0)*VLOOKUP('Données projet'!$B$11,Paramètres!$A$1:$I$89,5,0)</f>
        <v>255.84000000000006</v>
      </c>
      <c r="BF158" s="13">
        <f t="shared" si="167"/>
        <v>61.834803371075836</v>
      </c>
      <c r="BG158" s="20">
        <f t="shared" si="168"/>
        <v>553.28361587129041</v>
      </c>
      <c r="BH158" s="59">
        <f t="shared" si="116"/>
        <v>840.53297089647003</v>
      </c>
      <c r="BI158" s="59">
        <f ca="1">AVERAGE(OFFSET($BH$3,0,0,'Données projet'!$E$11+1,1))-AVERAGE(OFFSET($H$3,0,0,'Données projet'!$E$11+1,1))</f>
        <v>308.85018589589453</v>
      </c>
      <c r="BJ158" s="59">
        <f t="shared" si="146"/>
        <v>302.59481222418219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9.1745793536438907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9.1745793536438907</v>
      </c>
      <c r="BT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19.8100000000004</v>
      </c>
      <c r="BZ158" s="13">
        <f>BY158*VLOOKUP('Données projet'!$B$12,Paramètres!$A$1:$I$89,3,0)*VLOOKUP('Données projet'!$B$12,Paramètres!$A$1:$I$89,5,0)</f>
        <v>19.160232000000388</v>
      </c>
      <c r="CA158" s="13">
        <f t="shared" si="170"/>
        <v>6.2615431735370342</v>
      </c>
      <c r="CB158" s="20">
        <f t="shared" si="171"/>
        <v>44.27625842724435</v>
      </c>
      <c r="CC158" s="59">
        <f t="shared" si="119"/>
        <v>331.52561345242401</v>
      </c>
      <c r="CD158" s="59">
        <f ca="1">AVERAGE(OFFSET($CC$3,0,0,'Données projet'!$E$12+1,1))-AVERAGE(OFFSET($H$3,0,0,'Données projet'!$E$12+1,1))</f>
        <v>600.96600099724276</v>
      </c>
      <c r="CE158" s="59">
        <f t="shared" si="148"/>
        <v>315.40159260706264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184.14197215014468</v>
      </c>
      <c r="CL158" s="21">
        <f>EXP(-LN(2)/25)*CL157+(1-EXP(-LN(2)/25))/(LN(2)/25)*Calculateur!CG158*Calculateur!CI158*VLOOKUP('Données projet'!$B$12,Paramètres!$A$1:$I$89,3,0)*0.475*44/12</f>
        <v>0</v>
      </c>
      <c r="CM158" s="21">
        <f>EXP(-LN(2)/2)*CM157+(1-EXP(-LN(2)/2))/(LN(2)/2)*CG158*CJ158*VLOOKUP('Données projet'!$B$12,Paramètres!$A$1:$I$89,3,0)*0.475*44/12</f>
        <v>0</v>
      </c>
      <c r="CN158" s="22">
        <f t="shared" si="172"/>
        <v>184.14197215014468</v>
      </c>
      <c r="CO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19.8100000000004</v>
      </c>
      <c r="CU158" s="17">
        <f>CT158*VLOOKUP('Données projet'!$B$13,Paramètres!$A$1:$I$89,3,0)*VLOOKUP('Données projet'!$B$13,Paramètres!$A$1:$I$89,5,0)</f>
        <v>18.851196000000382</v>
      </c>
      <c r="CV158" s="13">
        <f t="shared" si="173"/>
        <v>6.172221809210666</v>
      </c>
      <c r="CW158" s="20">
        <f t="shared" si="174"/>
        <v>43.582452684375909</v>
      </c>
      <c r="CX158" s="59">
        <f t="shared" si="122"/>
        <v>330.83180770955562</v>
      </c>
      <c r="CY158" s="59">
        <f ca="1">AVERAGE(OFFSET($CX$3,0,0,'Données projet'!$E$13+1,1))-AVERAGE(OFFSET($H$3,0,0,'Données projet'!$E$13+1,1))</f>
        <v>592.58528889137358</v>
      </c>
      <c r="CZ158" s="59">
        <f t="shared" si="150"/>
        <v>311.31528020403709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181.17194034127147</v>
      </c>
      <c r="DG158" s="21">
        <f>EXP(-LN(2)/25)*DG157+(1-EXP(-LN(2)/25))/(LN(2)/25)*Calculateur!DB158*Calculateur!DD158*VLOOKUP('Données projet'!$B$13,Paramètres!$A$1:$I$89,3,0)*0.475*44/12</f>
        <v>0</v>
      </c>
      <c r="DH158" s="21">
        <f>EXP(-LN(2)/2)*DH157+(1-EXP(-LN(2)/2))/(LN(2)/2)*DB158*DE158*VLOOKUP('Données projet'!$B$13,Paramètres!$A$1:$I$89,3,0)*0.475*44/12</f>
        <v>0</v>
      </c>
      <c r="DI158" s="22">
        <f t="shared" si="175"/>
        <v>181.17194034127147</v>
      </c>
      <c r="DJ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2">
        <f>'Scénario référence'!$B$16*5+'Scénario référence'!$B$17*0+'Scénario référence'!$B$18*5</f>
        <v>5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66">
        <f t="shared" si="110"/>
        <v>183.33333333333334</v>
      </c>
      <c r="I159" s="6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19.8100000000004</v>
      </c>
      <c r="O159" s="13">
        <f>N159*VLOOKUP('Données projet'!$B$9,Paramètres!$A$1:$I$89,3,0)*VLOOKUP('Données projet'!$B$9,Paramètres!$A$1:$I$89,5,0)</f>
        <v>17.924088000000364</v>
      </c>
      <c r="P159" s="13">
        <f t="shared" si="141"/>
        <v>5.9032212091029486</v>
      </c>
      <c r="Q159" s="20">
        <f t="shared" si="162"/>
        <v>41.499230205854936</v>
      </c>
      <c r="R159" s="59">
        <f t="shared" si="109"/>
        <v>328.85412865294325</v>
      </c>
      <c r="S159" s="59">
        <f ca="1">AVERAGE(OFFSET($R$3,0,0,'Données projet'!$E$9+1,1))-AVERAGE(OFFSET($H$3,0,0,'Données projet'!$E$9+1,1))</f>
        <v>567.42635821507474</v>
      </c>
      <c r="T159" s="59">
        <f t="shared" si="142"/>
        <v>299.04735309930152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168.88389520522585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168.88389520522585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404.00000000000017</v>
      </c>
      <c r="AJ159" s="13">
        <f>AI159*VLOOKUP('Données projet'!$B$10,Paramètres!$A$1:$I$89,3,0)*VLOOKUP('Données projet'!$B$10,Paramètres!$A$1:$I$89,5,0)</f>
        <v>346.63200000000018</v>
      </c>
      <c r="AK159" s="13">
        <f t="shared" si="164"/>
        <v>80.868615263336864</v>
      </c>
      <c r="AL159" s="20">
        <f t="shared" si="165"/>
        <v>744.56357158364528</v>
      </c>
      <c r="AM159" s="59">
        <f t="shared" si="113"/>
        <v>1031.9184700307337</v>
      </c>
      <c r="AN159" s="59">
        <f ca="1">AVERAGE(OFFSET($AM$3,0,0,'Données projet'!$E$10+1,1))-AVERAGE(OFFSET($H$3,0,0,'Données projet'!$E$10+1,1))</f>
        <v>481.23392184981651</v>
      </c>
      <c r="AO159" s="59">
        <f t="shared" si="144"/>
        <v>275.88160405468193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48.997821964453813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48.997821964453813</v>
      </c>
      <c r="AY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328.00000000000006</v>
      </c>
      <c r="BE159" s="13">
        <f>BD159*VLOOKUP('Données projet'!$B$11,Paramètres!$A$1:$I$89,3,0)*VLOOKUP('Données projet'!$B$11,Paramètres!$A$1:$I$89,5,0)</f>
        <v>255.84000000000006</v>
      </c>
      <c r="BF159" s="13">
        <f t="shared" si="167"/>
        <v>61.834803371075836</v>
      </c>
      <c r="BG159" s="20">
        <f t="shared" si="168"/>
        <v>553.28361587129041</v>
      </c>
      <c r="BH159" s="59">
        <f t="shared" si="116"/>
        <v>840.63851431837872</v>
      </c>
      <c r="BI159" s="59">
        <f ca="1">AVERAGE(OFFSET($BH$3,0,0,'Données projet'!$E$11+1,1))-AVERAGE(OFFSET($H$3,0,0,'Données projet'!$E$11+1,1))</f>
        <v>308.85018589589453</v>
      </c>
      <c r="BJ159" s="59">
        <f t="shared" si="146"/>
        <v>302.59481222418219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8.9946714484597869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8.9946714484597869</v>
      </c>
      <c r="BT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19.8100000000004</v>
      </c>
      <c r="BZ159" s="13">
        <f>BY159*VLOOKUP('Données projet'!$B$12,Paramètres!$A$1:$I$89,3,0)*VLOOKUP('Données projet'!$B$12,Paramètres!$A$1:$I$89,5,0)</f>
        <v>19.160232000000388</v>
      </c>
      <c r="CA159" s="13">
        <f t="shared" si="170"/>
        <v>6.2615431735370342</v>
      </c>
      <c r="CB159" s="20">
        <f t="shared" si="171"/>
        <v>44.27625842724435</v>
      </c>
      <c r="CC159" s="59">
        <f t="shared" si="119"/>
        <v>331.63115687433265</v>
      </c>
      <c r="CD159" s="59">
        <f ca="1">AVERAGE(OFFSET($CC$3,0,0,'Données projet'!$E$12+1,1))-AVERAGE(OFFSET($H$3,0,0,'Données projet'!$E$12+1,1))</f>
        <v>600.96600099724276</v>
      </c>
      <c r="CE159" s="59">
        <f t="shared" si="148"/>
        <v>315.40159260706264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180.53106039179312</v>
      </c>
      <c r="CL159" s="21">
        <f>EXP(-LN(2)/25)*CL158+(1-EXP(-LN(2)/25))/(LN(2)/25)*Calculateur!CG159*Calculateur!CI159*VLOOKUP('Données projet'!$B$12,Paramètres!$A$1:$I$89,3,0)*0.475*44/12</f>
        <v>0</v>
      </c>
      <c r="CM159" s="21">
        <f>EXP(-LN(2)/2)*CM158+(1-EXP(-LN(2)/2))/(LN(2)/2)*CG159*CJ159*VLOOKUP('Données projet'!$B$12,Paramètres!$A$1:$I$89,3,0)*0.475*44/12</f>
        <v>0</v>
      </c>
      <c r="CN159" s="22">
        <f t="shared" si="172"/>
        <v>180.53106039179312</v>
      </c>
      <c r="CO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19.8100000000004</v>
      </c>
      <c r="CU159" s="17">
        <f>CT159*VLOOKUP('Données projet'!$B$13,Paramètres!$A$1:$I$89,3,0)*VLOOKUP('Données projet'!$B$13,Paramètres!$A$1:$I$89,5,0)</f>
        <v>18.851196000000382</v>
      </c>
      <c r="CV159" s="13">
        <f t="shared" si="173"/>
        <v>6.172221809210666</v>
      </c>
      <c r="CW159" s="20">
        <f t="shared" si="174"/>
        <v>43.582452684375909</v>
      </c>
      <c r="CX159" s="59">
        <f t="shared" si="122"/>
        <v>330.9373511314642</v>
      </c>
      <c r="CY159" s="59">
        <f ca="1">AVERAGE(OFFSET($CX$3,0,0,'Données projet'!$E$13+1,1))-AVERAGE(OFFSET($H$3,0,0,'Données projet'!$E$13+1,1))</f>
        <v>592.58528889137358</v>
      </c>
      <c r="CZ159" s="59">
        <f t="shared" si="150"/>
        <v>311.31528020403709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177.61926909515137</v>
      </c>
      <c r="DG159" s="21">
        <f>EXP(-LN(2)/25)*DG158+(1-EXP(-LN(2)/25))/(LN(2)/25)*Calculateur!DB159*Calculateur!DD159*VLOOKUP('Données projet'!$B$13,Paramètres!$A$1:$I$89,3,0)*0.475*44/12</f>
        <v>0</v>
      </c>
      <c r="DH159" s="21">
        <f>EXP(-LN(2)/2)*DH158+(1-EXP(-LN(2)/2))/(LN(2)/2)*DB159*DE159*VLOOKUP('Données projet'!$B$13,Paramètres!$A$1:$I$89,3,0)*0.475*44/12</f>
        <v>0</v>
      </c>
      <c r="DI159" s="22">
        <f t="shared" si="175"/>
        <v>177.61926909515137</v>
      </c>
      <c r="DJ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2">
        <f>'Scénario référence'!$B$16*5+'Scénario référence'!$B$17*0+'Scénario référence'!$B$18*5</f>
        <v>5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66">
        <f t="shared" si="110"/>
        <v>183.33333333333334</v>
      </c>
      <c r="I160" s="6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19.8100000000004</v>
      </c>
      <c r="O160" s="13">
        <f>N160*VLOOKUP('Données projet'!$B$9,Paramètres!$A$1:$I$89,3,0)*VLOOKUP('Données projet'!$B$9,Paramètres!$A$1:$I$89,5,0)</f>
        <v>17.924088000000364</v>
      </c>
      <c r="P160" s="13">
        <f t="shared" si="141"/>
        <v>5.9032212091029486</v>
      </c>
      <c r="Q160" s="20">
        <f t="shared" si="162"/>
        <v>41.499230205854936</v>
      </c>
      <c r="R160" s="59">
        <f t="shared" si="109"/>
        <v>328.9578411324415</v>
      </c>
      <c r="S160" s="59">
        <f ca="1">AVERAGE(OFFSET($R$3,0,0,'Données projet'!$E$9+1,1))-AVERAGE(OFFSET($H$3,0,0,'Données projet'!$E$9+1,1))</f>
        <v>567.42635821507474</v>
      </c>
      <c r="T160" s="59">
        <f t="shared" si="142"/>
        <v>299.04735309930152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165.57218502925616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165.57218502925616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404.00000000000017</v>
      </c>
      <c r="AJ160" s="13">
        <f>AI160*VLOOKUP('Données projet'!$B$10,Paramètres!$A$1:$I$89,3,0)*VLOOKUP('Données projet'!$B$10,Paramètres!$A$1:$I$89,5,0)</f>
        <v>346.63200000000018</v>
      </c>
      <c r="AK160" s="13">
        <f t="shared" si="164"/>
        <v>80.868615263336864</v>
      </c>
      <c r="AL160" s="20">
        <f t="shared" si="165"/>
        <v>744.56357158364528</v>
      </c>
      <c r="AM160" s="59">
        <f t="shared" si="113"/>
        <v>1032.0221825102319</v>
      </c>
      <c r="AN160" s="59">
        <f ca="1">AVERAGE(OFFSET($AM$3,0,0,'Données projet'!$E$10+1,1))-AVERAGE(OFFSET($H$3,0,0,'Données projet'!$E$10+1,1))</f>
        <v>481.23392184981651</v>
      </c>
      <c r="AO160" s="59">
        <f t="shared" si="144"/>
        <v>275.88160405468193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48.037004561451305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48.037004561451305</v>
      </c>
      <c r="AY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328.00000000000006</v>
      </c>
      <c r="BE160" s="13">
        <f>BD160*VLOOKUP('Données projet'!$B$11,Paramètres!$A$1:$I$89,3,0)*VLOOKUP('Données projet'!$B$11,Paramètres!$A$1:$I$89,5,0)</f>
        <v>255.84000000000006</v>
      </c>
      <c r="BF160" s="13">
        <f t="shared" si="167"/>
        <v>61.834803371075836</v>
      </c>
      <c r="BG160" s="20">
        <f t="shared" si="168"/>
        <v>553.28361587129041</v>
      </c>
      <c r="BH160" s="59">
        <f t="shared" si="116"/>
        <v>840.74222679787704</v>
      </c>
      <c r="BI160" s="59">
        <f ca="1">AVERAGE(OFFSET($BH$3,0,0,'Données projet'!$E$11+1,1))-AVERAGE(OFFSET($H$3,0,0,'Données projet'!$E$11+1,1))</f>
        <v>308.85018589589453</v>
      </c>
      <c r="BJ160" s="59">
        <f t="shared" si="146"/>
        <v>302.59481222418219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8.8182914275633557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8.8182914275633557</v>
      </c>
      <c r="BT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19.8100000000004</v>
      </c>
      <c r="BZ160" s="13">
        <f>BY160*VLOOKUP('Données projet'!$B$12,Paramètres!$A$1:$I$89,3,0)*VLOOKUP('Données projet'!$B$12,Paramètres!$A$1:$I$89,5,0)</f>
        <v>19.160232000000388</v>
      </c>
      <c r="CA160" s="13">
        <f t="shared" si="170"/>
        <v>6.2615431735370342</v>
      </c>
      <c r="CB160" s="20">
        <f t="shared" si="171"/>
        <v>44.27625842724435</v>
      </c>
      <c r="CC160" s="59">
        <f t="shared" si="119"/>
        <v>331.7348693538309</v>
      </c>
      <c r="CD160" s="59">
        <f ca="1">AVERAGE(OFFSET($CC$3,0,0,'Données projet'!$E$12+1,1))-AVERAGE(OFFSET($H$3,0,0,'Données projet'!$E$12+1,1))</f>
        <v>600.96600099724276</v>
      </c>
      <c r="CE160" s="59">
        <f t="shared" si="148"/>
        <v>315.40159260706264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176.99095641058412</v>
      </c>
      <c r="CL160" s="21">
        <f>EXP(-LN(2)/25)*CL159+(1-EXP(-LN(2)/25))/(LN(2)/25)*Calculateur!CG160*Calculateur!CI160*VLOOKUP('Données projet'!$B$12,Paramètres!$A$1:$I$89,3,0)*0.475*44/12</f>
        <v>0</v>
      </c>
      <c r="CM160" s="21">
        <f>EXP(-LN(2)/2)*CM159+(1-EXP(-LN(2)/2))/(LN(2)/2)*CG160*CJ160*VLOOKUP('Données projet'!$B$12,Paramètres!$A$1:$I$89,3,0)*0.475*44/12</f>
        <v>0</v>
      </c>
      <c r="CN160" s="22">
        <f t="shared" si="172"/>
        <v>176.99095641058412</v>
      </c>
      <c r="CO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19.8100000000004</v>
      </c>
      <c r="CU160" s="17">
        <f>CT160*VLOOKUP('Données projet'!$B$13,Paramètres!$A$1:$I$89,3,0)*VLOOKUP('Données projet'!$B$13,Paramètres!$A$1:$I$89,5,0)</f>
        <v>18.851196000000382</v>
      </c>
      <c r="CV160" s="13">
        <f t="shared" si="173"/>
        <v>6.172221809210666</v>
      </c>
      <c r="CW160" s="20">
        <f t="shared" si="174"/>
        <v>43.582452684375909</v>
      </c>
      <c r="CX160" s="59">
        <f t="shared" si="122"/>
        <v>331.04106361096251</v>
      </c>
      <c r="CY160" s="59">
        <f ca="1">AVERAGE(OFFSET($CX$3,0,0,'Données projet'!$E$13+1,1))-AVERAGE(OFFSET($H$3,0,0,'Données projet'!$E$13+1,1))</f>
        <v>592.58528889137358</v>
      </c>
      <c r="CZ160" s="59">
        <f t="shared" si="150"/>
        <v>311.31528020403709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174.13626356525219</v>
      </c>
      <c r="DG160" s="21">
        <f>EXP(-LN(2)/25)*DG159+(1-EXP(-LN(2)/25))/(LN(2)/25)*Calculateur!DB160*Calculateur!DD160*VLOOKUP('Données projet'!$B$13,Paramètres!$A$1:$I$89,3,0)*0.475*44/12</f>
        <v>0</v>
      </c>
      <c r="DH160" s="21">
        <f>EXP(-LN(2)/2)*DH159+(1-EXP(-LN(2)/2))/(LN(2)/2)*DB160*DE160*VLOOKUP('Données projet'!$B$13,Paramètres!$A$1:$I$89,3,0)*0.475*44/12</f>
        <v>0</v>
      </c>
      <c r="DI160" s="22">
        <f t="shared" si="175"/>
        <v>174.13626356525219</v>
      </c>
      <c r="DJ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2">
        <f>'Scénario référence'!$B$16*5+'Scénario référence'!$B$17*0+'Scénario référence'!$B$18*5</f>
        <v>5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66">
        <f t="shared" si="110"/>
        <v>183.33333333333334</v>
      </c>
      <c r="I161" s="6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19.8100000000004</v>
      </c>
      <c r="O161" s="13">
        <f>N161*VLOOKUP('Données projet'!$B$9,Paramètres!$A$1:$I$89,3,0)*VLOOKUP('Données projet'!$B$9,Paramètres!$A$1:$I$89,5,0)</f>
        <v>17.924088000000364</v>
      </c>
      <c r="P161" s="13">
        <f t="shared" si="141"/>
        <v>5.9032212091029486</v>
      </c>
      <c r="Q161" s="20">
        <f t="shared" si="162"/>
        <v>41.499230205854936</v>
      </c>
      <c r="R161" s="59">
        <f t="shared" si="109"/>
        <v>329.05975443228692</v>
      </c>
      <c r="S161" s="59">
        <f ca="1">AVERAGE(OFFSET($R$3,0,0,'Données projet'!$E$9+1,1))-AVERAGE(OFFSET($H$3,0,0,'Données projet'!$E$9+1,1))</f>
        <v>567.42635821507474</v>
      </c>
      <c r="T161" s="59">
        <f t="shared" si="142"/>
        <v>299.04735309930152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162.32541546989347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162.32541546989347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404.00000000000017</v>
      </c>
      <c r="AJ161" s="13">
        <f>AI161*VLOOKUP('Données projet'!$B$10,Paramètres!$A$1:$I$89,3,0)*VLOOKUP('Données projet'!$B$10,Paramètres!$A$1:$I$89,5,0)</f>
        <v>346.63200000000018</v>
      </c>
      <c r="AK161" s="13">
        <f t="shared" si="164"/>
        <v>80.868615263336864</v>
      </c>
      <c r="AL161" s="20">
        <f t="shared" si="165"/>
        <v>744.56357158364528</v>
      </c>
      <c r="AM161" s="59">
        <f t="shared" si="113"/>
        <v>1032.1240958100773</v>
      </c>
      <c r="AN161" s="59">
        <f ca="1">AVERAGE(OFFSET($AM$3,0,0,'Données projet'!$E$10+1,1))-AVERAGE(OFFSET($H$3,0,0,'Données projet'!$E$10+1,1))</f>
        <v>481.23392184981651</v>
      </c>
      <c r="AO161" s="59">
        <f t="shared" si="144"/>
        <v>275.88160405468193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47.095028201680925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47.095028201680925</v>
      </c>
      <c r="AY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328.00000000000006</v>
      </c>
      <c r="BE161" s="13">
        <f>BD161*VLOOKUP('Données projet'!$B$11,Paramètres!$A$1:$I$89,3,0)*VLOOKUP('Données projet'!$B$11,Paramètres!$A$1:$I$89,5,0)</f>
        <v>255.84000000000006</v>
      </c>
      <c r="BF161" s="13">
        <f t="shared" si="167"/>
        <v>61.834803371075836</v>
      </c>
      <c r="BG161" s="20">
        <f t="shared" si="168"/>
        <v>553.28361587129041</v>
      </c>
      <c r="BH161" s="59">
        <f t="shared" si="116"/>
        <v>840.8441400977224</v>
      </c>
      <c r="BI161" s="59">
        <f ca="1">AVERAGE(OFFSET($BH$3,0,0,'Données projet'!$E$11+1,1))-AVERAGE(OFFSET($H$3,0,0,'Données projet'!$E$11+1,1))</f>
        <v>308.85018589589453</v>
      </c>
      <c r="BJ161" s="59">
        <f t="shared" si="146"/>
        <v>302.59481222418219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8.645370111295513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8.645370111295513</v>
      </c>
      <c r="BT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19.8100000000004</v>
      </c>
      <c r="BZ161" s="13">
        <f>BY161*VLOOKUP('Données projet'!$B$12,Paramètres!$A$1:$I$89,3,0)*VLOOKUP('Données projet'!$B$12,Paramètres!$A$1:$I$89,5,0)</f>
        <v>19.160232000000388</v>
      </c>
      <c r="CA161" s="13">
        <f t="shared" si="170"/>
        <v>6.2615431735370342</v>
      </c>
      <c r="CB161" s="20">
        <f t="shared" si="171"/>
        <v>44.27625842724435</v>
      </c>
      <c r="CC161" s="59">
        <f t="shared" si="119"/>
        <v>331.83678265367632</v>
      </c>
      <c r="CD161" s="59">
        <f ca="1">AVERAGE(OFFSET($CC$3,0,0,'Données projet'!$E$12+1,1))-AVERAGE(OFFSET($H$3,0,0,'Données projet'!$E$12+1,1))</f>
        <v>600.96600099724276</v>
      </c>
      <c r="CE161" s="59">
        <f t="shared" si="148"/>
        <v>315.40159260706264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173.52027170919641</v>
      </c>
      <c r="CL161" s="21">
        <f>EXP(-LN(2)/25)*CL160+(1-EXP(-LN(2)/25))/(LN(2)/25)*Calculateur!CG161*Calculateur!CI161*VLOOKUP('Données projet'!$B$12,Paramètres!$A$1:$I$89,3,0)*0.475*44/12</f>
        <v>0</v>
      </c>
      <c r="CM161" s="21">
        <f>EXP(-LN(2)/2)*CM160+(1-EXP(-LN(2)/2))/(LN(2)/2)*CG161*CJ161*VLOOKUP('Données projet'!$B$12,Paramètres!$A$1:$I$89,3,0)*0.475*44/12</f>
        <v>0</v>
      </c>
      <c r="CN161" s="22">
        <f t="shared" si="172"/>
        <v>173.52027170919641</v>
      </c>
      <c r="CO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19.8100000000004</v>
      </c>
      <c r="CU161" s="17">
        <f>CT161*VLOOKUP('Données projet'!$B$13,Paramètres!$A$1:$I$89,3,0)*VLOOKUP('Données projet'!$B$13,Paramètres!$A$1:$I$89,5,0)</f>
        <v>18.851196000000382</v>
      </c>
      <c r="CV161" s="13">
        <f t="shared" si="173"/>
        <v>6.172221809210666</v>
      </c>
      <c r="CW161" s="20">
        <f t="shared" si="174"/>
        <v>43.582452684375909</v>
      </c>
      <c r="CX161" s="59">
        <f t="shared" si="122"/>
        <v>331.14297691080787</v>
      </c>
      <c r="CY161" s="59">
        <f ca="1">AVERAGE(OFFSET($CX$3,0,0,'Données projet'!$E$13+1,1))-AVERAGE(OFFSET($H$3,0,0,'Données projet'!$E$13+1,1))</f>
        <v>592.58528889137358</v>
      </c>
      <c r="CZ161" s="59">
        <f t="shared" si="150"/>
        <v>311.31528020403709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170.72155764937074</v>
      </c>
      <c r="DG161" s="21">
        <f>EXP(-LN(2)/25)*DG160+(1-EXP(-LN(2)/25))/(LN(2)/25)*Calculateur!DB161*Calculateur!DD161*VLOOKUP('Données projet'!$B$13,Paramètres!$A$1:$I$89,3,0)*0.475*44/12</f>
        <v>0</v>
      </c>
      <c r="DH161" s="21">
        <f>EXP(-LN(2)/2)*DH160+(1-EXP(-LN(2)/2))/(LN(2)/2)*DB161*DE161*VLOOKUP('Données projet'!$B$13,Paramètres!$A$1:$I$89,3,0)*0.475*44/12</f>
        <v>0</v>
      </c>
      <c r="DI161" s="22">
        <f t="shared" si="175"/>
        <v>170.72155764937074</v>
      </c>
      <c r="DJ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2">
        <f>'Scénario référence'!$B$16*5+'Scénario référence'!$B$17*0+'Scénario référence'!$B$18*5</f>
        <v>5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66">
        <f t="shared" si="110"/>
        <v>183.33333333333334</v>
      </c>
      <c r="I162" s="6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19.8100000000004</v>
      </c>
      <c r="O162" s="13">
        <f>N162*VLOOKUP('Données projet'!$B$9,Paramètres!$A$1:$I$89,3,0)*VLOOKUP('Données projet'!$B$9,Paramètres!$A$1:$I$89,5,0)</f>
        <v>17.924088000000364</v>
      </c>
      <c r="P162" s="13">
        <f t="shared" si="141"/>
        <v>5.9032212091029486</v>
      </c>
      <c r="Q162" s="20">
        <f t="shared" si="162"/>
        <v>41.499230205854936</v>
      </c>
      <c r="R162" s="59">
        <f t="shared" si="109"/>
        <v>329.15989976422389</v>
      </c>
      <c r="S162" s="59">
        <f ca="1">AVERAGE(OFFSET($R$3,0,0,'Données projet'!$E$9+1,1))-AVERAGE(OFFSET($H$3,0,0,'Données projet'!$E$9+1,1))</f>
        <v>567.42635821507474</v>
      </c>
      <c r="T162" s="59">
        <f t="shared" si="142"/>
        <v>299.04735309930152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159.14231308125599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159.14231308125599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404.00000000000017</v>
      </c>
      <c r="AJ162" s="13">
        <f>AI162*VLOOKUP('Données projet'!$B$10,Paramètres!$A$1:$I$89,3,0)*VLOOKUP('Données projet'!$B$10,Paramètres!$A$1:$I$89,5,0)</f>
        <v>346.63200000000018</v>
      </c>
      <c r="AK162" s="13">
        <f t="shared" si="164"/>
        <v>80.868615263336864</v>
      </c>
      <c r="AL162" s="20">
        <f t="shared" si="165"/>
        <v>744.56357158364528</v>
      </c>
      <c r="AM162" s="59">
        <f t="shared" si="113"/>
        <v>1032.2242411420143</v>
      </c>
      <c r="AN162" s="59">
        <f ca="1">AVERAGE(OFFSET($AM$3,0,0,'Données projet'!$E$10+1,1))-AVERAGE(OFFSET($H$3,0,0,'Données projet'!$E$10+1,1))</f>
        <v>481.23392184981651</v>
      </c>
      <c r="AO162" s="59">
        <f t="shared" si="144"/>
        <v>275.88160405468193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46.171523423776797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46.171523423776797</v>
      </c>
      <c r="AY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328.00000000000006</v>
      </c>
      <c r="BE162" s="13">
        <f>BD162*VLOOKUP('Données projet'!$B$11,Paramètres!$A$1:$I$89,3,0)*VLOOKUP('Données projet'!$B$11,Paramètres!$A$1:$I$89,5,0)</f>
        <v>255.84000000000006</v>
      </c>
      <c r="BF162" s="13">
        <f t="shared" si="167"/>
        <v>61.834803371075836</v>
      </c>
      <c r="BG162" s="20">
        <f t="shared" si="168"/>
        <v>553.28361587129041</v>
      </c>
      <c r="BH162" s="59">
        <f t="shared" si="116"/>
        <v>840.94428542965943</v>
      </c>
      <c r="BI162" s="59">
        <f ca="1">AVERAGE(OFFSET($BH$3,0,0,'Données projet'!$E$11+1,1))-AVERAGE(OFFSET($H$3,0,0,'Données projet'!$E$11+1,1))</f>
        <v>308.85018589589453</v>
      </c>
      <c r="BJ162" s="59">
        <f t="shared" si="146"/>
        <v>302.59481222418219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8.4758396765680946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8.4758396765680946</v>
      </c>
      <c r="BT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19.8100000000004</v>
      </c>
      <c r="BZ162" s="13">
        <f>BY162*VLOOKUP('Données projet'!$B$12,Paramètres!$A$1:$I$89,3,0)*VLOOKUP('Données projet'!$B$12,Paramètres!$A$1:$I$89,5,0)</f>
        <v>19.160232000000388</v>
      </c>
      <c r="CA162" s="13">
        <f t="shared" si="170"/>
        <v>6.2615431735370342</v>
      </c>
      <c r="CB162" s="20">
        <f t="shared" si="171"/>
        <v>44.27625842724435</v>
      </c>
      <c r="CC162" s="59">
        <f t="shared" si="119"/>
        <v>331.93692798561329</v>
      </c>
      <c r="CD162" s="59">
        <f ca="1">AVERAGE(OFFSET($CC$3,0,0,'Données projet'!$E$12+1,1))-AVERAGE(OFFSET($H$3,0,0,'Données projet'!$E$12+1,1))</f>
        <v>600.96600099724276</v>
      </c>
      <c r="CE162" s="59">
        <f t="shared" si="148"/>
        <v>315.40159260706264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170.11764501789429</v>
      </c>
      <c r="CL162" s="21">
        <f>EXP(-LN(2)/25)*CL161+(1-EXP(-LN(2)/25))/(LN(2)/25)*Calculateur!CG162*Calculateur!CI162*VLOOKUP('Données projet'!$B$12,Paramètres!$A$1:$I$89,3,0)*0.475*44/12</f>
        <v>0</v>
      </c>
      <c r="CM162" s="21">
        <f>EXP(-LN(2)/2)*CM161+(1-EXP(-LN(2)/2))/(LN(2)/2)*CG162*CJ162*VLOOKUP('Données projet'!$B$12,Paramètres!$A$1:$I$89,3,0)*0.475*44/12</f>
        <v>0</v>
      </c>
      <c r="CN162" s="22">
        <f t="shared" si="172"/>
        <v>170.11764501789429</v>
      </c>
      <c r="CO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19.8100000000004</v>
      </c>
      <c r="CU162" s="17">
        <f>CT162*VLOOKUP('Données projet'!$B$13,Paramètres!$A$1:$I$89,3,0)*VLOOKUP('Données projet'!$B$13,Paramètres!$A$1:$I$89,5,0)</f>
        <v>18.851196000000382</v>
      </c>
      <c r="CV162" s="13">
        <f t="shared" si="173"/>
        <v>6.172221809210666</v>
      </c>
      <c r="CW162" s="20">
        <f t="shared" si="174"/>
        <v>43.582452684375909</v>
      </c>
      <c r="CX162" s="59">
        <f t="shared" si="122"/>
        <v>331.2431222427449</v>
      </c>
      <c r="CY162" s="59">
        <f ca="1">AVERAGE(OFFSET($CX$3,0,0,'Données projet'!$E$13+1,1))-AVERAGE(OFFSET($H$3,0,0,'Données projet'!$E$13+1,1))</f>
        <v>592.58528889137358</v>
      </c>
      <c r="CZ162" s="59">
        <f t="shared" si="150"/>
        <v>311.31528020403709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167.37381203373477</v>
      </c>
      <c r="DG162" s="21">
        <f>EXP(-LN(2)/25)*DG161+(1-EXP(-LN(2)/25))/(LN(2)/25)*Calculateur!DB162*Calculateur!DD162*VLOOKUP('Données projet'!$B$13,Paramètres!$A$1:$I$89,3,0)*0.475*44/12</f>
        <v>0</v>
      </c>
      <c r="DH162" s="21">
        <f>EXP(-LN(2)/2)*DH161+(1-EXP(-LN(2)/2))/(LN(2)/2)*DB162*DE162*VLOOKUP('Données projet'!$B$13,Paramètres!$A$1:$I$89,3,0)*0.475*44/12</f>
        <v>0</v>
      </c>
      <c r="DI162" s="22">
        <f t="shared" si="175"/>
        <v>167.37381203373477</v>
      </c>
      <c r="DJ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2">
        <f>'Scénario référence'!$B$16*5+'Scénario référence'!$B$17*0+'Scénario référence'!$B$18*5</f>
        <v>5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66">
        <f t="shared" si="110"/>
        <v>183.33333333333334</v>
      </c>
      <c r="I163" s="6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19.8100000000004</v>
      </c>
      <c r="O163" s="13">
        <f>N163*VLOOKUP('Données projet'!$B$9,Paramètres!$A$1:$I$89,3,0)*VLOOKUP('Données projet'!$B$9,Paramètres!$A$1:$I$89,5,0)</f>
        <v>17.924088000000364</v>
      </c>
      <c r="P163" s="13">
        <f t="shared" si="141"/>
        <v>5.9032212091029486</v>
      </c>
      <c r="Q163" s="20">
        <f t="shared" si="162"/>
        <v>41.499230205854936</v>
      </c>
      <c r="R163" s="59">
        <f t="shared" si="109"/>
        <v>329.25830779854329</v>
      </c>
      <c r="S163" s="59">
        <f ca="1">AVERAGE(OFFSET($R$3,0,0,'Données projet'!$E$9+1,1))-AVERAGE(OFFSET($H$3,0,0,'Données projet'!$E$9+1,1))</f>
        <v>567.42635821507474</v>
      </c>
      <c r="T163" s="59">
        <f t="shared" si="142"/>
        <v>299.04735309930152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156.02162938895896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156.02162938895896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404.00000000000017</v>
      </c>
      <c r="AJ163" s="13">
        <f>AI163*VLOOKUP('Données projet'!$B$10,Paramètres!$A$1:$I$89,3,0)*VLOOKUP('Données projet'!$B$10,Paramètres!$A$1:$I$89,5,0)</f>
        <v>346.63200000000018</v>
      </c>
      <c r="AK163" s="13">
        <f t="shared" si="164"/>
        <v>80.868615263336864</v>
      </c>
      <c r="AL163" s="20">
        <f t="shared" si="165"/>
        <v>744.56357158364528</v>
      </c>
      <c r="AM163" s="59">
        <f t="shared" si="113"/>
        <v>1032.3226491763337</v>
      </c>
      <c r="AN163" s="59">
        <f ca="1">AVERAGE(OFFSET($AM$3,0,0,'Données projet'!$E$10+1,1))-AVERAGE(OFFSET($H$3,0,0,'Données projet'!$E$10+1,1))</f>
        <v>481.23392184981651</v>
      </c>
      <c r="AO163" s="59">
        <f t="shared" si="144"/>
        <v>275.88160405468193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45.266128011285069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45.266128011285069</v>
      </c>
      <c r="AY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328.00000000000006</v>
      </c>
      <c r="BE163" s="13">
        <f>BD163*VLOOKUP('Données projet'!$B$11,Paramètres!$A$1:$I$89,3,0)*VLOOKUP('Données projet'!$B$11,Paramètres!$A$1:$I$89,5,0)</f>
        <v>255.84000000000006</v>
      </c>
      <c r="BF163" s="13">
        <f t="shared" si="167"/>
        <v>61.834803371075836</v>
      </c>
      <c r="BG163" s="20">
        <f t="shared" si="168"/>
        <v>553.28361587129041</v>
      </c>
      <c r="BH163" s="59">
        <f t="shared" si="116"/>
        <v>841.04269346397882</v>
      </c>
      <c r="BI163" s="59">
        <f ca="1">AVERAGE(OFFSET($BH$3,0,0,'Données projet'!$E$11+1,1))-AVERAGE(OFFSET($H$3,0,0,'Données projet'!$E$11+1,1))</f>
        <v>308.85018589589453</v>
      </c>
      <c r="BJ163" s="59">
        <f t="shared" si="146"/>
        <v>302.59481222418219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8.3096336302623257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8.3096336302623257</v>
      </c>
      <c r="BT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19.8100000000004</v>
      </c>
      <c r="BZ163" s="13">
        <f>BY163*VLOOKUP('Données projet'!$B$12,Paramètres!$A$1:$I$89,3,0)*VLOOKUP('Données projet'!$B$12,Paramètres!$A$1:$I$89,5,0)</f>
        <v>19.160232000000388</v>
      </c>
      <c r="CA163" s="13">
        <f t="shared" si="170"/>
        <v>6.2615431735370342</v>
      </c>
      <c r="CB163" s="20">
        <f t="shared" si="171"/>
        <v>44.27625842724435</v>
      </c>
      <c r="CC163" s="59">
        <f t="shared" si="119"/>
        <v>332.03533601993269</v>
      </c>
      <c r="CD163" s="59">
        <f ca="1">AVERAGE(OFFSET($CC$3,0,0,'Données projet'!$E$12+1,1))-AVERAGE(OFFSET($H$3,0,0,'Données projet'!$E$12+1,1))</f>
        <v>600.96600099724276</v>
      </c>
      <c r="CE163" s="59">
        <f t="shared" si="148"/>
        <v>315.40159260706264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166.78174176061125</v>
      </c>
      <c r="CL163" s="21">
        <f>EXP(-LN(2)/25)*CL162+(1-EXP(-LN(2)/25))/(LN(2)/25)*Calculateur!CG163*Calculateur!CI163*VLOOKUP('Données projet'!$B$12,Paramètres!$A$1:$I$89,3,0)*0.475*44/12</f>
        <v>0</v>
      </c>
      <c r="CM163" s="21">
        <f>EXP(-LN(2)/2)*CM162+(1-EXP(-LN(2)/2))/(LN(2)/2)*CG163*CJ163*VLOOKUP('Données projet'!$B$12,Paramètres!$A$1:$I$89,3,0)*0.475*44/12</f>
        <v>0</v>
      </c>
      <c r="CN163" s="22">
        <f t="shared" si="172"/>
        <v>166.78174176061125</v>
      </c>
      <c r="CO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19.8100000000004</v>
      </c>
      <c r="CU163" s="17">
        <f>CT163*VLOOKUP('Données projet'!$B$13,Paramètres!$A$1:$I$89,3,0)*VLOOKUP('Données projet'!$B$13,Paramètres!$A$1:$I$89,5,0)</f>
        <v>18.851196000000382</v>
      </c>
      <c r="CV163" s="13">
        <f t="shared" si="173"/>
        <v>6.172221809210666</v>
      </c>
      <c r="CW163" s="20">
        <f t="shared" si="174"/>
        <v>43.582452684375909</v>
      </c>
      <c r="CX163" s="59">
        <f t="shared" si="122"/>
        <v>331.34153027706429</v>
      </c>
      <c r="CY163" s="59">
        <f ca="1">AVERAGE(OFFSET($CX$3,0,0,'Données projet'!$E$13+1,1))-AVERAGE(OFFSET($H$3,0,0,'Données projet'!$E$13+1,1))</f>
        <v>592.58528889137358</v>
      </c>
      <c r="CZ163" s="59">
        <f t="shared" si="150"/>
        <v>311.31528020403709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164.09171366769823</v>
      </c>
      <c r="DG163" s="21">
        <f>EXP(-LN(2)/25)*DG162+(1-EXP(-LN(2)/25))/(LN(2)/25)*Calculateur!DB163*Calculateur!DD163*VLOOKUP('Données projet'!$B$13,Paramètres!$A$1:$I$89,3,0)*0.475*44/12</f>
        <v>0</v>
      </c>
      <c r="DH163" s="21">
        <f>EXP(-LN(2)/2)*DH162+(1-EXP(-LN(2)/2))/(LN(2)/2)*DB163*DE163*VLOOKUP('Données projet'!$B$13,Paramètres!$A$1:$I$89,3,0)*0.475*44/12</f>
        <v>0</v>
      </c>
      <c r="DI163" s="22">
        <f t="shared" si="175"/>
        <v>164.09171366769823</v>
      </c>
      <c r="DJ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2">
        <f>'Scénario référence'!$B$16*5+'Scénario référence'!$B$17*0+'Scénario référence'!$B$18*5</f>
        <v>5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66">
        <f t="shared" si="110"/>
        <v>183.33333333333334</v>
      </c>
      <c r="I164" s="6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19.8100000000004</v>
      </c>
      <c r="O164" s="13">
        <f>N164*VLOOKUP('Données projet'!$B$9,Paramètres!$A$1:$I$89,3,0)*VLOOKUP('Données projet'!$B$9,Paramètres!$A$1:$I$89,5,0)</f>
        <v>17.924088000000364</v>
      </c>
      <c r="P164" s="13">
        <f t="shared" si="141"/>
        <v>5.9032212091029486</v>
      </c>
      <c r="Q164" s="20">
        <f t="shared" si="162"/>
        <v>41.499230205854936</v>
      </c>
      <c r="R164" s="59">
        <f t="shared" si="109"/>
        <v>329.35500867347463</v>
      </c>
      <c r="S164" s="59">
        <f ca="1">AVERAGE(OFFSET($R$3,0,0,'Données projet'!$E$9+1,1))-AVERAGE(OFFSET($H$3,0,0,'Données projet'!$E$9+1,1))</f>
        <v>567.42635821507474</v>
      </c>
      <c r="T164" s="59">
        <f t="shared" si="142"/>
        <v>299.04735309930152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152.96214040043876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152.96214040043876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404.00000000000017</v>
      </c>
      <c r="AJ164" s="13">
        <f>AI164*VLOOKUP('Données projet'!$B$10,Paramètres!$A$1:$I$89,3,0)*VLOOKUP('Données projet'!$B$10,Paramètres!$A$1:$I$89,5,0)</f>
        <v>346.63200000000018</v>
      </c>
      <c r="AK164" s="13">
        <f t="shared" si="164"/>
        <v>80.868615263336864</v>
      </c>
      <c r="AL164" s="20">
        <f t="shared" si="165"/>
        <v>744.56357158364528</v>
      </c>
      <c r="AM164" s="59">
        <f t="shared" si="113"/>
        <v>1032.4193500512649</v>
      </c>
      <c r="AN164" s="59">
        <f ca="1">AVERAGE(OFFSET($AM$3,0,0,'Données projet'!$E$10+1,1))-AVERAGE(OFFSET($H$3,0,0,'Données projet'!$E$10+1,1))</f>
        <v>481.23392184981651</v>
      </c>
      <c r="AO164" s="59">
        <f t="shared" si="144"/>
        <v>275.88160405468193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44.378486850595635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44.378486850595635</v>
      </c>
      <c r="AY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328.00000000000006</v>
      </c>
      <c r="BE164" s="13">
        <f>BD164*VLOOKUP('Données projet'!$B$11,Paramètres!$A$1:$I$89,3,0)*VLOOKUP('Données projet'!$B$11,Paramètres!$A$1:$I$89,5,0)</f>
        <v>255.84000000000006</v>
      </c>
      <c r="BF164" s="13">
        <f t="shared" si="167"/>
        <v>61.834803371075836</v>
      </c>
      <c r="BG164" s="20">
        <f t="shared" si="168"/>
        <v>553.28361587129041</v>
      </c>
      <c r="BH164" s="59">
        <f t="shared" si="116"/>
        <v>841.13939433891005</v>
      </c>
      <c r="BI164" s="59">
        <f ca="1">AVERAGE(OFFSET($BH$3,0,0,'Données projet'!$E$11+1,1))-AVERAGE(OFFSET($H$3,0,0,'Données projet'!$E$11+1,1))</f>
        <v>308.85018589589453</v>
      </c>
      <c r="BJ164" s="59">
        <f t="shared" si="146"/>
        <v>302.59481222418219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8.1466867831489349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8.1466867831489349</v>
      </c>
      <c r="BT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19.8100000000004</v>
      </c>
      <c r="BZ164" s="13">
        <f>BY164*VLOOKUP('Données projet'!$B$12,Paramètres!$A$1:$I$89,3,0)*VLOOKUP('Données projet'!$B$12,Paramètres!$A$1:$I$89,5,0)</f>
        <v>19.160232000000388</v>
      </c>
      <c r="CA164" s="13">
        <f t="shared" si="170"/>
        <v>6.2615431735370342</v>
      </c>
      <c r="CB164" s="20">
        <f t="shared" si="171"/>
        <v>44.27625842724435</v>
      </c>
      <c r="CC164" s="59">
        <f t="shared" si="119"/>
        <v>332.13203689486403</v>
      </c>
      <c r="CD164" s="59">
        <f ca="1">AVERAGE(OFFSET($CC$3,0,0,'Données projet'!$E$12+1,1))-AVERAGE(OFFSET($H$3,0,0,'Données projet'!$E$12+1,1))</f>
        <v>600.96600099724276</v>
      </c>
      <c r="CE164" s="59">
        <f t="shared" si="148"/>
        <v>315.40159260706264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163.51125353150346</v>
      </c>
      <c r="CL164" s="21">
        <f>EXP(-LN(2)/25)*CL163+(1-EXP(-LN(2)/25))/(LN(2)/25)*Calculateur!CG164*Calculateur!CI164*VLOOKUP('Données projet'!$B$12,Paramètres!$A$1:$I$89,3,0)*0.475*44/12</f>
        <v>0</v>
      </c>
      <c r="CM164" s="21">
        <f>EXP(-LN(2)/2)*CM163+(1-EXP(-LN(2)/2))/(LN(2)/2)*CG164*CJ164*VLOOKUP('Données projet'!$B$12,Paramètres!$A$1:$I$89,3,0)*0.475*44/12</f>
        <v>0</v>
      </c>
      <c r="CN164" s="22">
        <f t="shared" si="172"/>
        <v>163.51125353150346</v>
      </c>
      <c r="CO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19.8100000000004</v>
      </c>
      <c r="CU164" s="17">
        <f>CT164*VLOOKUP('Données projet'!$B$13,Paramètres!$A$1:$I$89,3,0)*VLOOKUP('Données projet'!$B$13,Paramètres!$A$1:$I$89,5,0)</f>
        <v>18.851196000000382</v>
      </c>
      <c r="CV164" s="13">
        <f t="shared" si="173"/>
        <v>6.172221809210666</v>
      </c>
      <c r="CW164" s="20">
        <f t="shared" si="174"/>
        <v>43.582452684375909</v>
      </c>
      <c r="CX164" s="59">
        <f t="shared" si="122"/>
        <v>331.43823115199564</v>
      </c>
      <c r="CY164" s="59">
        <f ca="1">AVERAGE(OFFSET($CX$3,0,0,'Données projet'!$E$13+1,1))-AVERAGE(OFFSET($H$3,0,0,'Données projet'!$E$13+1,1))</f>
        <v>592.58528889137358</v>
      </c>
      <c r="CZ164" s="59">
        <f t="shared" si="150"/>
        <v>311.31528020403709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160.87397524873734</v>
      </c>
      <c r="DG164" s="21">
        <f>EXP(-LN(2)/25)*DG163+(1-EXP(-LN(2)/25))/(LN(2)/25)*Calculateur!DB164*Calculateur!DD164*VLOOKUP('Données projet'!$B$13,Paramètres!$A$1:$I$89,3,0)*0.475*44/12</f>
        <v>0</v>
      </c>
      <c r="DH164" s="21">
        <f>EXP(-LN(2)/2)*DH163+(1-EXP(-LN(2)/2))/(LN(2)/2)*DB164*DE164*VLOOKUP('Données projet'!$B$13,Paramètres!$A$1:$I$89,3,0)*0.475*44/12</f>
        <v>0</v>
      </c>
      <c r="DI164" s="22">
        <f t="shared" si="175"/>
        <v>160.87397524873734</v>
      </c>
      <c r="DJ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2">
        <f>'Scénario référence'!$B$16*5+'Scénario référence'!$B$17*0+'Scénario référence'!$B$18*5</f>
        <v>5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66">
        <f t="shared" si="110"/>
        <v>183.33333333333334</v>
      </c>
      <c r="I165" s="6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19.8100000000004</v>
      </c>
      <c r="O165" s="13">
        <f>N165*VLOOKUP('Données projet'!$B$9,Paramètres!$A$1:$I$89,3,0)*VLOOKUP('Données projet'!$B$9,Paramètres!$A$1:$I$89,5,0)</f>
        <v>17.924088000000364</v>
      </c>
      <c r="P165" s="13">
        <f t="shared" si="141"/>
        <v>5.9032212091029486</v>
      </c>
      <c r="Q165" s="20">
        <f t="shared" si="162"/>
        <v>41.499230205854936</v>
      </c>
      <c r="R165" s="59">
        <f t="shared" si="109"/>
        <v>329.45003200441664</v>
      </c>
      <c r="S165" s="59">
        <f ca="1">AVERAGE(OFFSET($R$3,0,0,'Données projet'!$E$9+1,1))-AVERAGE(OFFSET($H$3,0,0,'Données projet'!$E$9+1,1))</f>
        <v>567.42635821507474</v>
      </c>
      <c r="T165" s="59">
        <f t="shared" si="142"/>
        <v>299.04735309930152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149.96264612487943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149.96264612487943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404.00000000000017</v>
      </c>
      <c r="AJ165" s="13">
        <f>AI165*VLOOKUP('Données projet'!$B$10,Paramètres!$A$1:$I$89,3,0)*VLOOKUP('Données projet'!$B$10,Paramètres!$A$1:$I$89,5,0)</f>
        <v>346.63200000000018</v>
      </c>
      <c r="AK165" s="13">
        <f t="shared" si="164"/>
        <v>80.868615263336864</v>
      </c>
      <c r="AL165" s="20">
        <f t="shared" si="165"/>
        <v>744.56357158364528</v>
      </c>
      <c r="AM165" s="59">
        <f t="shared" si="113"/>
        <v>1032.5143733822069</v>
      </c>
      <c r="AN165" s="59">
        <f ca="1">AVERAGE(OFFSET($AM$3,0,0,'Données projet'!$E$10+1,1))-AVERAGE(OFFSET($H$3,0,0,'Données projet'!$E$10+1,1))</f>
        <v>481.23392184981651</v>
      </c>
      <c r="AO165" s="59">
        <f t="shared" si="144"/>
        <v>275.88160405468193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43.508251791659667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43.508251791659667</v>
      </c>
      <c r="AY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328.00000000000006</v>
      </c>
      <c r="BE165" s="13">
        <f>BD165*VLOOKUP('Données projet'!$B$11,Paramètres!$A$1:$I$89,3,0)*VLOOKUP('Données projet'!$B$11,Paramètres!$A$1:$I$89,5,0)</f>
        <v>255.84000000000006</v>
      </c>
      <c r="BF165" s="13">
        <f t="shared" si="167"/>
        <v>61.834803371075836</v>
      </c>
      <c r="BG165" s="20">
        <f t="shared" si="168"/>
        <v>553.28361587129041</v>
      </c>
      <c r="BH165" s="59">
        <f t="shared" si="116"/>
        <v>841.23441766985206</v>
      </c>
      <c r="BI165" s="59">
        <f ca="1">AVERAGE(OFFSET($BH$3,0,0,'Données projet'!$E$11+1,1))-AVERAGE(OFFSET($H$3,0,0,'Données projet'!$E$11+1,1))</f>
        <v>308.85018589589453</v>
      </c>
      <c r="BJ165" s="59">
        <f t="shared" si="146"/>
        <v>302.59481222418219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7.9869352243196747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7.9869352243196747</v>
      </c>
      <c r="BT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19.8100000000004</v>
      </c>
      <c r="BZ165" s="13">
        <f>BY165*VLOOKUP('Données projet'!$B$12,Paramètres!$A$1:$I$89,3,0)*VLOOKUP('Données projet'!$B$12,Paramètres!$A$1:$I$89,5,0)</f>
        <v>19.160232000000388</v>
      </c>
      <c r="CA165" s="13">
        <f t="shared" si="170"/>
        <v>6.2615431735370342</v>
      </c>
      <c r="CB165" s="20">
        <f t="shared" si="171"/>
        <v>44.27625842724435</v>
      </c>
      <c r="CC165" s="59">
        <f t="shared" si="119"/>
        <v>332.22706022580604</v>
      </c>
      <c r="CD165" s="59">
        <f ca="1">AVERAGE(OFFSET($CC$3,0,0,'Données projet'!$E$12+1,1))-AVERAGE(OFFSET($H$3,0,0,'Données projet'!$E$12+1,1))</f>
        <v>600.96600099724276</v>
      </c>
      <c r="CE165" s="59">
        <f t="shared" si="148"/>
        <v>315.40159260706264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160.30489758176762</v>
      </c>
      <c r="CL165" s="21">
        <f>EXP(-LN(2)/25)*CL164+(1-EXP(-LN(2)/25))/(LN(2)/25)*Calculateur!CG165*Calculateur!CI165*VLOOKUP('Données projet'!$B$12,Paramètres!$A$1:$I$89,3,0)*0.475*44/12</f>
        <v>0</v>
      </c>
      <c r="CM165" s="21">
        <f>EXP(-LN(2)/2)*CM164+(1-EXP(-LN(2)/2))/(LN(2)/2)*CG165*CJ165*VLOOKUP('Données projet'!$B$12,Paramètres!$A$1:$I$89,3,0)*0.475*44/12</f>
        <v>0</v>
      </c>
      <c r="CN165" s="22">
        <f t="shared" si="172"/>
        <v>160.30489758176762</v>
      </c>
      <c r="CO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19.8100000000004</v>
      </c>
      <c r="CU165" s="17">
        <f>CT165*VLOOKUP('Données projet'!$B$13,Paramètres!$A$1:$I$89,3,0)*VLOOKUP('Données projet'!$B$13,Paramètres!$A$1:$I$89,5,0)</f>
        <v>18.851196000000382</v>
      </c>
      <c r="CV165" s="13">
        <f t="shared" si="173"/>
        <v>6.172221809210666</v>
      </c>
      <c r="CW165" s="20">
        <f t="shared" si="174"/>
        <v>43.582452684375909</v>
      </c>
      <c r="CX165" s="59">
        <f t="shared" si="122"/>
        <v>331.53325448293765</v>
      </c>
      <c r="CY165" s="59">
        <f ca="1">AVERAGE(OFFSET($CX$3,0,0,'Données projet'!$E$13+1,1))-AVERAGE(OFFSET($H$3,0,0,'Données projet'!$E$13+1,1))</f>
        <v>592.58528889137358</v>
      </c>
      <c r="CZ165" s="59">
        <f t="shared" si="150"/>
        <v>311.31528020403709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157.71933471754562</v>
      </c>
      <c r="DG165" s="21">
        <f>EXP(-LN(2)/25)*DG164+(1-EXP(-LN(2)/25))/(LN(2)/25)*Calculateur!DB165*Calculateur!DD165*VLOOKUP('Données projet'!$B$13,Paramètres!$A$1:$I$89,3,0)*0.475*44/12</f>
        <v>0</v>
      </c>
      <c r="DH165" s="21">
        <f>EXP(-LN(2)/2)*DH164+(1-EXP(-LN(2)/2))/(LN(2)/2)*DB165*DE165*VLOOKUP('Données projet'!$B$13,Paramètres!$A$1:$I$89,3,0)*0.475*44/12</f>
        <v>0</v>
      </c>
      <c r="DI165" s="22">
        <f t="shared" si="175"/>
        <v>157.71933471754562</v>
      </c>
      <c r="DJ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2">
        <f>'Scénario référence'!$B$16*5+'Scénario référence'!$B$17*0+'Scénario référence'!$B$18*5</f>
        <v>5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66">
        <f t="shared" si="110"/>
        <v>183.33333333333334</v>
      </c>
      <c r="I166" s="6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19.8100000000004</v>
      </c>
      <c r="O166" s="13">
        <f>N166*VLOOKUP('Données projet'!$B$9,Paramètres!$A$1:$I$89,3,0)*VLOOKUP('Données projet'!$B$9,Paramètres!$A$1:$I$89,5,0)</f>
        <v>17.924088000000364</v>
      </c>
      <c r="P166" s="13">
        <f t="shared" si="141"/>
        <v>5.9032212091029486</v>
      </c>
      <c r="Q166" s="20">
        <f t="shared" si="162"/>
        <v>41.499230205854936</v>
      </c>
      <c r="R166" s="59">
        <f t="shared" si="109"/>
        <v>329.54340689300716</v>
      </c>
      <c r="S166" s="59">
        <f ca="1">AVERAGE(OFFSET($R$3,0,0,'Données projet'!$E$9+1,1))-AVERAGE(OFFSET($H$3,0,0,'Données projet'!$E$9+1,1))</f>
        <v>567.42635821507474</v>
      </c>
      <c r="T166" s="59">
        <f t="shared" si="142"/>
        <v>299.04735309930152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147.02197010255296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147.02197010255296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404.00000000000017</v>
      </c>
      <c r="AJ166" s="13">
        <f>AI166*VLOOKUP('Données projet'!$B$10,Paramètres!$A$1:$I$89,3,0)*VLOOKUP('Données projet'!$B$10,Paramètres!$A$1:$I$89,5,0)</f>
        <v>346.63200000000018</v>
      </c>
      <c r="AK166" s="13">
        <f t="shared" si="164"/>
        <v>80.868615263336864</v>
      </c>
      <c r="AL166" s="20">
        <f t="shared" si="165"/>
        <v>744.56357158364528</v>
      </c>
      <c r="AM166" s="59">
        <f t="shared" si="113"/>
        <v>1032.6077482707974</v>
      </c>
      <c r="AN166" s="59">
        <f ca="1">AVERAGE(OFFSET($AM$3,0,0,'Données projet'!$E$10+1,1))-AVERAGE(OFFSET($H$3,0,0,'Données projet'!$E$10+1,1))</f>
        <v>481.23392184981651</v>
      </c>
      <c r="AO166" s="59">
        <f t="shared" si="144"/>
        <v>275.88160405468193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42.65508151143846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42.65508151143846</v>
      </c>
      <c r="AY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328.00000000000006</v>
      </c>
      <c r="BE166" s="13">
        <f>BD166*VLOOKUP('Données projet'!$B$11,Paramètres!$A$1:$I$89,3,0)*VLOOKUP('Données projet'!$B$11,Paramètres!$A$1:$I$89,5,0)</f>
        <v>255.84000000000006</v>
      </c>
      <c r="BF166" s="13">
        <f t="shared" si="167"/>
        <v>61.834803371075836</v>
      </c>
      <c r="BG166" s="20">
        <f t="shared" si="168"/>
        <v>553.28361587129041</v>
      </c>
      <c r="BH166" s="59">
        <f t="shared" si="116"/>
        <v>841.32779255844264</v>
      </c>
      <c r="BI166" s="59">
        <f ca="1">AVERAGE(OFFSET($BH$3,0,0,'Données projet'!$E$11+1,1))-AVERAGE(OFFSET($H$3,0,0,'Données projet'!$E$11+1,1))</f>
        <v>308.85018589589453</v>
      </c>
      <c r="BJ166" s="59">
        <f t="shared" si="146"/>
        <v>302.59481222418219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7.8303162961202268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7.8303162961202268</v>
      </c>
      <c r="BT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19.8100000000004</v>
      </c>
      <c r="BZ166" s="13">
        <f>BY166*VLOOKUP('Données projet'!$B$12,Paramètres!$A$1:$I$89,3,0)*VLOOKUP('Données projet'!$B$12,Paramètres!$A$1:$I$89,5,0)</f>
        <v>19.160232000000388</v>
      </c>
      <c r="CA166" s="13">
        <f t="shared" si="170"/>
        <v>6.2615431735370342</v>
      </c>
      <c r="CB166" s="20">
        <f t="shared" si="171"/>
        <v>44.27625842724435</v>
      </c>
      <c r="CC166" s="59">
        <f t="shared" si="119"/>
        <v>332.32043511439656</v>
      </c>
      <c r="CD166" s="59">
        <f ca="1">AVERAGE(OFFSET($CC$3,0,0,'Données projet'!$E$12+1,1))-AVERAGE(OFFSET($H$3,0,0,'Données projet'!$E$12+1,1))</f>
        <v>600.96600099724276</v>
      </c>
      <c r="CE166" s="59">
        <f t="shared" si="148"/>
        <v>315.40159260706264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157.16141631652206</v>
      </c>
      <c r="CL166" s="21">
        <f>EXP(-LN(2)/25)*CL165+(1-EXP(-LN(2)/25))/(LN(2)/25)*Calculateur!CG166*Calculateur!CI166*VLOOKUP('Données projet'!$B$12,Paramètres!$A$1:$I$89,3,0)*0.475*44/12</f>
        <v>0</v>
      </c>
      <c r="CM166" s="21">
        <f>EXP(-LN(2)/2)*CM165+(1-EXP(-LN(2)/2))/(LN(2)/2)*CG166*CJ166*VLOOKUP('Données projet'!$B$12,Paramètres!$A$1:$I$89,3,0)*0.475*44/12</f>
        <v>0</v>
      </c>
      <c r="CN166" s="22">
        <f t="shared" si="172"/>
        <v>157.16141631652206</v>
      </c>
      <c r="CO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19.8100000000004</v>
      </c>
      <c r="CU166" s="17">
        <f>CT166*VLOOKUP('Données projet'!$B$13,Paramètres!$A$1:$I$89,3,0)*VLOOKUP('Données projet'!$B$13,Paramètres!$A$1:$I$89,5,0)</f>
        <v>18.851196000000382</v>
      </c>
      <c r="CV166" s="13">
        <f t="shared" si="173"/>
        <v>6.172221809210666</v>
      </c>
      <c r="CW166" s="20">
        <f t="shared" si="174"/>
        <v>43.582452684375909</v>
      </c>
      <c r="CX166" s="59">
        <f t="shared" si="122"/>
        <v>331.62662937152811</v>
      </c>
      <c r="CY166" s="59">
        <f ca="1">AVERAGE(OFFSET($CX$3,0,0,'Données projet'!$E$13+1,1))-AVERAGE(OFFSET($H$3,0,0,'Données projet'!$E$13+1,1))</f>
        <v>592.58528889137358</v>
      </c>
      <c r="CZ166" s="59">
        <f t="shared" si="150"/>
        <v>311.31528020403709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154.62655476302984</v>
      </c>
      <c r="DG166" s="21">
        <f>EXP(-LN(2)/25)*DG165+(1-EXP(-LN(2)/25))/(LN(2)/25)*Calculateur!DB166*Calculateur!DD166*VLOOKUP('Données projet'!$B$13,Paramètres!$A$1:$I$89,3,0)*0.475*44/12</f>
        <v>0</v>
      </c>
      <c r="DH166" s="21">
        <f>EXP(-LN(2)/2)*DH165+(1-EXP(-LN(2)/2))/(LN(2)/2)*DB166*DE166*VLOOKUP('Données projet'!$B$13,Paramètres!$A$1:$I$89,3,0)*0.475*44/12</f>
        <v>0</v>
      </c>
      <c r="DI166" s="22">
        <f t="shared" si="175"/>
        <v>154.62655476302984</v>
      </c>
      <c r="DJ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2">
        <f>'Scénario référence'!$B$16*5+'Scénario référence'!$B$17*0+'Scénario référence'!$B$18*5</f>
        <v>5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66">
        <f t="shared" si="110"/>
        <v>183.33333333333334</v>
      </c>
      <c r="I167" s="6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19.8100000000004</v>
      </c>
      <c r="O167" s="13">
        <f>N167*VLOOKUP('Données projet'!$B$9,Paramètres!$A$1:$I$89,3,0)*VLOOKUP('Données projet'!$B$9,Paramètres!$A$1:$I$89,5,0)</f>
        <v>17.924088000000364</v>
      </c>
      <c r="P167" s="13">
        <f t="shared" si="141"/>
        <v>5.9032212091029486</v>
      </c>
      <c r="Q167" s="20">
        <f t="shared" si="162"/>
        <v>41.499230205854936</v>
      </c>
      <c r="R167" s="59">
        <f t="shared" si="109"/>
        <v>329.63516193603562</v>
      </c>
      <c r="S167" s="59">
        <f ca="1">AVERAGE(OFFSET($R$3,0,0,'Données projet'!$E$9+1,1))-AVERAGE(OFFSET($H$3,0,0,'Données projet'!$E$9+1,1))</f>
        <v>567.42635821507474</v>
      </c>
      <c r="T167" s="59">
        <f t="shared" si="142"/>
        <v>299.04735309930152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144.13895894338904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144.13895894338904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404.00000000000017</v>
      </c>
      <c r="AJ167" s="13">
        <f>AI167*VLOOKUP('Données projet'!$B$10,Paramètres!$A$1:$I$89,3,0)*VLOOKUP('Données projet'!$B$10,Paramètres!$A$1:$I$89,5,0)</f>
        <v>346.63200000000018</v>
      </c>
      <c r="AK167" s="13">
        <f t="shared" si="164"/>
        <v>80.868615263336864</v>
      </c>
      <c r="AL167" s="20">
        <f t="shared" si="165"/>
        <v>744.56357158364528</v>
      </c>
      <c r="AM167" s="59">
        <f t="shared" si="113"/>
        <v>1032.699503313826</v>
      </c>
      <c r="AN167" s="59">
        <f ca="1">AVERAGE(OFFSET($AM$3,0,0,'Données projet'!$E$10+1,1))-AVERAGE(OFFSET($H$3,0,0,'Données projet'!$E$10+1,1))</f>
        <v>481.23392184981651</v>
      </c>
      <c r="AO167" s="59">
        <f t="shared" si="144"/>
        <v>275.88160405468193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41.818641380029909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41.818641380029909</v>
      </c>
      <c r="AY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328.00000000000006</v>
      </c>
      <c r="BE167" s="13">
        <f>BD167*VLOOKUP('Données projet'!$B$11,Paramètres!$A$1:$I$89,3,0)*VLOOKUP('Données projet'!$B$11,Paramètres!$A$1:$I$89,5,0)</f>
        <v>255.84000000000006</v>
      </c>
      <c r="BF167" s="13">
        <f t="shared" si="167"/>
        <v>61.834803371075836</v>
      </c>
      <c r="BG167" s="20">
        <f t="shared" si="168"/>
        <v>553.28361587129041</v>
      </c>
      <c r="BH167" s="59">
        <f t="shared" si="116"/>
        <v>841.41954760147109</v>
      </c>
      <c r="BI167" s="59">
        <f ca="1">AVERAGE(OFFSET($BH$3,0,0,'Données projet'!$E$11+1,1))-AVERAGE(OFFSET($H$3,0,0,'Données projet'!$E$11+1,1))</f>
        <v>308.85018589589453</v>
      </c>
      <c r="BJ167" s="59">
        <f t="shared" si="146"/>
        <v>302.59481222418219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7.6767685695746568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7.6767685695746568</v>
      </c>
      <c r="BT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19.8100000000004</v>
      </c>
      <c r="BZ167" s="13">
        <f>BY167*VLOOKUP('Données projet'!$B$12,Paramètres!$A$1:$I$89,3,0)*VLOOKUP('Données projet'!$B$12,Paramètres!$A$1:$I$89,5,0)</f>
        <v>19.160232000000388</v>
      </c>
      <c r="CA167" s="13">
        <f t="shared" si="170"/>
        <v>6.2615431735370342</v>
      </c>
      <c r="CB167" s="20">
        <f t="shared" si="171"/>
        <v>44.27625842724435</v>
      </c>
      <c r="CC167" s="59">
        <f t="shared" si="119"/>
        <v>332.41219015742502</v>
      </c>
      <c r="CD167" s="59">
        <f ca="1">AVERAGE(OFFSET($CC$3,0,0,'Données projet'!$E$12+1,1))-AVERAGE(OFFSET($H$3,0,0,'Données projet'!$E$12+1,1))</f>
        <v>600.96600099724276</v>
      </c>
      <c r="CE167" s="59">
        <f t="shared" si="148"/>
        <v>315.40159260706264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154.07957680155374</v>
      </c>
      <c r="CL167" s="21">
        <f>EXP(-LN(2)/25)*CL166+(1-EXP(-LN(2)/25))/(LN(2)/25)*Calculateur!CG167*Calculateur!CI167*VLOOKUP('Données projet'!$B$12,Paramètres!$A$1:$I$89,3,0)*0.475*44/12</f>
        <v>0</v>
      </c>
      <c r="CM167" s="21">
        <f>EXP(-LN(2)/2)*CM166+(1-EXP(-LN(2)/2))/(LN(2)/2)*CG167*CJ167*VLOOKUP('Données projet'!$B$12,Paramètres!$A$1:$I$89,3,0)*0.475*44/12</f>
        <v>0</v>
      </c>
      <c r="CN167" s="22">
        <f t="shared" si="172"/>
        <v>154.07957680155374</v>
      </c>
      <c r="CO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19.8100000000004</v>
      </c>
      <c r="CU167" s="17">
        <f>CT167*VLOOKUP('Données projet'!$B$13,Paramètres!$A$1:$I$89,3,0)*VLOOKUP('Données projet'!$B$13,Paramètres!$A$1:$I$89,5,0)</f>
        <v>18.851196000000382</v>
      </c>
      <c r="CV167" s="13">
        <f t="shared" si="173"/>
        <v>6.172221809210666</v>
      </c>
      <c r="CW167" s="20">
        <f t="shared" si="174"/>
        <v>43.582452684375909</v>
      </c>
      <c r="CX167" s="59">
        <f t="shared" si="122"/>
        <v>331.71838441455657</v>
      </c>
      <c r="CY167" s="59">
        <f ca="1">AVERAGE(OFFSET($CX$3,0,0,'Données projet'!$E$13+1,1))-AVERAGE(OFFSET($H$3,0,0,'Données projet'!$E$13+1,1))</f>
        <v>592.58528889137358</v>
      </c>
      <c r="CZ167" s="59">
        <f t="shared" si="150"/>
        <v>311.31528020403709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151.59442233701262</v>
      </c>
      <c r="DG167" s="21">
        <f>EXP(-LN(2)/25)*DG166+(1-EXP(-LN(2)/25))/(LN(2)/25)*Calculateur!DB167*Calculateur!DD167*VLOOKUP('Données projet'!$B$13,Paramètres!$A$1:$I$89,3,0)*0.475*44/12</f>
        <v>0</v>
      </c>
      <c r="DH167" s="21">
        <f>EXP(-LN(2)/2)*DH166+(1-EXP(-LN(2)/2))/(LN(2)/2)*DB167*DE167*VLOOKUP('Données projet'!$B$13,Paramètres!$A$1:$I$89,3,0)*0.475*44/12</f>
        <v>0</v>
      </c>
      <c r="DI167" s="22">
        <f t="shared" si="175"/>
        <v>151.59442233701262</v>
      </c>
      <c r="DJ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2">
        <f>'Scénario référence'!$B$16*5+'Scénario référence'!$B$17*0+'Scénario référence'!$B$18*5</f>
        <v>5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66">
        <f t="shared" si="110"/>
        <v>183.33333333333334</v>
      </c>
      <c r="I168" s="6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19.8100000000004</v>
      </c>
      <c r="O168" s="13">
        <f>N168*VLOOKUP('Données projet'!$B$9,Paramètres!$A$1:$I$89,3,0)*VLOOKUP('Données projet'!$B$9,Paramètres!$A$1:$I$89,5,0)</f>
        <v>17.924088000000364</v>
      </c>
      <c r="P168" s="13">
        <f t="shared" si="141"/>
        <v>5.9032212091029486</v>
      </c>
      <c r="Q168" s="20">
        <f t="shared" si="162"/>
        <v>41.499230205854936</v>
      </c>
      <c r="R168" s="59">
        <f t="shared" si="109"/>
        <v>329.72532523420108</v>
      </c>
      <c r="S168" s="59">
        <f ca="1">AVERAGE(OFFSET($R$3,0,0,'Données projet'!$E$9+1,1))-AVERAGE(OFFSET($H$3,0,0,'Données projet'!$E$9+1,1))</f>
        <v>567.42635821507474</v>
      </c>
      <c r="T168" s="59">
        <f t="shared" si="142"/>
        <v>299.04735309930152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141.31248187459315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141.31248187459315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404.00000000000017</v>
      </c>
      <c r="AJ168" s="13">
        <f>AI168*VLOOKUP('Données projet'!$B$10,Paramètres!$A$1:$I$89,3,0)*VLOOKUP('Données projet'!$B$10,Paramètres!$A$1:$I$89,5,0)</f>
        <v>346.63200000000018</v>
      </c>
      <c r="AK168" s="13">
        <f t="shared" si="164"/>
        <v>80.868615263336864</v>
      </c>
      <c r="AL168" s="20">
        <f t="shared" si="165"/>
        <v>744.56357158364528</v>
      </c>
      <c r="AM168" s="59">
        <f t="shared" si="113"/>
        <v>1032.7896666119914</v>
      </c>
      <c r="AN168" s="59">
        <f ca="1">AVERAGE(OFFSET($AM$3,0,0,'Données projet'!$E$10+1,1))-AVERAGE(OFFSET($H$3,0,0,'Données projet'!$E$10+1,1))</f>
        <v>481.23392184981651</v>
      </c>
      <c r="AO168" s="59">
        <f t="shared" si="144"/>
        <v>275.88160405468193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40.99860332942017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40.99860332942017</v>
      </c>
      <c r="AY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328.00000000000006</v>
      </c>
      <c r="BE168" s="13">
        <f>BD168*VLOOKUP('Données projet'!$B$11,Paramètres!$A$1:$I$89,3,0)*VLOOKUP('Données projet'!$B$11,Paramètres!$A$1:$I$89,5,0)</f>
        <v>255.84000000000006</v>
      </c>
      <c r="BF168" s="13">
        <f t="shared" si="167"/>
        <v>61.834803371075836</v>
      </c>
      <c r="BG168" s="20">
        <f t="shared" si="168"/>
        <v>553.28361587129041</v>
      </c>
      <c r="BH168" s="59">
        <f t="shared" si="116"/>
        <v>841.5097108996365</v>
      </c>
      <c r="BI168" s="59">
        <f ca="1">AVERAGE(OFFSET($BH$3,0,0,'Données projet'!$E$11+1,1))-AVERAGE(OFFSET($H$3,0,0,'Données projet'!$E$11+1,1))</f>
        <v>308.85018589589453</v>
      </c>
      <c r="BJ168" s="59">
        <f t="shared" si="146"/>
        <v>302.59481222418219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7.5262318202917795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7.5262318202917795</v>
      </c>
      <c r="BT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19.8100000000004</v>
      </c>
      <c r="BZ168" s="13">
        <f>BY168*VLOOKUP('Données projet'!$B$12,Paramètres!$A$1:$I$89,3,0)*VLOOKUP('Données projet'!$B$12,Paramètres!$A$1:$I$89,5,0)</f>
        <v>19.160232000000388</v>
      </c>
      <c r="CA168" s="13">
        <f t="shared" si="170"/>
        <v>6.2615431735370342</v>
      </c>
      <c r="CB168" s="20">
        <f t="shared" si="171"/>
        <v>44.27625842724435</v>
      </c>
      <c r="CC168" s="59">
        <f t="shared" si="119"/>
        <v>332.50235345559048</v>
      </c>
      <c r="CD168" s="59">
        <f ca="1">AVERAGE(OFFSET($CC$3,0,0,'Données projet'!$E$12+1,1))-AVERAGE(OFFSET($H$3,0,0,'Données projet'!$E$12+1,1))</f>
        <v>600.96600099724276</v>
      </c>
      <c r="CE168" s="59">
        <f t="shared" si="148"/>
        <v>315.40159260706264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151.05817027973745</v>
      </c>
      <c r="CL168" s="21">
        <f>EXP(-LN(2)/25)*CL167+(1-EXP(-LN(2)/25))/(LN(2)/25)*Calculateur!CG168*Calculateur!CI168*VLOOKUP('Données projet'!$B$12,Paramètres!$A$1:$I$89,3,0)*0.475*44/12</f>
        <v>0</v>
      </c>
      <c r="CM168" s="21">
        <f>EXP(-LN(2)/2)*CM167+(1-EXP(-LN(2)/2))/(LN(2)/2)*CG168*CJ168*VLOOKUP('Données projet'!$B$12,Paramètres!$A$1:$I$89,3,0)*0.475*44/12</f>
        <v>0</v>
      </c>
      <c r="CN168" s="22">
        <f t="shared" si="172"/>
        <v>151.05817027973745</v>
      </c>
      <c r="CO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19.8100000000004</v>
      </c>
      <c r="CU168" s="17">
        <f>CT168*VLOOKUP('Données projet'!$B$13,Paramètres!$A$1:$I$89,3,0)*VLOOKUP('Données projet'!$B$13,Paramètres!$A$1:$I$89,5,0)</f>
        <v>18.851196000000382</v>
      </c>
      <c r="CV168" s="13">
        <f t="shared" si="173"/>
        <v>6.172221809210666</v>
      </c>
      <c r="CW168" s="20">
        <f t="shared" si="174"/>
        <v>43.582452684375909</v>
      </c>
      <c r="CX168" s="59">
        <f t="shared" si="122"/>
        <v>331.80854771272209</v>
      </c>
      <c r="CY168" s="59">
        <f ca="1">AVERAGE(OFFSET($CX$3,0,0,'Données projet'!$E$13+1,1))-AVERAGE(OFFSET($H$3,0,0,'Données projet'!$E$13+1,1))</f>
        <v>592.58528889137358</v>
      </c>
      <c r="CZ168" s="59">
        <f t="shared" si="150"/>
        <v>311.31528020403709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148.62174817845141</v>
      </c>
      <c r="DG168" s="21">
        <f>EXP(-LN(2)/25)*DG167+(1-EXP(-LN(2)/25))/(LN(2)/25)*Calculateur!DB168*Calculateur!DD168*VLOOKUP('Données projet'!$B$13,Paramètres!$A$1:$I$89,3,0)*0.475*44/12</f>
        <v>0</v>
      </c>
      <c r="DH168" s="21">
        <f>EXP(-LN(2)/2)*DH167+(1-EXP(-LN(2)/2))/(LN(2)/2)*DB168*DE168*VLOOKUP('Données projet'!$B$13,Paramètres!$A$1:$I$89,3,0)*0.475*44/12</f>
        <v>0</v>
      </c>
      <c r="DI168" s="22">
        <f t="shared" si="175"/>
        <v>148.62174817845141</v>
      </c>
      <c r="DJ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2">
        <f>'Scénario référence'!$B$16*5+'Scénario référence'!$B$17*0+'Scénario référence'!$B$18*5</f>
        <v>5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66">
        <f t="shared" si="110"/>
        <v>183.33333333333334</v>
      </c>
      <c r="I169" s="6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19.8100000000004</v>
      </c>
      <c r="O169" s="13">
        <f>N169*VLOOKUP('Données projet'!$B$9,Paramètres!$A$1:$I$89,3,0)*VLOOKUP('Données projet'!$B$9,Paramètres!$A$1:$I$89,5,0)</f>
        <v>17.924088000000364</v>
      </c>
      <c r="P169" s="13">
        <f t="shared" si="141"/>
        <v>5.9032212091029486</v>
      </c>
      <c r="Q169" s="20">
        <f t="shared" si="162"/>
        <v>41.499230205854936</v>
      </c>
      <c r="R169" s="59">
        <f t="shared" si="109"/>
        <v>329.81392440071835</v>
      </c>
      <c r="S169" s="59">
        <f ca="1">AVERAGE(OFFSET($R$3,0,0,'Données projet'!$E$9+1,1))-AVERAGE(OFFSET($H$3,0,0,'Données projet'!$E$9+1,1))</f>
        <v>567.42635821507474</v>
      </c>
      <c r="T169" s="59">
        <f t="shared" si="142"/>
        <v>299.04735309930152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138.54143029713555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138.54143029713555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404.00000000000017</v>
      </c>
      <c r="AJ169" s="13">
        <f>AI169*VLOOKUP('Données projet'!$B$10,Paramètres!$A$1:$I$89,3,0)*VLOOKUP('Données projet'!$B$10,Paramètres!$A$1:$I$89,5,0)</f>
        <v>346.63200000000018</v>
      </c>
      <c r="AK169" s="13">
        <f t="shared" si="164"/>
        <v>80.868615263336864</v>
      </c>
      <c r="AL169" s="20">
        <f t="shared" si="165"/>
        <v>744.56357158364528</v>
      </c>
      <c r="AM169" s="59">
        <f t="shared" si="113"/>
        <v>1032.8782657785086</v>
      </c>
      <c r="AN169" s="59">
        <f ca="1">AVERAGE(OFFSET($AM$3,0,0,'Données projet'!$E$10+1,1))-AVERAGE(OFFSET($H$3,0,0,'Données projet'!$E$10+1,1))</f>
        <v>481.23392184981651</v>
      </c>
      <c r="AO169" s="59">
        <f t="shared" si="144"/>
        <v>275.88160405468193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40.194645724809064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40.194645724809064</v>
      </c>
      <c r="AY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328.00000000000006</v>
      </c>
      <c r="BE169" s="13">
        <f>BD169*VLOOKUP('Données projet'!$B$11,Paramètres!$A$1:$I$89,3,0)*VLOOKUP('Données projet'!$B$11,Paramètres!$A$1:$I$89,5,0)</f>
        <v>255.84000000000006</v>
      </c>
      <c r="BF169" s="13">
        <f t="shared" si="167"/>
        <v>61.834803371075836</v>
      </c>
      <c r="BG169" s="20">
        <f t="shared" si="168"/>
        <v>553.28361587129041</v>
      </c>
      <c r="BH169" s="59">
        <f t="shared" si="116"/>
        <v>841.59831006615377</v>
      </c>
      <c r="BI169" s="59">
        <f ca="1">AVERAGE(OFFSET($BH$3,0,0,'Données projet'!$E$11+1,1))-AVERAGE(OFFSET($H$3,0,0,'Données projet'!$E$11+1,1))</f>
        <v>308.85018589589453</v>
      </c>
      <c r="BJ169" s="59">
        <f t="shared" si="146"/>
        <v>302.59481222418219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7.3786470048439892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7.3786470048439892</v>
      </c>
      <c r="BT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19.8100000000004</v>
      </c>
      <c r="BZ169" s="13">
        <f>BY169*VLOOKUP('Données projet'!$B$12,Paramètres!$A$1:$I$89,3,0)*VLOOKUP('Données projet'!$B$12,Paramètres!$A$1:$I$89,5,0)</f>
        <v>19.160232000000388</v>
      </c>
      <c r="CA169" s="13">
        <f t="shared" si="170"/>
        <v>6.2615431735370342</v>
      </c>
      <c r="CB169" s="20">
        <f t="shared" si="171"/>
        <v>44.27625842724435</v>
      </c>
      <c r="CC169" s="59">
        <f t="shared" si="119"/>
        <v>332.59095262210775</v>
      </c>
      <c r="CD169" s="59">
        <f ca="1">AVERAGE(OFFSET($CC$3,0,0,'Données projet'!$E$12+1,1))-AVERAGE(OFFSET($H$3,0,0,'Données projet'!$E$12+1,1))</f>
        <v>600.96600099724276</v>
      </c>
      <c r="CE169" s="59">
        <f t="shared" si="148"/>
        <v>315.40159260706264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148.09601169693795</v>
      </c>
      <c r="CL169" s="21">
        <f>EXP(-LN(2)/25)*CL168+(1-EXP(-LN(2)/25))/(LN(2)/25)*Calculateur!CG169*Calculateur!CI169*VLOOKUP('Données projet'!$B$12,Paramètres!$A$1:$I$89,3,0)*0.475*44/12</f>
        <v>0</v>
      </c>
      <c r="CM169" s="21">
        <f>EXP(-LN(2)/2)*CM168+(1-EXP(-LN(2)/2))/(LN(2)/2)*CG169*CJ169*VLOOKUP('Données projet'!$B$12,Paramètres!$A$1:$I$89,3,0)*0.475*44/12</f>
        <v>0</v>
      </c>
      <c r="CN169" s="22">
        <f t="shared" si="172"/>
        <v>148.09601169693795</v>
      </c>
      <c r="CO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19.8100000000004</v>
      </c>
      <c r="CU169" s="17">
        <f>CT169*VLOOKUP('Données projet'!$B$13,Paramètres!$A$1:$I$89,3,0)*VLOOKUP('Données projet'!$B$13,Paramètres!$A$1:$I$89,5,0)</f>
        <v>18.851196000000382</v>
      </c>
      <c r="CV169" s="13">
        <f t="shared" si="173"/>
        <v>6.172221809210666</v>
      </c>
      <c r="CW169" s="20">
        <f t="shared" si="174"/>
        <v>43.582452684375909</v>
      </c>
      <c r="CX169" s="59">
        <f t="shared" si="122"/>
        <v>331.89714687923936</v>
      </c>
      <c r="CY169" s="59">
        <f ca="1">AVERAGE(OFFSET($CX$3,0,0,'Données projet'!$E$13+1,1))-AVERAGE(OFFSET($H$3,0,0,'Données projet'!$E$13+1,1))</f>
        <v>592.58528889137358</v>
      </c>
      <c r="CZ169" s="59">
        <f t="shared" si="150"/>
        <v>311.31528020403709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145.70736634698738</v>
      </c>
      <c r="DG169" s="21">
        <f>EXP(-LN(2)/25)*DG168+(1-EXP(-LN(2)/25))/(LN(2)/25)*Calculateur!DB169*Calculateur!DD169*VLOOKUP('Données projet'!$B$13,Paramètres!$A$1:$I$89,3,0)*0.475*44/12</f>
        <v>0</v>
      </c>
      <c r="DH169" s="21">
        <f>EXP(-LN(2)/2)*DH168+(1-EXP(-LN(2)/2))/(LN(2)/2)*DB169*DE169*VLOOKUP('Données projet'!$B$13,Paramètres!$A$1:$I$89,3,0)*0.475*44/12</f>
        <v>0</v>
      </c>
      <c r="DI169" s="22">
        <f t="shared" si="175"/>
        <v>145.70736634698738</v>
      </c>
      <c r="DJ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2">
        <f>'Scénario référence'!$B$16*5+'Scénario référence'!$B$17*0+'Scénario référence'!$B$18*5</f>
        <v>5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66">
        <f t="shared" si="110"/>
        <v>183.33333333333334</v>
      </c>
      <c r="I170" s="6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19.8100000000004</v>
      </c>
      <c r="O170" s="13">
        <f>N170*VLOOKUP('Données projet'!$B$9,Paramètres!$A$1:$I$89,3,0)*VLOOKUP('Données projet'!$B$9,Paramètres!$A$1:$I$89,5,0)</f>
        <v>17.924088000000364</v>
      </c>
      <c r="P170" s="13">
        <f t="shared" si="141"/>
        <v>5.9032212091029486</v>
      </c>
      <c r="Q170" s="20">
        <f t="shared" si="162"/>
        <v>41.499230205854936</v>
      </c>
      <c r="R170" s="59">
        <f t="shared" si="109"/>
        <v>329.90098656977455</v>
      </c>
      <c r="S170" s="59">
        <f ca="1">AVERAGE(OFFSET($R$3,0,0,'Données projet'!$E$9+1,1))-AVERAGE(OFFSET($H$3,0,0,'Données projet'!$E$9+1,1))</f>
        <v>567.42635821507474</v>
      </c>
      <c r="T170" s="59">
        <f t="shared" si="142"/>
        <v>299.04735309930152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135.82471735093733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135.82471735093733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404.00000000000017</v>
      </c>
      <c r="AJ170" s="13">
        <f>AI170*VLOOKUP('Données projet'!$B$10,Paramètres!$A$1:$I$89,3,0)*VLOOKUP('Données projet'!$B$10,Paramètres!$A$1:$I$89,5,0)</f>
        <v>346.63200000000018</v>
      </c>
      <c r="AK170" s="13">
        <f t="shared" si="164"/>
        <v>80.868615263336864</v>
      </c>
      <c r="AL170" s="20">
        <f t="shared" si="165"/>
        <v>744.56357158364528</v>
      </c>
      <c r="AM170" s="59">
        <f t="shared" si="113"/>
        <v>1032.9653279475649</v>
      </c>
      <c r="AN170" s="59">
        <f ca="1">AVERAGE(OFFSET($AM$3,0,0,'Données projet'!$E$10+1,1))-AVERAGE(OFFSET($H$3,0,0,'Données projet'!$E$10+1,1))</f>
        <v>481.23392184981651</v>
      </c>
      <c r="AO170" s="59">
        <f t="shared" si="144"/>
        <v>275.88160405468193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39.406453238458667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39.406453238458667</v>
      </c>
      <c r="AY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328.00000000000006</v>
      </c>
      <c r="BE170" s="13">
        <f>BD170*VLOOKUP('Données projet'!$B$11,Paramètres!$A$1:$I$89,3,0)*VLOOKUP('Données projet'!$B$11,Paramètres!$A$1:$I$89,5,0)</f>
        <v>255.84000000000006</v>
      </c>
      <c r="BF170" s="13">
        <f t="shared" si="167"/>
        <v>61.834803371075836</v>
      </c>
      <c r="BG170" s="20">
        <f t="shared" si="168"/>
        <v>553.28361587129041</v>
      </c>
      <c r="BH170" s="59">
        <f t="shared" si="116"/>
        <v>841.68537223521002</v>
      </c>
      <c r="BI170" s="59">
        <f ca="1">AVERAGE(OFFSET($BH$3,0,0,'Données projet'!$E$11+1,1))-AVERAGE(OFFSET($H$3,0,0,'Données projet'!$E$11+1,1))</f>
        <v>308.85018589589453</v>
      </c>
      <c r="BJ170" s="59">
        <f t="shared" si="146"/>
        <v>302.59481222418219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7.2339562376092807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7.2339562376092807</v>
      </c>
      <c r="BT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19.8100000000004</v>
      </c>
      <c r="BZ170" s="13">
        <f>BY170*VLOOKUP('Données projet'!$B$12,Paramètres!$A$1:$I$89,3,0)*VLOOKUP('Données projet'!$B$12,Paramètres!$A$1:$I$89,5,0)</f>
        <v>19.160232000000388</v>
      </c>
      <c r="CA170" s="13">
        <f t="shared" si="170"/>
        <v>6.2615431735370342</v>
      </c>
      <c r="CB170" s="20">
        <f t="shared" si="171"/>
        <v>44.27625842724435</v>
      </c>
      <c r="CC170" s="59">
        <f t="shared" si="119"/>
        <v>332.67801479116395</v>
      </c>
      <c r="CD170" s="59">
        <f ca="1">AVERAGE(OFFSET($CC$3,0,0,'Données projet'!$E$12+1,1))-AVERAGE(OFFSET($H$3,0,0,'Données projet'!$E$12+1,1))</f>
        <v>600.96600099724276</v>
      </c>
      <c r="CE170" s="59">
        <f t="shared" si="148"/>
        <v>315.40159260706264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145.19193923720883</v>
      </c>
      <c r="CL170" s="21">
        <f>EXP(-LN(2)/25)*CL169+(1-EXP(-LN(2)/25))/(LN(2)/25)*Calculateur!CG170*Calculateur!CI170*VLOOKUP('Données projet'!$B$12,Paramètres!$A$1:$I$89,3,0)*0.475*44/12</f>
        <v>0</v>
      </c>
      <c r="CM170" s="21">
        <f>EXP(-LN(2)/2)*CM169+(1-EXP(-LN(2)/2))/(LN(2)/2)*CG170*CJ170*VLOOKUP('Données projet'!$B$12,Paramètres!$A$1:$I$89,3,0)*0.475*44/12</f>
        <v>0</v>
      </c>
      <c r="CN170" s="22">
        <f t="shared" si="172"/>
        <v>145.19193923720883</v>
      </c>
      <c r="CO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19.8100000000004</v>
      </c>
      <c r="CU170" s="17">
        <f>CT170*VLOOKUP('Données projet'!$B$13,Paramètres!$A$1:$I$89,3,0)*VLOOKUP('Données projet'!$B$13,Paramètres!$A$1:$I$89,5,0)</f>
        <v>18.851196000000382</v>
      </c>
      <c r="CV170" s="13">
        <f t="shared" si="173"/>
        <v>6.172221809210666</v>
      </c>
      <c r="CW170" s="20">
        <f t="shared" si="174"/>
        <v>43.582452684375909</v>
      </c>
      <c r="CX170" s="59">
        <f t="shared" si="122"/>
        <v>331.9842090482955</v>
      </c>
      <c r="CY170" s="59">
        <f ca="1">AVERAGE(OFFSET($CX$3,0,0,'Données projet'!$E$13+1,1))-AVERAGE(OFFSET($H$3,0,0,'Données projet'!$E$13+1,1))</f>
        <v>592.58528889137358</v>
      </c>
      <c r="CZ170" s="59">
        <f t="shared" si="150"/>
        <v>311.31528020403709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142.85013376564098</v>
      </c>
      <c r="DG170" s="21">
        <f>EXP(-LN(2)/25)*DG169+(1-EXP(-LN(2)/25))/(LN(2)/25)*Calculateur!DB170*Calculateur!DD170*VLOOKUP('Données projet'!$B$13,Paramètres!$A$1:$I$89,3,0)*0.475*44/12</f>
        <v>0</v>
      </c>
      <c r="DH170" s="21">
        <f>EXP(-LN(2)/2)*DH169+(1-EXP(-LN(2)/2))/(LN(2)/2)*DB170*DE170*VLOOKUP('Données projet'!$B$13,Paramètres!$A$1:$I$89,3,0)*0.475*44/12</f>
        <v>0</v>
      </c>
      <c r="DI170" s="22">
        <f t="shared" si="175"/>
        <v>142.85013376564098</v>
      </c>
      <c r="DJ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2">
        <f>'Scénario référence'!$B$16*5+'Scénario référence'!$B$17*0+'Scénario référence'!$B$18*5</f>
        <v>5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66">
        <f t="shared" si="110"/>
        <v>183.33333333333334</v>
      </c>
      <c r="I171" s="6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19.8100000000004</v>
      </c>
      <c r="O171" s="13">
        <f>N171*VLOOKUP('Données projet'!$B$9,Paramètres!$A$1:$I$89,3,0)*VLOOKUP('Données projet'!$B$9,Paramètres!$A$1:$I$89,5,0)</f>
        <v>17.924088000000364</v>
      </c>
      <c r="P171" s="13">
        <f t="shared" si="141"/>
        <v>5.9032212091029486</v>
      </c>
      <c r="Q171" s="20">
        <f t="shared" si="162"/>
        <v>41.499230205854936</v>
      </c>
      <c r="R171" s="59">
        <f t="shared" si="109"/>
        <v>329.98653840483945</v>
      </c>
      <c r="S171" s="59">
        <f ca="1">AVERAGE(OFFSET($R$3,0,0,'Données projet'!$E$9+1,1))-AVERAGE(OFFSET($H$3,0,0,'Données projet'!$E$9+1,1))</f>
        <v>567.42635821507474</v>
      </c>
      <c r="T171" s="59">
        <f t="shared" si="142"/>
        <v>299.04735309930152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133.16127748858278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133.16127748858278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404.00000000000017</v>
      </c>
      <c r="AJ171" s="13">
        <f>AI171*VLOOKUP('Données projet'!$B$10,Paramètres!$A$1:$I$89,3,0)*VLOOKUP('Données projet'!$B$10,Paramètres!$A$1:$I$89,5,0)</f>
        <v>346.63200000000018</v>
      </c>
      <c r="AK171" s="13">
        <f t="shared" si="164"/>
        <v>80.868615263336864</v>
      </c>
      <c r="AL171" s="20">
        <f t="shared" si="165"/>
        <v>744.56357158364528</v>
      </c>
      <c r="AM171" s="59">
        <f t="shared" si="113"/>
        <v>1033.0508797826299</v>
      </c>
      <c r="AN171" s="59">
        <f ca="1">AVERAGE(OFFSET($AM$3,0,0,'Données projet'!$E$10+1,1))-AVERAGE(OFFSET($H$3,0,0,'Données projet'!$E$10+1,1))</f>
        <v>481.23392184981651</v>
      </c>
      <c r="AO171" s="59">
        <f t="shared" si="144"/>
        <v>275.88160405468193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38.633716726015656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38.633716726015656</v>
      </c>
      <c r="AY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328.00000000000006</v>
      </c>
      <c r="BE171" s="13">
        <f>BD171*VLOOKUP('Données projet'!$B$11,Paramètres!$A$1:$I$89,3,0)*VLOOKUP('Données projet'!$B$11,Paramètres!$A$1:$I$89,5,0)</f>
        <v>255.84000000000006</v>
      </c>
      <c r="BF171" s="13">
        <f t="shared" si="167"/>
        <v>61.834803371075836</v>
      </c>
      <c r="BG171" s="20">
        <f t="shared" si="168"/>
        <v>553.28361587129041</v>
      </c>
      <c r="BH171" s="59">
        <f t="shared" si="116"/>
        <v>841.77092407027499</v>
      </c>
      <c r="BI171" s="59">
        <f ca="1">AVERAGE(OFFSET($BH$3,0,0,'Données projet'!$E$11+1,1))-AVERAGE(OFFSET($H$3,0,0,'Données projet'!$E$11+1,1))</f>
        <v>308.85018589589453</v>
      </c>
      <c r="BJ171" s="59">
        <f t="shared" si="146"/>
        <v>302.59481222418219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7.0921027680673916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7.0921027680673916</v>
      </c>
      <c r="BT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19.8100000000004</v>
      </c>
      <c r="BZ171" s="13">
        <f>BY171*VLOOKUP('Données projet'!$B$12,Paramètres!$A$1:$I$89,3,0)*VLOOKUP('Données projet'!$B$12,Paramètres!$A$1:$I$89,5,0)</f>
        <v>19.160232000000388</v>
      </c>
      <c r="CA171" s="13">
        <f t="shared" si="170"/>
        <v>6.2615431735370342</v>
      </c>
      <c r="CB171" s="20">
        <f t="shared" si="171"/>
        <v>44.27625842724435</v>
      </c>
      <c r="CC171" s="59">
        <f t="shared" si="119"/>
        <v>332.76356662622885</v>
      </c>
      <c r="CD171" s="59">
        <f ca="1">AVERAGE(OFFSET($CC$3,0,0,'Données projet'!$E$12+1,1))-AVERAGE(OFFSET($H$3,0,0,'Données projet'!$E$12+1,1))</f>
        <v>600.96600099724276</v>
      </c>
      <c r="CE171" s="59">
        <f t="shared" si="148"/>
        <v>315.40159260706264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142.3448138671057</v>
      </c>
      <c r="CL171" s="21">
        <f>EXP(-LN(2)/25)*CL170+(1-EXP(-LN(2)/25))/(LN(2)/25)*Calculateur!CG171*Calculateur!CI171*VLOOKUP('Données projet'!$B$12,Paramètres!$A$1:$I$89,3,0)*0.475*44/12</f>
        <v>0</v>
      </c>
      <c r="CM171" s="21">
        <f>EXP(-LN(2)/2)*CM170+(1-EXP(-LN(2)/2))/(LN(2)/2)*CG171*CJ171*VLOOKUP('Données projet'!$B$12,Paramètres!$A$1:$I$89,3,0)*0.475*44/12</f>
        <v>0</v>
      </c>
      <c r="CN171" s="22">
        <f t="shared" si="172"/>
        <v>142.3448138671057</v>
      </c>
      <c r="CO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19.8100000000004</v>
      </c>
      <c r="CU171" s="17">
        <f>CT171*VLOOKUP('Données projet'!$B$13,Paramètres!$A$1:$I$89,3,0)*VLOOKUP('Données projet'!$B$13,Paramètres!$A$1:$I$89,5,0)</f>
        <v>18.851196000000382</v>
      </c>
      <c r="CV171" s="13">
        <f t="shared" si="173"/>
        <v>6.172221809210666</v>
      </c>
      <c r="CW171" s="20">
        <f t="shared" si="174"/>
        <v>43.582452684375909</v>
      </c>
      <c r="CX171" s="59">
        <f t="shared" si="122"/>
        <v>332.06976088336046</v>
      </c>
      <c r="CY171" s="59">
        <f ca="1">AVERAGE(OFFSET($CX$3,0,0,'Données projet'!$E$13+1,1))-AVERAGE(OFFSET($H$3,0,0,'Données projet'!$E$13+1,1))</f>
        <v>592.58528889137358</v>
      </c>
      <c r="CZ171" s="59">
        <f t="shared" si="150"/>
        <v>311.31528020403709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140.04892977247499</v>
      </c>
      <c r="DG171" s="21">
        <f>EXP(-LN(2)/25)*DG170+(1-EXP(-LN(2)/25))/(LN(2)/25)*Calculateur!DB171*Calculateur!DD171*VLOOKUP('Données projet'!$B$13,Paramètres!$A$1:$I$89,3,0)*0.475*44/12</f>
        <v>0</v>
      </c>
      <c r="DH171" s="21">
        <f>EXP(-LN(2)/2)*DH170+(1-EXP(-LN(2)/2))/(LN(2)/2)*DB171*DE171*VLOOKUP('Données projet'!$B$13,Paramètres!$A$1:$I$89,3,0)*0.475*44/12</f>
        <v>0</v>
      </c>
      <c r="DI171" s="22">
        <f t="shared" si="175"/>
        <v>140.04892977247499</v>
      </c>
      <c r="DJ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2">
        <f>'Scénario référence'!$B$16*5+'Scénario référence'!$B$17*0+'Scénario référence'!$B$18*5</f>
        <v>5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66">
        <f t="shared" si="110"/>
        <v>183.33333333333334</v>
      </c>
      <c r="I172" s="6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19.8100000000004</v>
      </c>
      <c r="O172" s="13">
        <f>N172*VLOOKUP('Données projet'!$B$9,Paramètres!$A$1:$I$89,3,0)*VLOOKUP('Données projet'!$B$9,Paramètres!$A$1:$I$89,5,0)</f>
        <v>17.924088000000364</v>
      </c>
      <c r="P172" s="13">
        <f t="shared" si="141"/>
        <v>5.9032212091029486</v>
      </c>
      <c r="Q172" s="20">
        <f t="shared" si="162"/>
        <v>41.499230205854936</v>
      </c>
      <c r="R172" s="59">
        <f t="shared" si="109"/>
        <v>330.07060610683135</v>
      </c>
      <c r="S172" s="59">
        <f ca="1">AVERAGE(OFFSET($R$3,0,0,'Données projet'!$E$9+1,1))-AVERAGE(OFFSET($H$3,0,0,'Données projet'!$E$9+1,1))</f>
        <v>567.42635821507474</v>
      </c>
      <c r="T172" s="59">
        <f t="shared" si="142"/>
        <v>299.04735309930152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130.55006605739109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130.55006605739109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404.00000000000017</v>
      </c>
      <c r="AJ172" s="13">
        <f>AI172*VLOOKUP('Données projet'!$B$10,Paramètres!$A$1:$I$89,3,0)*VLOOKUP('Données projet'!$B$10,Paramètres!$A$1:$I$89,5,0)</f>
        <v>346.63200000000018</v>
      </c>
      <c r="AK172" s="13">
        <f t="shared" si="164"/>
        <v>80.868615263336864</v>
      </c>
      <c r="AL172" s="20">
        <f t="shared" si="165"/>
        <v>744.56357158364528</v>
      </c>
      <c r="AM172" s="59">
        <f t="shared" si="113"/>
        <v>1033.1349474846218</v>
      </c>
      <c r="AN172" s="59">
        <f ca="1">AVERAGE(OFFSET($AM$3,0,0,'Données projet'!$E$10+1,1))-AVERAGE(OFFSET($H$3,0,0,'Données projet'!$E$10+1,1))</f>
        <v>481.23392184981651</v>
      </c>
      <c r="AO172" s="59">
        <f t="shared" si="144"/>
        <v>275.88160405468193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37.876133105258916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37.876133105258916</v>
      </c>
      <c r="AY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328.00000000000006</v>
      </c>
      <c r="BE172" s="13">
        <f>BD172*VLOOKUP('Données projet'!$B$11,Paramètres!$A$1:$I$89,3,0)*VLOOKUP('Données projet'!$B$11,Paramètres!$A$1:$I$89,5,0)</f>
        <v>255.84000000000006</v>
      </c>
      <c r="BF172" s="13">
        <f t="shared" si="167"/>
        <v>61.834803371075836</v>
      </c>
      <c r="BG172" s="20">
        <f t="shared" si="168"/>
        <v>553.28361587129041</v>
      </c>
      <c r="BH172" s="59">
        <f t="shared" si="116"/>
        <v>841.85499177226689</v>
      </c>
      <c r="BI172" s="59">
        <f ca="1">AVERAGE(OFFSET($BH$3,0,0,'Données projet'!$E$11+1,1))-AVERAGE(OFFSET($H$3,0,0,'Données projet'!$E$11+1,1))</f>
        <v>308.85018589589453</v>
      </c>
      <c r="BJ172" s="59">
        <f t="shared" si="146"/>
        <v>302.59481222418219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6.9530309585411461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6.9530309585411461</v>
      </c>
      <c r="BT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19.8100000000004</v>
      </c>
      <c r="BZ172" s="13">
        <f>BY172*VLOOKUP('Données projet'!$B$12,Paramètres!$A$1:$I$89,3,0)*VLOOKUP('Données projet'!$B$12,Paramètres!$A$1:$I$89,5,0)</f>
        <v>19.160232000000388</v>
      </c>
      <c r="CA172" s="13">
        <f t="shared" si="170"/>
        <v>6.2615431735370342</v>
      </c>
      <c r="CB172" s="20">
        <f t="shared" si="171"/>
        <v>44.27625842724435</v>
      </c>
      <c r="CC172" s="59">
        <f t="shared" si="119"/>
        <v>332.84763432822075</v>
      </c>
      <c r="CD172" s="59">
        <f ca="1">AVERAGE(OFFSET($CC$3,0,0,'Données projet'!$E$12+1,1))-AVERAGE(OFFSET($H$3,0,0,'Données projet'!$E$12+1,1))</f>
        <v>600.96600099724276</v>
      </c>
      <c r="CE172" s="59">
        <f t="shared" si="148"/>
        <v>315.40159260706264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139.55351888893529</v>
      </c>
      <c r="CL172" s="21">
        <f>EXP(-LN(2)/25)*CL171+(1-EXP(-LN(2)/25))/(LN(2)/25)*Calculateur!CG172*Calculateur!CI172*VLOOKUP('Données projet'!$B$12,Paramètres!$A$1:$I$89,3,0)*0.475*44/12</f>
        <v>0</v>
      </c>
      <c r="CM172" s="21">
        <f>EXP(-LN(2)/2)*CM171+(1-EXP(-LN(2)/2))/(LN(2)/2)*CG172*CJ172*VLOOKUP('Données projet'!$B$12,Paramètres!$A$1:$I$89,3,0)*0.475*44/12</f>
        <v>0</v>
      </c>
      <c r="CN172" s="22">
        <f t="shared" si="172"/>
        <v>139.55351888893529</v>
      </c>
      <c r="CO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19.8100000000004</v>
      </c>
      <c r="CU172" s="17">
        <f>CT172*VLOOKUP('Données projet'!$B$13,Paramètres!$A$1:$I$89,3,0)*VLOOKUP('Données projet'!$B$13,Paramètres!$A$1:$I$89,5,0)</f>
        <v>18.851196000000382</v>
      </c>
      <c r="CV172" s="13">
        <f t="shared" si="173"/>
        <v>6.172221809210666</v>
      </c>
      <c r="CW172" s="20">
        <f t="shared" si="174"/>
        <v>43.582452684375909</v>
      </c>
      <c r="CX172" s="59">
        <f t="shared" si="122"/>
        <v>332.15382858535236</v>
      </c>
      <c r="CY172" s="59">
        <f ca="1">AVERAGE(OFFSET($CX$3,0,0,'Données projet'!$E$13+1,1))-AVERAGE(OFFSET($H$3,0,0,'Données projet'!$E$13+1,1))</f>
        <v>592.58528889137358</v>
      </c>
      <c r="CZ172" s="59">
        <f t="shared" si="150"/>
        <v>311.31528020403709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137.30265568104926</v>
      </c>
      <c r="DG172" s="21">
        <f>EXP(-LN(2)/25)*DG171+(1-EXP(-LN(2)/25))/(LN(2)/25)*Calculateur!DB172*Calculateur!DD172*VLOOKUP('Données projet'!$B$13,Paramètres!$A$1:$I$89,3,0)*0.475*44/12</f>
        <v>0</v>
      </c>
      <c r="DH172" s="21">
        <f>EXP(-LN(2)/2)*DH171+(1-EXP(-LN(2)/2))/(LN(2)/2)*DB172*DE172*VLOOKUP('Données projet'!$B$13,Paramètres!$A$1:$I$89,3,0)*0.475*44/12</f>
        <v>0</v>
      </c>
      <c r="DI172" s="22">
        <f t="shared" si="175"/>
        <v>137.30265568104926</v>
      </c>
      <c r="DJ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2">
        <f>'Scénario référence'!$B$16*5+'Scénario référence'!$B$17*0+'Scénario référence'!$B$18*5</f>
        <v>5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66">
        <f t="shared" si="110"/>
        <v>183.33333333333334</v>
      </c>
      <c r="I173" s="6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19.8100000000004</v>
      </c>
      <c r="O173" s="13">
        <f>N173*VLOOKUP('Données projet'!$B$9,Paramètres!$A$1:$I$89,3,0)*VLOOKUP('Données projet'!$B$9,Paramètres!$A$1:$I$89,5,0)</f>
        <v>17.924088000000364</v>
      </c>
      <c r="P173" s="13">
        <f t="shared" si="141"/>
        <v>5.9032212091029486</v>
      </c>
      <c r="Q173" s="20">
        <f t="shared" si="162"/>
        <v>41.499230205854936</v>
      </c>
      <c r="R173" s="59">
        <f t="shared" si="109"/>
        <v>330.15321542214082</v>
      </c>
      <c r="S173" s="59">
        <f ca="1">AVERAGE(OFFSET($R$3,0,0,'Données projet'!$E$9+1,1))-AVERAGE(OFFSET($H$3,0,0,'Données projet'!$E$9+1,1))</f>
        <v>567.42635821507474</v>
      </c>
      <c r="T173" s="59">
        <f t="shared" si="142"/>
        <v>299.04735309930152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127.99005888968337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127.99005888968337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404.00000000000017</v>
      </c>
      <c r="AJ173" s="13">
        <f>AI173*VLOOKUP('Données projet'!$B$10,Paramètres!$A$1:$I$89,3,0)*VLOOKUP('Données projet'!$B$10,Paramètres!$A$1:$I$89,5,0)</f>
        <v>346.63200000000018</v>
      </c>
      <c r="AK173" s="13">
        <f t="shared" si="164"/>
        <v>80.868615263336864</v>
      </c>
      <c r="AL173" s="20">
        <f t="shared" si="165"/>
        <v>744.56357158364528</v>
      </c>
      <c r="AM173" s="59">
        <f t="shared" si="113"/>
        <v>1033.2175567999311</v>
      </c>
      <c r="AN173" s="59">
        <f ca="1">AVERAGE(OFFSET($AM$3,0,0,'Données projet'!$E$10+1,1))-AVERAGE(OFFSET($H$3,0,0,'Données projet'!$E$10+1,1))</f>
        <v>481.23392184981651</v>
      </c>
      <c r="AO173" s="59">
        <f t="shared" si="144"/>
        <v>275.88160405468193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37.133405237224835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37.133405237224835</v>
      </c>
      <c r="AY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328.00000000000006</v>
      </c>
      <c r="BE173" s="13">
        <f>BD173*VLOOKUP('Données projet'!$B$11,Paramètres!$A$1:$I$89,3,0)*VLOOKUP('Données projet'!$B$11,Paramètres!$A$1:$I$89,5,0)</f>
        <v>255.84000000000006</v>
      </c>
      <c r="BF173" s="13">
        <f t="shared" si="167"/>
        <v>61.834803371075836</v>
      </c>
      <c r="BG173" s="20">
        <f t="shared" si="168"/>
        <v>553.28361587129041</v>
      </c>
      <c r="BH173" s="59">
        <f t="shared" si="116"/>
        <v>841.93760108757624</v>
      </c>
      <c r="BI173" s="59">
        <f ca="1">AVERAGE(OFFSET($BH$3,0,0,'Données projet'!$E$11+1,1))-AVERAGE(OFFSET($H$3,0,0,'Données projet'!$E$11+1,1))</f>
        <v>308.85018589589453</v>
      </c>
      <c r="BJ173" s="59">
        <f t="shared" si="146"/>
        <v>302.59481222418219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6.8166862623742821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6.8166862623742821</v>
      </c>
      <c r="BT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19.8100000000004</v>
      </c>
      <c r="BZ173" s="13">
        <f>BY173*VLOOKUP('Données projet'!$B$12,Paramètres!$A$1:$I$89,3,0)*VLOOKUP('Données projet'!$B$12,Paramètres!$A$1:$I$89,5,0)</f>
        <v>19.160232000000388</v>
      </c>
      <c r="CA173" s="13">
        <f t="shared" si="170"/>
        <v>6.2615431735370342</v>
      </c>
      <c r="CB173" s="20">
        <f t="shared" si="171"/>
        <v>44.27625842724435</v>
      </c>
      <c r="CC173" s="59">
        <f t="shared" si="119"/>
        <v>332.93024364353022</v>
      </c>
      <c r="CD173" s="59">
        <f ca="1">AVERAGE(OFFSET($CC$3,0,0,'Données projet'!$E$12+1,1))-AVERAGE(OFFSET($H$3,0,0,'Données projet'!$E$12+1,1))</f>
        <v>600.96600099724276</v>
      </c>
      <c r="CE173" s="59">
        <f t="shared" si="148"/>
        <v>315.40159260706264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136.81695950276497</v>
      </c>
      <c r="CL173" s="21">
        <f>EXP(-LN(2)/25)*CL172+(1-EXP(-LN(2)/25))/(LN(2)/25)*Calculateur!CG173*Calculateur!CI173*VLOOKUP('Données projet'!$B$12,Paramètres!$A$1:$I$89,3,0)*0.475*44/12</f>
        <v>0</v>
      </c>
      <c r="CM173" s="21">
        <f>EXP(-LN(2)/2)*CM172+(1-EXP(-LN(2)/2))/(LN(2)/2)*CG173*CJ173*VLOOKUP('Données projet'!$B$12,Paramètres!$A$1:$I$89,3,0)*0.475*44/12</f>
        <v>0</v>
      </c>
      <c r="CN173" s="22">
        <f t="shared" si="172"/>
        <v>136.81695950276497</v>
      </c>
      <c r="CO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19.8100000000004</v>
      </c>
      <c r="CU173" s="17">
        <f>CT173*VLOOKUP('Données projet'!$B$13,Paramètres!$A$1:$I$89,3,0)*VLOOKUP('Données projet'!$B$13,Paramètres!$A$1:$I$89,5,0)</f>
        <v>18.851196000000382</v>
      </c>
      <c r="CV173" s="13">
        <f t="shared" si="173"/>
        <v>6.172221809210666</v>
      </c>
      <c r="CW173" s="20">
        <f t="shared" si="174"/>
        <v>43.582452684375909</v>
      </c>
      <c r="CX173" s="59">
        <f t="shared" si="122"/>
        <v>332.23643790066183</v>
      </c>
      <c r="CY173" s="59">
        <f ca="1">AVERAGE(OFFSET($CX$3,0,0,'Données projet'!$E$13+1,1))-AVERAGE(OFFSET($H$3,0,0,'Données projet'!$E$13+1,1))</f>
        <v>592.58528889137358</v>
      </c>
      <c r="CZ173" s="59">
        <f t="shared" si="150"/>
        <v>311.31528020403709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134.61023434949459</v>
      </c>
      <c r="DG173" s="21">
        <f>EXP(-LN(2)/25)*DG172+(1-EXP(-LN(2)/25))/(LN(2)/25)*Calculateur!DB173*Calculateur!DD173*VLOOKUP('Données projet'!$B$13,Paramètres!$A$1:$I$89,3,0)*0.475*44/12</f>
        <v>0</v>
      </c>
      <c r="DH173" s="21">
        <f>EXP(-LN(2)/2)*DH172+(1-EXP(-LN(2)/2))/(LN(2)/2)*DB173*DE173*VLOOKUP('Données projet'!$B$13,Paramètres!$A$1:$I$89,3,0)*0.475*44/12</f>
        <v>0</v>
      </c>
      <c r="DI173" s="22">
        <f t="shared" si="175"/>
        <v>134.61023434949459</v>
      </c>
      <c r="DJ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2">
        <f>'Scénario référence'!$B$16*5+'Scénario référence'!$B$17*0+'Scénario référence'!$B$18*5</f>
        <v>5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66">
        <f t="shared" si="110"/>
        <v>183.33333333333334</v>
      </c>
      <c r="I174" s="6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19.8100000000004</v>
      </c>
      <c r="O174" s="13">
        <f>N174*VLOOKUP('Données projet'!$B$9,Paramètres!$A$1:$I$89,3,0)*VLOOKUP('Données projet'!$B$9,Paramètres!$A$1:$I$89,5,0)</f>
        <v>17.924088000000364</v>
      </c>
      <c r="P174" s="13">
        <f t="shared" si="141"/>
        <v>5.9032212091029486</v>
      </c>
      <c r="Q174" s="20">
        <f t="shared" si="162"/>
        <v>41.499230205854936</v>
      </c>
      <c r="R174" s="59">
        <f t="shared" si="109"/>
        <v>330.23439165051644</v>
      </c>
      <c r="S174" s="59">
        <f ca="1">AVERAGE(OFFSET($R$3,0,0,'Données projet'!$E$9+1,1))-AVERAGE(OFFSET($H$3,0,0,'Données projet'!$E$9+1,1))</f>
        <v>567.42635821507474</v>
      </c>
      <c r="T174" s="59">
        <f t="shared" si="142"/>
        <v>299.04735309930152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125.4802519010842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125.4802519010842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404.00000000000017</v>
      </c>
      <c r="AJ174" s="13">
        <f>AI174*VLOOKUP('Données projet'!$B$10,Paramètres!$A$1:$I$89,3,0)*VLOOKUP('Données projet'!$B$10,Paramètres!$A$1:$I$89,5,0)</f>
        <v>346.63200000000018</v>
      </c>
      <c r="AK174" s="13">
        <f t="shared" si="164"/>
        <v>80.868615263336864</v>
      </c>
      <c r="AL174" s="20">
        <f t="shared" si="165"/>
        <v>744.56357158364528</v>
      </c>
      <c r="AM174" s="59">
        <f t="shared" si="113"/>
        <v>1033.2987330283067</v>
      </c>
      <c r="AN174" s="59">
        <f ca="1">AVERAGE(OFFSET($AM$3,0,0,'Données projet'!$E$10+1,1))-AVERAGE(OFFSET($H$3,0,0,'Données projet'!$E$10+1,1))</f>
        <v>481.23392184981651</v>
      </c>
      <c r="AO174" s="59">
        <f t="shared" si="144"/>
        <v>275.88160405468193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36.405241809663636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36.405241809663636</v>
      </c>
      <c r="AY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328.00000000000006</v>
      </c>
      <c r="BE174" s="13">
        <f>BD174*VLOOKUP('Données projet'!$B$11,Paramètres!$A$1:$I$89,3,0)*VLOOKUP('Données projet'!$B$11,Paramètres!$A$1:$I$89,5,0)</f>
        <v>255.84000000000006</v>
      </c>
      <c r="BF174" s="13">
        <f t="shared" si="167"/>
        <v>61.834803371075836</v>
      </c>
      <c r="BG174" s="20">
        <f t="shared" si="168"/>
        <v>553.28361587129041</v>
      </c>
      <c r="BH174" s="59">
        <f t="shared" si="116"/>
        <v>842.01877731595187</v>
      </c>
      <c r="BI174" s="59">
        <f ca="1">AVERAGE(OFFSET($BH$3,0,0,'Données projet'!$E$11+1,1))-AVERAGE(OFFSET($H$3,0,0,'Données projet'!$E$11+1,1))</f>
        <v>308.85018589589453</v>
      </c>
      <c r="BJ174" s="59">
        <f t="shared" si="146"/>
        <v>302.59481222418219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6.6830152025371969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6.6830152025371969</v>
      </c>
      <c r="BT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19.8100000000004</v>
      </c>
      <c r="BZ174" s="13">
        <f>BY174*VLOOKUP('Données projet'!$B$12,Paramètres!$A$1:$I$89,3,0)*VLOOKUP('Données projet'!$B$12,Paramètres!$A$1:$I$89,5,0)</f>
        <v>19.160232000000388</v>
      </c>
      <c r="CA174" s="13">
        <f t="shared" si="170"/>
        <v>6.2615431735370342</v>
      </c>
      <c r="CB174" s="20">
        <f t="shared" si="171"/>
        <v>44.27625842724435</v>
      </c>
      <c r="CC174" s="59">
        <f t="shared" si="119"/>
        <v>333.01141987190584</v>
      </c>
      <c r="CD174" s="59">
        <f ca="1">AVERAGE(OFFSET($CC$3,0,0,'Données projet'!$E$12+1,1))-AVERAGE(OFFSET($H$3,0,0,'Données projet'!$E$12+1,1))</f>
        <v>600.96600099724276</v>
      </c>
      <c r="CE174" s="59">
        <f t="shared" si="148"/>
        <v>315.40159260706264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134.13406237702102</v>
      </c>
      <c r="CL174" s="21">
        <f>EXP(-LN(2)/25)*CL173+(1-EXP(-LN(2)/25))/(LN(2)/25)*Calculateur!CG174*Calculateur!CI174*VLOOKUP('Données projet'!$B$12,Paramètres!$A$1:$I$89,3,0)*0.475*44/12</f>
        <v>0</v>
      </c>
      <c r="CM174" s="21">
        <f>EXP(-LN(2)/2)*CM173+(1-EXP(-LN(2)/2))/(LN(2)/2)*CG174*CJ174*VLOOKUP('Données projet'!$B$12,Paramètres!$A$1:$I$89,3,0)*0.475*44/12</f>
        <v>0</v>
      </c>
      <c r="CN174" s="22">
        <f t="shared" si="172"/>
        <v>134.13406237702102</v>
      </c>
      <c r="CO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19.8100000000004</v>
      </c>
      <c r="CU174" s="17">
        <f>CT174*VLOOKUP('Données projet'!$B$13,Paramètres!$A$1:$I$89,3,0)*VLOOKUP('Données projet'!$B$13,Paramètres!$A$1:$I$89,5,0)</f>
        <v>18.851196000000382</v>
      </c>
      <c r="CV174" s="13">
        <f t="shared" si="173"/>
        <v>6.172221809210666</v>
      </c>
      <c r="CW174" s="20">
        <f t="shared" si="174"/>
        <v>43.582452684375909</v>
      </c>
      <c r="CX174" s="59">
        <f t="shared" si="122"/>
        <v>332.31761412903745</v>
      </c>
      <c r="CY174" s="59">
        <f ca="1">AVERAGE(OFFSET($CX$3,0,0,'Données projet'!$E$13+1,1))-AVERAGE(OFFSET($H$3,0,0,'Données projet'!$E$13+1,1))</f>
        <v>592.58528889137358</v>
      </c>
      <c r="CZ174" s="59">
        <f t="shared" si="150"/>
        <v>311.31528020403709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131.97060975803686</v>
      </c>
      <c r="DG174" s="21">
        <f>EXP(-LN(2)/25)*DG173+(1-EXP(-LN(2)/25))/(LN(2)/25)*Calculateur!DB174*Calculateur!DD174*VLOOKUP('Données projet'!$B$13,Paramètres!$A$1:$I$89,3,0)*0.475*44/12</f>
        <v>0</v>
      </c>
      <c r="DH174" s="21">
        <f>EXP(-LN(2)/2)*DH173+(1-EXP(-LN(2)/2))/(LN(2)/2)*DB174*DE174*VLOOKUP('Données projet'!$B$13,Paramètres!$A$1:$I$89,3,0)*0.475*44/12</f>
        <v>0</v>
      </c>
      <c r="DI174" s="22">
        <f t="shared" si="175"/>
        <v>131.97060975803686</v>
      </c>
      <c r="DJ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2">
        <f>'Scénario référence'!$B$16*5+'Scénario référence'!$B$17*0+'Scénario référence'!$B$18*5</f>
        <v>5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66">
        <f t="shared" si="110"/>
        <v>183.33333333333334</v>
      </c>
      <c r="I175" s="6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19.8100000000004</v>
      </c>
      <c r="O175" s="13">
        <f>N175*VLOOKUP('Données projet'!$B$9,Paramètres!$A$1:$I$89,3,0)*VLOOKUP('Données projet'!$B$9,Paramètres!$A$1:$I$89,5,0)</f>
        <v>17.924088000000364</v>
      </c>
      <c r="P175" s="13">
        <f t="shared" si="141"/>
        <v>5.9032212091029486</v>
      </c>
      <c r="Q175" s="20">
        <f t="shared" si="162"/>
        <v>41.499230205854936</v>
      </c>
      <c r="R175" s="59">
        <f t="shared" si="109"/>
        <v>330.31415965281258</v>
      </c>
      <c r="S175" s="59">
        <f ca="1">AVERAGE(OFFSET($R$3,0,0,'Données projet'!$E$9+1,1))-AVERAGE(OFFSET($H$3,0,0,'Données projet'!$E$9+1,1))</f>
        <v>567.42635821507474</v>
      </c>
      <c r="T175" s="59">
        <f t="shared" si="142"/>
        <v>299.04735309930152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123.01966069670036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123.01966069670036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404.00000000000017</v>
      </c>
      <c r="AJ175" s="13">
        <f>AI175*VLOOKUP('Données projet'!$B$10,Paramètres!$A$1:$I$89,3,0)*VLOOKUP('Données projet'!$B$10,Paramètres!$A$1:$I$89,5,0)</f>
        <v>346.63200000000018</v>
      </c>
      <c r="AK175" s="13">
        <f t="shared" si="164"/>
        <v>80.868615263336864</v>
      </c>
      <c r="AL175" s="20">
        <f t="shared" si="165"/>
        <v>744.56357158364528</v>
      </c>
      <c r="AM175" s="59">
        <f t="shared" si="113"/>
        <v>1033.3785010306028</v>
      </c>
      <c r="AN175" s="59">
        <f ca="1">AVERAGE(OFFSET($AM$3,0,0,'Données projet'!$E$10+1,1))-AVERAGE(OFFSET($H$3,0,0,'Données projet'!$E$10+1,1))</f>
        <v>481.23392184981651</v>
      </c>
      <c r="AO175" s="59">
        <f t="shared" si="144"/>
        <v>275.88160405468193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35.691357222781072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35.691357222781072</v>
      </c>
      <c r="AY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328.00000000000006</v>
      </c>
      <c r="BE175" s="13">
        <f>BD175*VLOOKUP('Données projet'!$B$11,Paramètres!$A$1:$I$89,3,0)*VLOOKUP('Données projet'!$B$11,Paramètres!$A$1:$I$89,5,0)</f>
        <v>255.84000000000006</v>
      </c>
      <c r="BF175" s="13">
        <f t="shared" si="167"/>
        <v>61.834803371075836</v>
      </c>
      <c r="BG175" s="20">
        <f t="shared" si="168"/>
        <v>553.28361587129041</v>
      </c>
      <c r="BH175" s="59">
        <f t="shared" si="116"/>
        <v>842.09854531824806</v>
      </c>
      <c r="BI175" s="59">
        <f ca="1">AVERAGE(OFFSET($BH$3,0,0,'Données projet'!$E$11+1,1))-AVERAGE(OFFSET($H$3,0,0,'Données projet'!$E$11+1,1))</f>
        <v>308.85018589589453</v>
      </c>
      <c r="BJ175" s="59">
        <f t="shared" si="146"/>
        <v>302.59481222418219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6.5519653506522211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6.5519653506522211</v>
      </c>
      <c r="BT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19.8100000000004</v>
      </c>
      <c r="BZ175" s="13">
        <f>BY175*VLOOKUP('Données projet'!$B$12,Paramètres!$A$1:$I$89,3,0)*VLOOKUP('Données projet'!$B$12,Paramètres!$A$1:$I$89,5,0)</f>
        <v>19.160232000000388</v>
      </c>
      <c r="CA175" s="13">
        <f t="shared" si="170"/>
        <v>6.2615431735370342</v>
      </c>
      <c r="CB175" s="20">
        <f t="shared" si="171"/>
        <v>44.27625842724435</v>
      </c>
      <c r="CC175" s="59">
        <f t="shared" si="119"/>
        <v>333.09118787420198</v>
      </c>
      <c r="CD175" s="59">
        <f ca="1">AVERAGE(OFFSET($CC$3,0,0,'Données projet'!$E$12+1,1))-AVERAGE(OFFSET($H$3,0,0,'Données projet'!$E$12+1,1))</f>
        <v>600.96600099724276</v>
      </c>
      <c r="CE175" s="59">
        <f t="shared" si="148"/>
        <v>315.40159260706264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131.50377522750725</v>
      </c>
      <c r="CL175" s="21">
        <f>EXP(-LN(2)/25)*CL174+(1-EXP(-LN(2)/25))/(LN(2)/25)*Calculateur!CG175*Calculateur!CI175*VLOOKUP('Données projet'!$B$12,Paramètres!$A$1:$I$89,3,0)*0.475*44/12</f>
        <v>0</v>
      </c>
      <c r="CM175" s="21">
        <f>EXP(-LN(2)/2)*CM174+(1-EXP(-LN(2)/2))/(LN(2)/2)*CG175*CJ175*VLOOKUP('Données projet'!$B$12,Paramètres!$A$1:$I$89,3,0)*0.475*44/12</f>
        <v>0</v>
      </c>
      <c r="CN175" s="22">
        <f t="shared" si="172"/>
        <v>131.50377522750725</v>
      </c>
      <c r="CO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19.8100000000004</v>
      </c>
      <c r="CU175" s="17">
        <f>CT175*VLOOKUP('Données projet'!$B$13,Paramètres!$A$1:$I$89,3,0)*VLOOKUP('Données projet'!$B$13,Paramètres!$A$1:$I$89,5,0)</f>
        <v>18.851196000000382</v>
      </c>
      <c r="CV175" s="13">
        <f t="shared" si="173"/>
        <v>6.172221809210666</v>
      </c>
      <c r="CW175" s="20">
        <f t="shared" si="174"/>
        <v>43.582452684375909</v>
      </c>
      <c r="CX175" s="59">
        <f t="shared" si="122"/>
        <v>332.39738213133353</v>
      </c>
      <c r="CY175" s="59">
        <f ca="1">AVERAGE(OFFSET($CX$3,0,0,'Données projet'!$E$13+1,1))-AVERAGE(OFFSET($H$3,0,0,'Données projet'!$E$13+1,1))</f>
        <v>592.58528889137358</v>
      </c>
      <c r="CZ175" s="59">
        <f t="shared" si="150"/>
        <v>311.31528020403709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129.38274659480558</v>
      </c>
      <c r="DG175" s="21">
        <f>EXP(-LN(2)/25)*DG174+(1-EXP(-LN(2)/25))/(LN(2)/25)*Calculateur!DB175*Calculateur!DD175*VLOOKUP('Données projet'!$B$13,Paramètres!$A$1:$I$89,3,0)*0.475*44/12</f>
        <v>0</v>
      </c>
      <c r="DH175" s="21">
        <f>EXP(-LN(2)/2)*DH174+(1-EXP(-LN(2)/2))/(LN(2)/2)*DB175*DE175*VLOOKUP('Données projet'!$B$13,Paramètres!$A$1:$I$89,3,0)*0.475*44/12</f>
        <v>0</v>
      </c>
      <c r="DI175" s="22">
        <f t="shared" si="175"/>
        <v>129.38274659480558</v>
      </c>
      <c r="DJ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2">
        <f>'Scénario référence'!$B$16*5+'Scénario référence'!$B$17*0+'Scénario référence'!$B$18*5</f>
        <v>5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66">
        <f t="shared" si="110"/>
        <v>183.33333333333334</v>
      </c>
      <c r="I176" s="6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19.8100000000004</v>
      </c>
      <c r="O176" s="13">
        <f>N176*VLOOKUP('Données projet'!$B$9,Paramètres!$A$1:$I$89,3,0)*VLOOKUP('Données projet'!$B$9,Paramètres!$A$1:$I$89,5,0)</f>
        <v>17.924088000000364</v>
      </c>
      <c r="P176" s="13">
        <f t="shared" si="141"/>
        <v>5.9032212091029486</v>
      </c>
      <c r="Q176" s="20">
        <f t="shared" si="162"/>
        <v>41.499230205854936</v>
      </c>
      <c r="R176" s="59">
        <f t="shared" si="109"/>
        <v>330.3925438586034</v>
      </c>
      <c r="S176" s="59">
        <f ca="1">AVERAGE(OFFSET($R$3,0,0,'Données projet'!$E$9+1,1))-AVERAGE(OFFSET($H$3,0,0,'Données projet'!$E$9+1,1))</f>
        <v>567.42635821507474</v>
      </c>
      <c r="T176" s="59">
        <f t="shared" si="142"/>
        <v>299.04735309930152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120.60732018502203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120.60732018502203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404.00000000000017</v>
      </c>
      <c r="AJ176" s="13">
        <f>AI176*VLOOKUP('Données projet'!$B$10,Paramètres!$A$1:$I$89,3,0)*VLOOKUP('Données projet'!$B$10,Paramètres!$A$1:$I$89,5,0)</f>
        <v>346.63200000000018</v>
      </c>
      <c r="AK176" s="13">
        <f t="shared" si="164"/>
        <v>80.868615263336864</v>
      </c>
      <c r="AL176" s="20">
        <f t="shared" si="165"/>
        <v>744.56357158364528</v>
      </c>
      <c r="AM176" s="59">
        <f t="shared" si="113"/>
        <v>1033.4568852363936</v>
      </c>
      <c r="AN176" s="59">
        <f ca="1">AVERAGE(OFFSET($AM$3,0,0,'Données projet'!$E$10+1,1))-AVERAGE(OFFSET($H$3,0,0,'Données projet'!$E$10+1,1))</f>
        <v>481.23392184981651</v>
      </c>
      <c r="AO176" s="59">
        <f t="shared" si="144"/>
        <v>275.88160405468193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34.991471477220671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34.991471477220671</v>
      </c>
      <c r="AY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328.00000000000006</v>
      </c>
      <c r="BE176" s="13">
        <f>BD176*VLOOKUP('Données projet'!$B$11,Paramètres!$A$1:$I$89,3,0)*VLOOKUP('Données projet'!$B$11,Paramètres!$A$1:$I$89,5,0)</f>
        <v>255.84000000000006</v>
      </c>
      <c r="BF176" s="13">
        <f t="shared" si="167"/>
        <v>61.834803371075836</v>
      </c>
      <c r="BG176" s="20">
        <f t="shared" si="168"/>
        <v>553.28361587129041</v>
      </c>
      <c r="BH176" s="59">
        <f t="shared" si="116"/>
        <v>842.17692952403888</v>
      </c>
      <c r="BI176" s="59">
        <f ca="1">AVERAGE(OFFSET($BH$3,0,0,'Données projet'!$E$11+1,1))-AVERAGE(OFFSET($H$3,0,0,'Données projet'!$E$11+1,1))</f>
        <v>308.85018589589453</v>
      </c>
      <c r="BJ176" s="59">
        <f t="shared" si="146"/>
        <v>302.59481222418219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6.4234853064301927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6.4234853064301927</v>
      </c>
      <c r="BT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19.8100000000004</v>
      </c>
      <c r="BZ176" s="13">
        <f>BY176*VLOOKUP('Données projet'!$B$12,Paramètres!$A$1:$I$89,3,0)*VLOOKUP('Données projet'!$B$12,Paramètres!$A$1:$I$89,5,0)</f>
        <v>19.160232000000388</v>
      </c>
      <c r="CA176" s="13">
        <f t="shared" si="170"/>
        <v>6.2615431735370342</v>
      </c>
      <c r="CB176" s="20">
        <f t="shared" si="171"/>
        <v>44.27625842724435</v>
      </c>
      <c r="CC176" s="59">
        <f t="shared" si="119"/>
        <v>333.1695720799928</v>
      </c>
      <c r="CD176" s="59">
        <f ca="1">AVERAGE(OFFSET($CC$3,0,0,'Données projet'!$E$12+1,1))-AVERAGE(OFFSET($H$3,0,0,'Données projet'!$E$12+1,1))</f>
        <v>600.96600099724276</v>
      </c>
      <c r="CE176" s="59">
        <f t="shared" si="148"/>
        <v>315.40159260706264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128.92506640467869</v>
      </c>
      <c r="CL176" s="21">
        <f>EXP(-LN(2)/25)*CL175+(1-EXP(-LN(2)/25))/(LN(2)/25)*Calculateur!CG176*Calculateur!CI176*VLOOKUP('Données projet'!$B$12,Paramètres!$A$1:$I$89,3,0)*0.475*44/12</f>
        <v>0</v>
      </c>
      <c r="CM176" s="21">
        <f>EXP(-LN(2)/2)*CM175+(1-EXP(-LN(2)/2))/(LN(2)/2)*CG176*CJ176*VLOOKUP('Données projet'!$B$12,Paramètres!$A$1:$I$89,3,0)*0.475*44/12</f>
        <v>0</v>
      </c>
      <c r="CN176" s="22">
        <f t="shared" si="172"/>
        <v>128.92506640467869</v>
      </c>
      <c r="CO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19.8100000000004</v>
      </c>
      <c r="CU176" s="17">
        <f>CT176*VLOOKUP('Données projet'!$B$13,Paramètres!$A$1:$I$89,3,0)*VLOOKUP('Données projet'!$B$13,Paramètres!$A$1:$I$89,5,0)</f>
        <v>18.851196000000382</v>
      </c>
      <c r="CV176" s="13">
        <f t="shared" si="173"/>
        <v>6.172221809210666</v>
      </c>
      <c r="CW176" s="20">
        <f t="shared" si="174"/>
        <v>43.582452684375909</v>
      </c>
      <c r="CX176" s="59">
        <f t="shared" si="122"/>
        <v>332.47576633712436</v>
      </c>
      <c r="CY176" s="59">
        <f ca="1">AVERAGE(OFFSET($CX$3,0,0,'Données projet'!$E$13+1,1))-AVERAGE(OFFSET($H$3,0,0,'Données projet'!$E$13+1,1))</f>
        <v>592.58528889137358</v>
      </c>
      <c r="CZ176" s="59">
        <f t="shared" si="150"/>
        <v>311.31528020403709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126.84562984976459</v>
      </c>
      <c r="DG176" s="21">
        <f>EXP(-LN(2)/25)*DG175+(1-EXP(-LN(2)/25))/(LN(2)/25)*Calculateur!DB176*Calculateur!DD176*VLOOKUP('Données projet'!$B$13,Paramètres!$A$1:$I$89,3,0)*0.475*44/12</f>
        <v>0</v>
      </c>
      <c r="DH176" s="21">
        <f>EXP(-LN(2)/2)*DH175+(1-EXP(-LN(2)/2))/(LN(2)/2)*DB176*DE176*VLOOKUP('Données projet'!$B$13,Paramètres!$A$1:$I$89,3,0)*0.475*44/12</f>
        <v>0</v>
      </c>
      <c r="DI176" s="22">
        <f t="shared" si="175"/>
        <v>126.84562984976459</v>
      </c>
      <c r="DJ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2">
        <f>'Scénario référence'!$B$16*5+'Scénario référence'!$B$17*0+'Scénario référence'!$B$18*5</f>
        <v>5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66">
        <f t="shared" si="110"/>
        <v>183.33333333333334</v>
      </c>
      <c r="I177" s="6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19.8100000000004</v>
      </c>
      <c r="O177" s="13">
        <f>N177*VLOOKUP('Données projet'!$B$9,Paramètres!$A$1:$I$89,3,0)*VLOOKUP('Données projet'!$B$9,Paramètres!$A$1:$I$89,5,0)</f>
        <v>17.924088000000364</v>
      </c>
      <c r="P177" s="13">
        <f t="shared" si="141"/>
        <v>5.9032212091029486</v>
      </c>
      <c r="Q177" s="20">
        <f t="shared" si="162"/>
        <v>41.499230205854936</v>
      </c>
      <c r="R177" s="59">
        <f t="shared" si="109"/>
        <v>330.46956827366466</v>
      </c>
      <c r="S177" s="59">
        <f ca="1">AVERAGE(OFFSET($R$3,0,0,'Données projet'!$E$9+1,1))-AVERAGE(OFFSET($H$3,0,0,'Données projet'!$E$9+1,1))</f>
        <v>567.42635821507474</v>
      </c>
      <c r="T177" s="59">
        <f t="shared" si="142"/>
        <v>299.04735309930152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118.2422841993953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118.2422841993953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404.00000000000017</v>
      </c>
      <c r="AJ177" s="13">
        <f>AI177*VLOOKUP('Données projet'!$B$10,Paramètres!$A$1:$I$89,3,0)*VLOOKUP('Données projet'!$B$10,Paramètres!$A$1:$I$89,5,0)</f>
        <v>346.63200000000018</v>
      </c>
      <c r="AK177" s="13">
        <f t="shared" si="164"/>
        <v>80.868615263336864</v>
      </c>
      <c r="AL177" s="20">
        <f t="shared" si="165"/>
        <v>744.56357158364528</v>
      </c>
      <c r="AM177" s="59">
        <f t="shared" si="113"/>
        <v>1033.5339096514549</v>
      </c>
      <c r="AN177" s="59">
        <f ca="1">AVERAGE(OFFSET($AM$3,0,0,'Données projet'!$E$10+1,1))-AVERAGE(OFFSET($H$3,0,0,'Données projet'!$E$10+1,1))</f>
        <v>481.23392184981651</v>
      </c>
      <c r="AO177" s="59">
        <f t="shared" si="144"/>
        <v>275.88160405468193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34.305310064242562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34.305310064242562</v>
      </c>
      <c r="AY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328.00000000000006</v>
      </c>
      <c r="BE177" s="13">
        <f>BD177*VLOOKUP('Données projet'!$B$11,Paramètres!$A$1:$I$89,3,0)*VLOOKUP('Données projet'!$B$11,Paramètres!$A$1:$I$89,5,0)</f>
        <v>255.84000000000006</v>
      </c>
      <c r="BF177" s="13">
        <f t="shared" si="167"/>
        <v>61.834803371075836</v>
      </c>
      <c r="BG177" s="20">
        <f t="shared" si="168"/>
        <v>553.28361587129041</v>
      </c>
      <c r="BH177" s="59">
        <f t="shared" si="116"/>
        <v>842.25395393910014</v>
      </c>
      <c r="BI177" s="59">
        <f ca="1">AVERAGE(OFFSET($BH$3,0,0,'Données projet'!$E$11+1,1))-AVERAGE(OFFSET($H$3,0,0,'Données projet'!$E$11+1,1))</f>
        <v>308.85018589589453</v>
      </c>
      <c r="BJ177" s="59">
        <f t="shared" si="146"/>
        <v>302.59481222418219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6.2975246775102693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6.2975246775102693</v>
      </c>
      <c r="BT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19.8100000000004</v>
      </c>
      <c r="BZ177" s="13">
        <f>BY177*VLOOKUP('Données projet'!$B$12,Paramètres!$A$1:$I$89,3,0)*VLOOKUP('Données projet'!$B$12,Paramètres!$A$1:$I$89,5,0)</f>
        <v>19.160232000000388</v>
      </c>
      <c r="CA177" s="13">
        <f t="shared" si="170"/>
        <v>6.2615431735370342</v>
      </c>
      <c r="CB177" s="20">
        <f t="shared" si="171"/>
        <v>44.27625842724435</v>
      </c>
      <c r="CC177" s="59">
        <f t="shared" si="119"/>
        <v>333.24659649505406</v>
      </c>
      <c r="CD177" s="59">
        <f ca="1">AVERAGE(OFFSET($CC$3,0,0,'Données projet'!$E$12+1,1))-AVERAGE(OFFSET($H$3,0,0,'Données projet'!$E$12+1,1))</f>
        <v>600.96600099724276</v>
      </c>
      <c r="CE177" s="59">
        <f t="shared" si="148"/>
        <v>315.40159260706264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126.39692448900874</v>
      </c>
      <c r="CL177" s="21">
        <f>EXP(-LN(2)/25)*CL176+(1-EXP(-LN(2)/25))/(LN(2)/25)*Calculateur!CG177*Calculateur!CI177*VLOOKUP('Données projet'!$B$12,Paramètres!$A$1:$I$89,3,0)*0.475*44/12</f>
        <v>0</v>
      </c>
      <c r="CM177" s="21">
        <f>EXP(-LN(2)/2)*CM176+(1-EXP(-LN(2)/2))/(LN(2)/2)*CG177*CJ177*VLOOKUP('Données projet'!$B$12,Paramètres!$A$1:$I$89,3,0)*0.475*44/12</f>
        <v>0</v>
      </c>
      <c r="CN177" s="22">
        <f t="shared" si="172"/>
        <v>126.39692448900874</v>
      </c>
      <c r="CO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19.8100000000004</v>
      </c>
      <c r="CU177" s="17">
        <f>CT177*VLOOKUP('Données projet'!$B$13,Paramètres!$A$1:$I$89,3,0)*VLOOKUP('Données projet'!$B$13,Paramètres!$A$1:$I$89,5,0)</f>
        <v>18.851196000000382</v>
      </c>
      <c r="CV177" s="13">
        <f t="shared" si="173"/>
        <v>6.172221809210666</v>
      </c>
      <c r="CW177" s="20">
        <f t="shared" si="174"/>
        <v>43.582452684375909</v>
      </c>
      <c r="CX177" s="59">
        <f t="shared" si="122"/>
        <v>332.55279075218562</v>
      </c>
      <c r="CY177" s="59">
        <f ca="1">AVERAGE(OFFSET($CX$3,0,0,'Données projet'!$E$13+1,1))-AVERAGE(OFFSET($H$3,0,0,'Données projet'!$E$13+1,1))</f>
        <v>592.58528889137358</v>
      </c>
      <c r="CZ177" s="59">
        <f t="shared" si="150"/>
        <v>311.31528020403709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124.35826441660544</v>
      </c>
      <c r="DG177" s="21">
        <f>EXP(-LN(2)/25)*DG176+(1-EXP(-LN(2)/25))/(LN(2)/25)*Calculateur!DB177*Calculateur!DD177*VLOOKUP('Données projet'!$B$13,Paramètres!$A$1:$I$89,3,0)*0.475*44/12</f>
        <v>0</v>
      </c>
      <c r="DH177" s="21">
        <f>EXP(-LN(2)/2)*DH176+(1-EXP(-LN(2)/2))/(LN(2)/2)*DB177*DE177*VLOOKUP('Données projet'!$B$13,Paramètres!$A$1:$I$89,3,0)*0.475*44/12</f>
        <v>0</v>
      </c>
      <c r="DI177" s="22">
        <f t="shared" si="175"/>
        <v>124.35826441660544</v>
      </c>
      <c r="DJ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2">
        <f>'Scénario référence'!$B$16*5+'Scénario référence'!$B$17*0+'Scénario référence'!$B$18*5</f>
        <v>5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66">
        <f t="shared" si="110"/>
        <v>183.33333333333334</v>
      </c>
      <c r="I178" s="6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19.8100000000004</v>
      </c>
      <c r="O178" s="13">
        <f>N178*VLOOKUP('Données projet'!$B$9,Paramètres!$A$1:$I$89,3,0)*VLOOKUP('Données projet'!$B$9,Paramètres!$A$1:$I$89,5,0)</f>
        <v>17.924088000000364</v>
      </c>
      <c r="P178" s="13">
        <f t="shared" si="141"/>
        <v>5.9032212091029486</v>
      </c>
      <c r="Q178" s="20">
        <f t="shared" si="162"/>
        <v>41.499230205854936</v>
      </c>
      <c r="R178" s="59">
        <f t="shared" si="109"/>
        <v>330.54525648732533</v>
      </c>
      <c r="S178" s="59">
        <f ca="1">AVERAGE(OFFSET($R$3,0,0,'Données projet'!$E$9+1,1))-AVERAGE(OFFSET($H$3,0,0,'Données projet'!$E$9+1,1))</f>
        <v>567.42635821507474</v>
      </c>
      <c r="T178" s="59">
        <f t="shared" si="142"/>
        <v>299.04735309930152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115.9236251269172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115.9236251269172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404.00000000000017</v>
      </c>
      <c r="AJ178" s="13">
        <f>AI178*VLOOKUP('Données projet'!$B$10,Paramètres!$A$1:$I$89,3,0)*VLOOKUP('Données projet'!$B$10,Paramètres!$A$1:$I$89,5,0)</f>
        <v>346.63200000000018</v>
      </c>
      <c r="AK178" s="13">
        <f t="shared" si="164"/>
        <v>80.868615263336864</v>
      </c>
      <c r="AL178" s="20">
        <f t="shared" si="165"/>
        <v>744.56357158364528</v>
      </c>
      <c r="AM178" s="59">
        <f t="shared" si="113"/>
        <v>1033.6095978651156</v>
      </c>
      <c r="AN178" s="59">
        <f ca="1">AVERAGE(OFFSET($AM$3,0,0,'Données projet'!$E$10+1,1))-AVERAGE(OFFSET($H$3,0,0,'Données projet'!$E$10+1,1))</f>
        <v>481.23392184981651</v>
      </c>
      <c r="AO178" s="59">
        <f t="shared" si="144"/>
        <v>275.88160405468193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33.632603858055816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33.632603858055816</v>
      </c>
      <c r="AY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328.00000000000006</v>
      </c>
      <c r="BE178" s="13">
        <f>BD178*VLOOKUP('Données projet'!$B$11,Paramètres!$A$1:$I$89,3,0)*VLOOKUP('Données projet'!$B$11,Paramètres!$A$1:$I$89,5,0)</f>
        <v>255.84000000000006</v>
      </c>
      <c r="BF178" s="13">
        <f t="shared" si="167"/>
        <v>61.834803371075836</v>
      </c>
      <c r="BG178" s="20">
        <f t="shared" si="168"/>
        <v>553.28361587129041</v>
      </c>
      <c r="BH178" s="59">
        <f t="shared" si="116"/>
        <v>842.32964215276081</v>
      </c>
      <c r="BI178" s="59">
        <f ca="1">AVERAGE(OFFSET($BH$3,0,0,'Données projet'!$E$11+1,1))-AVERAGE(OFFSET($H$3,0,0,'Données projet'!$E$11+1,1))</f>
        <v>308.85018589589453</v>
      </c>
      <c r="BJ178" s="59">
        <f t="shared" si="146"/>
        <v>302.59481222418219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6.1740340596950682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6.1740340596950682</v>
      </c>
      <c r="BT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19.8100000000004</v>
      </c>
      <c r="BZ178" s="13">
        <f>BY178*VLOOKUP('Données projet'!$B$12,Paramètres!$A$1:$I$89,3,0)*VLOOKUP('Données projet'!$B$12,Paramètres!$A$1:$I$89,5,0)</f>
        <v>19.160232000000388</v>
      </c>
      <c r="CA178" s="13">
        <f t="shared" si="170"/>
        <v>6.2615431735370342</v>
      </c>
      <c r="CB178" s="20">
        <f t="shared" si="171"/>
        <v>44.27625842724435</v>
      </c>
      <c r="CC178" s="59">
        <f t="shared" si="119"/>
        <v>333.32228470871473</v>
      </c>
      <c r="CD178" s="59">
        <f ca="1">AVERAGE(OFFSET($CC$3,0,0,'Données projet'!$E$12+1,1))-AVERAGE(OFFSET($H$3,0,0,'Données projet'!$E$12+1,1))</f>
        <v>600.96600099724276</v>
      </c>
      <c r="CE178" s="59">
        <f t="shared" si="148"/>
        <v>315.40159260706264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123.91835789429076</v>
      </c>
      <c r="CL178" s="21">
        <f>EXP(-LN(2)/25)*CL177+(1-EXP(-LN(2)/25))/(LN(2)/25)*Calculateur!CG178*Calculateur!CI178*VLOOKUP('Données projet'!$B$12,Paramètres!$A$1:$I$89,3,0)*0.475*44/12</f>
        <v>0</v>
      </c>
      <c r="CM178" s="21">
        <f>EXP(-LN(2)/2)*CM177+(1-EXP(-LN(2)/2))/(LN(2)/2)*CG178*CJ178*VLOOKUP('Données projet'!$B$12,Paramètres!$A$1:$I$89,3,0)*0.475*44/12</f>
        <v>0</v>
      </c>
      <c r="CN178" s="22">
        <f t="shared" si="172"/>
        <v>123.91835789429076</v>
      </c>
      <c r="CO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19.8100000000004</v>
      </c>
      <c r="CU178" s="17">
        <f>CT178*VLOOKUP('Données projet'!$B$13,Paramètres!$A$1:$I$89,3,0)*VLOOKUP('Données projet'!$B$13,Paramètres!$A$1:$I$89,5,0)</f>
        <v>18.851196000000382</v>
      </c>
      <c r="CV178" s="13">
        <f t="shared" si="173"/>
        <v>6.172221809210666</v>
      </c>
      <c r="CW178" s="20">
        <f t="shared" si="174"/>
        <v>43.582452684375909</v>
      </c>
      <c r="CX178" s="59">
        <f t="shared" si="122"/>
        <v>332.62847896584628</v>
      </c>
      <c r="CY178" s="59">
        <f ca="1">AVERAGE(OFFSET($CX$3,0,0,'Données projet'!$E$13+1,1))-AVERAGE(OFFSET($H$3,0,0,'Données projet'!$E$13+1,1))</f>
        <v>592.58528889137358</v>
      </c>
      <c r="CZ178" s="59">
        <f t="shared" si="150"/>
        <v>311.31528020403709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121.91967470244742</v>
      </c>
      <c r="DG178" s="21">
        <f>EXP(-LN(2)/25)*DG177+(1-EXP(-LN(2)/25))/(LN(2)/25)*Calculateur!DB178*Calculateur!DD178*VLOOKUP('Données projet'!$B$13,Paramètres!$A$1:$I$89,3,0)*0.475*44/12</f>
        <v>0</v>
      </c>
      <c r="DH178" s="21">
        <f>EXP(-LN(2)/2)*DH177+(1-EXP(-LN(2)/2))/(LN(2)/2)*DB178*DE178*VLOOKUP('Données projet'!$B$13,Paramètres!$A$1:$I$89,3,0)*0.475*44/12</f>
        <v>0</v>
      </c>
      <c r="DI178" s="22">
        <f t="shared" si="175"/>
        <v>121.91967470244742</v>
      </c>
      <c r="DJ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2">
        <f>'Scénario référence'!$B$16*5+'Scénario référence'!$B$17*0+'Scénario référence'!$B$18*5</f>
        <v>5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66">
        <f t="shared" si="110"/>
        <v>183.33333333333334</v>
      </c>
      <c r="I179" s="6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19.8100000000004</v>
      </c>
      <c r="O179" s="13">
        <f>N179*VLOOKUP('Données projet'!$B$9,Paramètres!$A$1:$I$89,3,0)*VLOOKUP('Données projet'!$B$9,Paramètres!$A$1:$I$89,5,0)</f>
        <v>17.924088000000364</v>
      </c>
      <c r="P179" s="13">
        <f t="shared" si="141"/>
        <v>5.9032212091029486</v>
      </c>
      <c r="Q179" s="20">
        <f t="shared" si="162"/>
        <v>41.499230205854936</v>
      </c>
      <c r="R179" s="59">
        <f t="shared" si="109"/>
        <v>330.61963167969253</v>
      </c>
      <c r="S179" s="59">
        <f ca="1">AVERAGE(OFFSET($R$3,0,0,'Données projet'!$E$9+1,1))-AVERAGE(OFFSET($H$3,0,0,'Données projet'!$E$9+1,1))</f>
        <v>567.42635821507474</v>
      </c>
      <c r="T179" s="59">
        <f t="shared" si="142"/>
        <v>299.04735309930152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113.65043354460801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113.65043354460801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404.00000000000017</v>
      </c>
      <c r="AJ179" s="13">
        <f>AI179*VLOOKUP('Données projet'!$B$10,Paramètres!$A$1:$I$89,3,0)*VLOOKUP('Données projet'!$B$10,Paramètres!$A$1:$I$89,5,0)</f>
        <v>346.63200000000018</v>
      </c>
      <c r="AK179" s="13">
        <f t="shared" si="164"/>
        <v>80.868615263336864</v>
      </c>
      <c r="AL179" s="20">
        <f t="shared" si="165"/>
        <v>744.56357158364528</v>
      </c>
      <c r="AM179" s="59">
        <f t="shared" si="113"/>
        <v>1033.6839730574829</v>
      </c>
      <c r="AN179" s="59">
        <f ca="1">AVERAGE(OFFSET($AM$3,0,0,'Données projet'!$E$10+1,1))-AVERAGE(OFFSET($H$3,0,0,'Données projet'!$E$10+1,1))</f>
        <v>481.23392184981651</v>
      </c>
      <c r="AO179" s="59">
        <f t="shared" si="144"/>
        <v>275.88160405468193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32.973089010262122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32.973089010262122</v>
      </c>
      <c r="AY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328.00000000000006</v>
      </c>
      <c r="BE179" s="13">
        <f>BD179*VLOOKUP('Données projet'!$B$11,Paramètres!$A$1:$I$89,3,0)*VLOOKUP('Données projet'!$B$11,Paramètres!$A$1:$I$89,5,0)</f>
        <v>255.84000000000006</v>
      </c>
      <c r="BF179" s="13">
        <f t="shared" si="167"/>
        <v>61.834803371075836</v>
      </c>
      <c r="BG179" s="20">
        <f t="shared" si="168"/>
        <v>553.28361587129041</v>
      </c>
      <c r="BH179" s="59">
        <f t="shared" si="116"/>
        <v>842.40401734512807</v>
      </c>
      <c r="BI179" s="59">
        <f ca="1">AVERAGE(OFFSET($BH$3,0,0,'Données projet'!$E$11+1,1))-AVERAGE(OFFSET($H$3,0,0,'Données projet'!$E$11+1,1))</f>
        <v>308.85018589589453</v>
      </c>
      <c r="BJ179" s="59">
        <f t="shared" si="146"/>
        <v>302.59481222418219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6.052965017573384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6.052965017573384</v>
      </c>
      <c r="BT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19.8100000000004</v>
      </c>
      <c r="BZ179" s="13">
        <f>BY179*VLOOKUP('Données projet'!$B$12,Paramètres!$A$1:$I$89,3,0)*VLOOKUP('Données projet'!$B$12,Paramètres!$A$1:$I$89,5,0)</f>
        <v>19.160232000000388</v>
      </c>
      <c r="CA179" s="13">
        <f t="shared" si="170"/>
        <v>6.2615431735370342</v>
      </c>
      <c r="CB179" s="20">
        <f t="shared" si="171"/>
        <v>44.27625842724435</v>
      </c>
      <c r="CC179" s="59">
        <f t="shared" si="119"/>
        <v>333.39665990108193</v>
      </c>
      <c r="CD179" s="59">
        <f ca="1">AVERAGE(OFFSET($CC$3,0,0,'Données projet'!$E$12+1,1))-AVERAGE(OFFSET($H$3,0,0,'Données projet'!$E$12+1,1))</f>
        <v>600.96600099724276</v>
      </c>
      <c r="CE179" s="59">
        <f t="shared" si="148"/>
        <v>315.40159260706264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121.48839447871886</v>
      </c>
      <c r="CL179" s="21">
        <f>EXP(-LN(2)/25)*CL178+(1-EXP(-LN(2)/25))/(LN(2)/25)*Calculateur!CG179*Calculateur!CI179*VLOOKUP('Données projet'!$B$12,Paramètres!$A$1:$I$89,3,0)*0.475*44/12</f>
        <v>0</v>
      </c>
      <c r="CM179" s="21">
        <f>EXP(-LN(2)/2)*CM178+(1-EXP(-LN(2)/2))/(LN(2)/2)*CG179*CJ179*VLOOKUP('Données projet'!$B$12,Paramètres!$A$1:$I$89,3,0)*0.475*44/12</f>
        <v>0</v>
      </c>
      <c r="CN179" s="22">
        <f t="shared" si="172"/>
        <v>121.48839447871886</v>
      </c>
      <c r="CO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19.8100000000004</v>
      </c>
      <c r="CU179" s="17">
        <f>CT179*VLOOKUP('Données projet'!$B$13,Paramètres!$A$1:$I$89,3,0)*VLOOKUP('Données projet'!$B$13,Paramètres!$A$1:$I$89,5,0)</f>
        <v>18.851196000000382</v>
      </c>
      <c r="CV179" s="13">
        <f t="shared" si="173"/>
        <v>6.172221809210666</v>
      </c>
      <c r="CW179" s="20">
        <f t="shared" si="174"/>
        <v>43.582452684375909</v>
      </c>
      <c r="CX179" s="59">
        <f t="shared" si="122"/>
        <v>332.70285415821354</v>
      </c>
      <c r="CY179" s="59">
        <f ca="1">AVERAGE(OFFSET($CX$3,0,0,'Données projet'!$E$13+1,1))-AVERAGE(OFFSET($H$3,0,0,'Données projet'!$E$13+1,1))</f>
        <v>592.58528889137358</v>
      </c>
      <c r="CZ179" s="59">
        <f t="shared" si="150"/>
        <v>311.31528020403709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119.5289042451912</v>
      </c>
      <c r="DG179" s="21">
        <f>EXP(-LN(2)/25)*DG178+(1-EXP(-LN(2)/25))/(LN(2)/25)*Calculateur!DB179*Calculateur!DD179*VLOOKUP('Données projet'!$B$13,Paramètres!$A$1:$I$89,3,0)*0.475*44/12</f>
        <v>0</v>
      </c>
      <c r="DH179" s="21">
        <f>EXP(-LN(2)/2)*DH178+(1-EXP(-LN(2)/2))/(LN(2)/2)*DB179*DE179*VLOOKUP('Données projet'!$B$13,Paramètres!$A$1:$I$89,3,0)*0.475*44/12</f>
        <v>0</v>
      </c>
      <c r="DI179" s="22">
        <f t="shared" si="175"/>
        <v>119.5289042451912</v>
      </c>
      <c r="DJ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2">
        <f>'Scénario référence'!$B$16*5+'Scénario référence'!$B$17*0+'Scénario référence'!$B$18*5</f>
        <v>5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66">
        <f t="shared" si="110"/>
        <v>183.33333333333334</v>
      </c>
      <c r="I180" s="6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19.8100000000004</v>
      </c>
      <c r="O180" s="13">
        <f>N180*VLOOKUP('Données projet'!$B$9,Paramètres!$A$1:$I$89,3,0)*VLOOKUP('Données projet'!$B$9,Paramètres!$A$1:$I$89,5,0)</f>
        <v>17.924088000000364</v>
      </c>
      <c r="P180" s="13">
        <f t="shared" si="141"/>
        <v>5.9032212091029486</v>
      </c>
      <c r="Q180" s="20">
        <f t="shared" si="162"/>
        <v>41.499230205854936</v>
      </c>
      <c r="R180" s="59">
        <f t="shared" si="109"/>
        <v>330.69271662875019</v>
      </c>
      <c r="S180" s="59">
        <f ca="1">AVERAGE(OFFSET($R$3,0,0,'Données projet'!$E$9+1,1))-AVERAGE(OFFSET($H$3,0,0,'Données projet'!$E$9+1,1))</f>
        <v>567.42635821507474</v>
      </c>
      <c r="T180" s="59">
        <f t="shared" si="142"/>
        <v>299.04735309930152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111.42181786271793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111.42181786271793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404.00000000000017</v>
      </c>
      <c r="AJ180" s="13">
        <f>AI180*VLOOKUP('Données projet'!$B$10,Paramètres!$A$1:$I$89,3,0)*VLOOKUP('Données projet'!$B$10,Paramètres!$A$1:$I$89,5,0)</f>
        <v>346.63200000000018</v>
      </c>
      <c r="AK180" s="13">
        <f t="shared" si="164"/>
        <v>80.868615263336864</v>
      </c>
      <c r="AL180" s="20">
        <f t="shared" si="165"/>
        <v>744.56357158364528</v>
      </c>
      <c r="AM180" s="59">
        <f t="shared" si="113"/>
        <v>1033.7570580065405</v>
      </c>
      <c r="AN180" s="59">
        <f ca="1">AVERAGE(OFFSET($AM$3,0,0,'Données projet'!$E$10+1,1))-AVERAGE(OFFSET($H$3,0,0,'Données projet'!$E$10+1,1))</f>
        <v>481.23392184981651</v>
      </c>
      <c r="AO180" s="59">
        <f t="shared" si="144"/>
        <v>275.88160405468193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32.32650684636932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32.32650684636932</v>
      </c>
      <c r="AY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328.00000000000006</v>
      </c>
      <c r="BE180" s="13">
        <f>BD180*VLOOKUP('Données projet'!$B$11,Paramètres!$A$1:$I$89,3,0)*VLOOKUP('Données projet'!$B$11,Paramètres!$A$1:$I$89,5,0)</f>
        <v>255.84000000000006</v>
      </c>
      <c r="BF180" s="13">
        <f t="shared" si="167"/>
        <v>61.834803371075836</v>
      </c>
      <c r="BG180" s="20">
        <f t="shared" si="168"/>
        <v>553.28361587129041</v>
      </c>
      <c r="BH180" s="59">
        <f t="shared" si="116"/>
        <v>842.47710229418567</v>
      </c>
      <c r="BI180" s="59">
        <f ca="1">AVERAGE(OFFSET($BH$3,0,0,'Données projet'!$E$11+1,1))-AVERAGE(OFFSET($H$3,0,0,'Données projet'!$E$11+1,1))</f>
        <v>308.85018589589453</v>
      </c>
      <c r="BJ180" s="59">
        <f t="shared" si="146"/>
        <v>302.59481222418219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5.9342700655228811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5.9342700655228811</v>
      </c>
      <c r="BT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19.8100000000004</v>
      </c>
      <c r="BZ180" s="13">
        <f>BY180*VLOOKUP('Données projet'!$B$12,Paramètres!$A$1:$I$89,3,0)*VLOOKUP('Données projet'!$B$12,Paramètres!$A$1:$I$89,5,0)</f>
        <v>19.160232000000388</v>
      </c>
      <c r="CA180" s="13">
        <f t="shared" si="170"/>
        <v>6.2615431735370342</v>
      </c>
      <c r="CB180" s="20">
        <f t="shared" si="171"/>
        <v>44.27625842724435</v>
      </c>
      <c r="CC180" s="59">
        <f t="shared" si="119"/>
        <v>333.46974485013959</v>
      </c>
      <c r="CD180" s="59">
        <f ca="1">AVERAGE(OFFSET($CC$3,0,0,'Données projet'!$E$12+1,1))-AVERAGE(OFFSET($H$3,0,0,'Données projet'!$E$12+1,1))</f>
        <v>600.96600099724276</v>
      </c>
      <c r="CE180" s="59">
        <f t="shared" si="148"/>
        <v>315.40159260706264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119.10608116359499</v>
      </c>
      <c r="CL180" s="21">
        <f>EXP(-LN(2)/25)*CL179+(1-EXP(-LN(2)/25))/(LN(2)/25)*Calculateur!CG180*Calculateur!CI180*VLOOKUP('Données projet'!$B$12,Paramètres!$A$1:$I$89,3,0)*0.475*44/12</f>
        <v>0</v>
      </c>
      <c r="CM180" s="21">
        <f>EXP(-LN(2)/2)*CM179+(1-EXP(-LN(2)/2))/(LN(2)/2)*CG180*CJ180*VLOOKUP('Données projet'!$B$12,Paramètres!$A$1:$I$89,3,0)*0.475*44/12</f>
        <v>0</v>
      </c>
      <c r="CN180" s="22">
        <f t="shared" si="172"/>
        <v>119.10608116359499</v>
      </c>
      <c r="CO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19.8100000000004</v>
      </c>
      <c r="CU180" s="17">
        <f>CT180*VLOOKUP('Données projet'!$B$13,Paramètres!$A$1:$I$89,3,0)*VLOOKUP('Données projet'!$B$13,Paramètres!$A$1:$I$89,5,0)</f>
        <v>18.851196000000382</v>
      </c>
      <c r="CV180" s="13">
        <f t="shared" si="173"/>
        <v>6.172221809210666</v>
      </c>
      <c r="CW180" s="20">
        <f t="shared" si="174"/>
        <v>43.582452684375909</v>
      </c>
      <c r="CX180" s="59">
        <f t="shared" si="122"/>
        <v>332.77593910727114</v>
      </c>
      <c r="CY180" s="59">
        <f ca="1">AVERAGE(OFFSET($CX$3,0,0,'Données projet'!$E$13+1,1))-AVERAGE(OFFSET($H$3,0,0,'Données projet'!$E$13+1,1))</f>
        <v>592.58528889137358</v>
      </c>
      <c r="CZ180" s="59">
        <f t="shared" si="150"/>
        <v>311.31528020403709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117.18501533837578</v>
      </c>
      <c r="DG180" s="21">
        <f>EXP(-LN(2)/25)*DG179+(1-EXP(-LN(2)/25))/(LN(2)/25)*Calculateur!DB180*Calculateur!DD180*VLOOKUP('Données projet'!$B$13,Paramètres!$A$1:$I$89,3,0)*0.475*44/12</f>
        <v>0</v>
      </c>
      <c r="DH180" s="21">
        <f>EXP(-LN(2)/2)*DH179+(1-EXP(-LN(2)/2))/(LN(2)/2)*DB180*DE180*VLOOKUP('Données projet'!$B$13,Paramètres!$A$1:$I$89,3,0)*0.475*44/12</f>
        <v>0</v>
      </c>
      <c r="DI180" s="22">
        <f t="shared" si="175"/>
        <v>117.18501533837578</v>
      </c>
      <c r="DJ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2">
        <f>'Scénario référence'!$B$16*5+'Scénario référence'!$B$17*0+'Scénario référence'!$B$18*5</f>
        <v>5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66">
        <f t="shared" si="110"/>
        <v>183.33333333333334</v>
      </c>
      <c r="I181" s="6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19.8100000000004</v>
      </c>
      <c r="O181" s="13">
        <f>N181*VLOOKUP('Données projet'!$B$9,Paramètres!$A$1:$I$89,3,0)*VLOOKUP('Données projet'!$B$9,Paramètres!$A$1:$I$89,5,0)</f>
        <v>17.924088000000364</v>
      </c>
      <c r="P181" s="13">
        <f t="shared" si="141"/>
        <v>5.9032212091029486</v>
      </c>
      <c r="Q181" s="20">
        <f t="shared" si="162"/>
        <v>41.499230205854936</v>
      </c>
      <c r="R181" s="59">
        <f t="shared" si="109"/>
        <v>330.7645337173351</v>
      </c>
      <c r="S181" s="59">
        <f ca="1">AVERAGE(OFFSET($R$3,0,0,'Données projet'!$E$9+1,1))-AVERAGE(OFFSET($H$3,0,0,'Données projet'!$E$9+1,1))</f>
        <v>567.42635821507474</v>
      </c>
      <c r="T181" s="59">
        <f t="shared" si="142"/>
        <v>299.04735309930152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109.23690397502837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109.23690397502837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404.00000000000017</v>
      </c>
      <c r="AJ181" s="13">
        <f>AI181*VLOOKUP('Données projet'!$B$10,Paramètres!$A$1:$I$89,3,0)*VLOOKUP('Données projet'!$B$10,Paramètres!$A$1:$I$89,5,0)</f>
        <v>346.63200000000018</v>
      </c>
      <c r="AK181" s="13">
        <f t="shared" si="164"/>
        <v>80.868615263336864</v>
      </c>
      <c r="AL181" s="20">
        <f t="shared" si="165"/>
        <v>744.56357158364528</v>
      </c>
      <c r="AM181" s="59">
        <f t="shared" si="113"/>
        <v>1033.8288750951256</v>
      </c>
      <c r="AN181" s="59">
        <f ca="1">AVERAGE(OFFSET($AM$3,0,0,'Données projet'!$E$10+1,1))-AVERAGE(OFFSET($H$3,0,0,'Données projet'!$E$10+1,1))</f>
        <v>481.23392184981651</v>
      </c>
      <c r="AO181" s="59">
        <f t="shared" si="144"/>
        <v>275.88160405468193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31.69260376433428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31.69260376433428</v>
      </c>
      <c r="AY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328.00000000000006</v>
      </c>
      <c r="BE181" s="13">
        <f>BD181*VLOOKUP('Données projet'!$B$11,Paramètres!$A$1:$I$89,3,0)*VLOOKUP('Données projet'!$B$11,Paramètres!$A$1:$I$89,5,0)</f>
        <v>255.84000000000006</v>
      </c>
      <c r="BF181" s="13">
        <f t="shared" si="167"/>
        <v>61.834803371075836</v>
      </c>
      <c r="BG181" s="20">
        <f t="shared" si="168"/>
        <v>553.28361587129041</v>
      </c>
      <c r="BH181" s="59">
        <f t="shared" si="116"/>
        <v>842.54891938277058</v>
      </c>
      <c r="BI181" s="59">
        <f ca="1">AVERAGE(OFFSET($BH$3,0,0,'Données projet'!$E$11+1,1))-AVERAGE(OFFSET($H$3,0,0,'Données projet'!$E$11+1,1))</f>
        <v>308.85018589589453</v>
      </c>
      <c r="BJ181" s="59">
        <f t="shared" si="146"/>
        <v>302.59481222418219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5.8179026490853163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5.8179026490853163</v>
      </c>
      <c r="BT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19.8100000000004</v>
      </c>
      <c r="BZ181" s="13">
        <f>BY181*VLOOKUP('Données projet'!$B$12,Paramètres!$A$1:$I$89,3,0)*VLOOKUP('Données projet'!$B$12,Paramètres!$A$1:$I$89,5,0)</f>
        <v>19.160232000000388</v>
      </c>
      <c r="CA181" s="13">
        <f t="shared" si="170"/>
        <v>6.2615431735370342</v>
      </c>
      <c r="CB181" s="20">
        <f t="shared" si="171"/>
        <v>44.27625842724435</v>
      </c>
      <c r="CC181" s="59">
        <f t="shared" si="119"/>
        <v>333.5415619387245</v>
      </c>
      <c r="CD181" s="59">
        <f ca="1">AVERAGE(OFFSET($CC$3,0,0,'Données projet'!$E$12+1,1))-AVERAGE(OFFSET($H$3,0,0,'Données projet'!$E$12+1,1))</f>
        <v>600.96600099724276</v>
      </c>
      <c r="CE181" s="59">
        <f t="shared" si="148"/>
        <v>315.40159260706264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116.77048355951305</v>
      </c>
      <c r="CL181" s="21">
        <f>EXP(-LN(2)/25)*CL180+(1-EXP(-LN(2)/25))/(LN(2)/25)*Calculateur!CG181*Calculateur!CI181*VLOOKUP('Données projet'!$B$12,Paramètres!$A$1:$I$89,3,0)*0.475*44/12</f>
        <v>0</v>
      </c>
      <c r="CM181" s="21">
        <f>EXP(-LN(2)/2)*CM180+(1-EXP(-LN(2)/2))/(LN(2)/2)*CG181*CJ181*VLOOKUP('Données projet'!$B$12,Paramètres!$A$1:$I$89,3,0)*0.475*44/12</f>
        <v>0</v>
      </c>
      <c r="CN181" s="22">
        <f t="shared" si="172"/>
        <v>116.77048355951305</v>
      </c>
      <c r="CO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19.8100000000004</v>
      </c>
      <c r="CU181" s="17">
        <f>CT181*VLOOKUP('Données projet'!$B$13,Paramètres!$A$1:$I$89,3,0)*VLOOKUP('Données projet'!$B$13,Paramètres!$A$1:$I$89,5,0)</f>
        <v>18.851196000000382</v>
      </c>
      <c r="CV181" s="13">
        <f t="shared" si="173"/>
        <v>6.172221809210666</v>
      </c>
      <c r="CW181" s="20">
        <f t="shared" si="174"/>
        <v>43.582452684375909</v>
      </c>
      <c r="CX181" s="59">
        <f t="shared" si="122"/>
        <v>332.84775619585605</v>
      </c>
      <c r="CY181" s="59">
        <f ca="1">AVERAGE(OFFSET($CX$3,0,0,'Données projet'!$E$13+1,1))-AVERAGE(OFFSET($H$3,0,0,'Données projet'!$E$13+1,1))</f>
        <v>592.58528889137358</v>
      </c>
      <c r="CZ181" s="59">
        <f t="shared" si="150"/>
        <v>311.31528020403709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114.88708866339194</v>
      </c>
      <c r="DG181" s="21">
        <f>EXP(-LN(2)/25)*DG180+(1-EXP(-LN(2)/25))/(LN(2)/25)*Calculateur!DB181*Calculateur!DD181*VLOOKUP('Données projet'!$B$13,Paramètres!$A$1:$I$89,3,0)*0.475*44/12</f>
        <v>0</v>
      </c>
      <c r="DH181" s="21">
        <f>EXP(-LN(2)/2)*DH180+(1-EXP(-LN(2)/2))/(LN(2)/2)*DB181*DE181*VLOOKUP('Données projet'!$B$13,Paramètres!$A$1:$I$89,3,0)*0.475*44/12</f>
        <v>0</v>
      </c>
      <c r="DI181" s="22">
        <f t="shared" si="175"/>
        <v>114.88708866339194</v>
      </c>
      <c r="DJ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2">
        <f>'Scénario référence'!$B$16*5+'Scénario référence'!$B$17*0+'Scénario référence'!$B$18*5</f>
        <v>5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66">
        <f t="shared" si="110"/>
        <v>183.33333333333334</v>
      </c>
      <c r="I182" s="6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19.8100000000004</v>
      </c>
      <c r="O182" s="13">
        <f>N182*VLOOKUP('Données projet'!$B$9,Paramètres!$A$1:$I$89,3,0)*VLOOKUP('Données projet'!$B$9,Paramètres!$A$1:$I$89,5,0)</f>
        <v>17.924088000000364</v>
      </c>
      <c r="P182" s="13">
        <f t="shared" si="141"/>
        <v>5.9032212091029486</v>
      </c>
      <c r="Q182" s="20">
        <f t="shared" si="162"/>
        <v>41.499230205854936</v>
      </c>
      <c r="R182" s="59">
        <f t="shared" si="109"/>
        <v>330.83510493999205</v>
      </c>
      <c r="S182" s="59">
        <f ca="1">AVERAGE(OFFSET($R$3,0,0,'Données projet'!$E$9+1,1))-AVERAGE(OFFSET($H$3,0,0,'Données projet'!$E$9+1,1))</f>
        <v>567.42635821507474</v>
      </c>
      <c r="T182" s="59">
        <f t="shared" si="142"/>
        <v>299.04735309930152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107.09483491601053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107.09483491601053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404.00000000000017</v>
      </c>
      <c r="AJ182" s="13">
        <f>AI182*VLOOKUP('Données projet'!$B$10,Paramètres!$A$1:$I$89,3,0)*VLOOKUP('Données projet'!$B$10,Paramètres!$A$1:$I$89,5,0)</f>
        <v>346.63200000000018</v>
      </c>
      <c r="AK182" s="13">
        <f t="shared" si="164"/>
        <v>80.868615263336864</v>
      </c>
      <c r="AL182" s="20">
        <f t="shared" si="165"/>
        <v>744.56357158364528</v>
      </c>
      <c r="AM182" s="59">
        <f t="shared" si="113"/>
        <v>1033.8994463177823</v>
      </c>
      <c r="AN182" s="59">
        <f ca="1">AVERAGE(OFFSET($AM$3,0,0,'Données projet'!$E$10+1,1))-AVERAGE(OFFSET($H$3,0,0,'Données projet'!$E$10+1,1))</f>
        <v>481.23392184981651</v>
      </c>
      <c r="AO182" s="59">
        <f t="shared" si="144"/>
        <v>275.88160405468193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31.071131135095243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31.071131135095243</v>
      </c>
      <c r="AY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328.00000000000006</v>
      </c>
      <c r="BE182" s="13">
        <f>BD182*VLOOKUP('Données projet'!$B$11,Paramètres!$A$1:$I$89,3,0)*VLOOKUP('Données projet'!$B$11,Paramètres!$A$1:$I$89,5,0)</f>
        <v>255.84000000000006</v>
      </c>
      <c r="BF182" s="13">
        <f t="shared" si="167"/>
        <v>61.834803371075836</v>
      </c>
      <c r="BG182" s="20">
        <f t="shared" si="168"/>
        <v>553.28361587129041</v>
      </c>
      <c r="BH182" s="59">
        <f t="shared" si="116"/>
        <v>842.61949060542747</v>
      </c>
      <c r="BI182" s="59">
        <f ca="1">AVERAGE(OFFSET($BH$3,0,0,'Données projet'!$E$11+1,1))-AVERAGE(OFFSET($H$3,0,0,'Données projet'!$E$11+1,1))</f>
        <v>308.85018589589453</v>
      </c>
      <c r="BJ182" s="59">
        <f t="shared" si="146"/>
        <v>302.59481222418219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5.7038171267069773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5.7038171267069773</v>
      </c>
      <c r="BT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19.8100000000004</v>
      </c>
      <c r="BZ182" s="13">
        <f>BY182*VLOOKUP('Données projet'!$B$12,Paramètres!$A$1:$I$89,3,0)*VLOOKUP('Données projet'!$B$12,Paramètres!$A$1:$I$89,5,0)</f>
        <v>19.160232000000388</v>
      </c>
      <c r="CA182" s="13">
        <f t="shared" si="170"/>
        <v>6.2615431735370342</v>
      </c>
      <c r="CB182" s="20">
        <f t="shared" si="171"/>
        <v>44.27625842724435</v>
      </c>
      <c r="CC182" s="59">
        <f t="shared" si="119"/>
        <v>333.61213316138145</v>
      </c>
      <c r="CD182" s="59">
        <f ca="1">AVERAGE(OFFSET($CC$3,0,0,'Données projet'!$E$12+1,1))-AVERAGE(OFFSET($H$3,0,0,'Données projet'!$E$12+1,1))</f>
        <v>600.96600099724276</v>
      </c>
      <c r="CE182" s="59">
        <f t="shared" si="148"/>
        <v>315.40159260706264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114.4806855998733</v>
      </c>
      <c r="CL182" s="21">
        <f>EXP(-LN(2)/25)*CL181+(1-EXP(-LN(2)/25))/(LN(2)/25)*Calculateur!CG182*Calculateur!CI182*VLOOKUP('Données projet'!$B$12,Paramètres!$A$1:$I$89,3,0)*0.475*44/12</f>
        <v>0</v>
      </c>
      <c r="CM182" s="21">
        <f>EXP(-LN(2)/2)*CM181+(1-EXP(-LN(2)/2))/(LN(2)/2)*CG182*CJ182*VLOOKUP('Données projet'!$B$12,Paramètres!$A$1:$I$89,3,0)*0.475*44/12</f>
        <v>0</v>
      </c>
      <c r="CN182" s="22">
        <f t="shared" si="172"/>
        <v>114.4806855998733</v>
      </c>
      <c r="CO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19.8100000000004</v>
      </c>
      <c r="CU182" s="17">
        <f>CT182*VLOOKUP('Données projet'!$B$13,Paramètres!$A$1:$I$89,3,0)*VLOOKUP('Données projet'!$B$13,Paramètres!$A$1:$I$89,5,0)</f>
        <v>18.851196000000382</v>
      </c>
      <c r="CV182" s="13">
        <f t="shared" si="173"/>
        <v>6.172221809210666</v>
      </c>
      <c r="CW182" s="20">
        <f t="shared" si="174"/>
        <v>43.582452684375909</v>
      </c>
      <c r="CX182" s="59">
        <f t="shared" si="122"/>
        <v>332.91832741851306</v>
      </c>
      <c r="CY182" s="59">
        <f ca="1">AVERAGE(OFFSET($CX$3,0,0,'Données projet'!$E$13+1,1))-AVERAGE(OFFSET($H$3,0,0,'Données projet'!$E$13+1,1))</f>
        <v>592.58528889137358</v>
      </c>
      <c r="CZ182" s="59">
        <f t="shared" si="150"/>
        <v>311.31528020403709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112.63422292890765</v>
      </c>
      <c r="DG182" s="21">
        <f>EXP(-LN(2)/25)*DG181+(1-EXP(-LN(2)/25))/(LN(2)/25)*Calculateur!DB182*Calculateur!DD182*VLOOKUP('Données projet'!$B$13,Paramètres!$A$1:$I$89,3,0)*0.475*44/12</f>
        <v>0</v>
      </c>
      <c r="DH182" s="21">
        <f>EXP(-LN(2)/2)*DH181+(1-EXP(-LN(2)/2))/(LN(2)/2)*DB182*DE182*VLOOKUP('Données projet'!$B$13,Paramètres!$A$1:$I$89,3,0)*0.475*44/12</f>
        <v>0</v>
      </c>
      <c r="DI182" s="22">
        <f t="shared" si="175"/>
        <v>112.63422292890765</v>
      </c>
      <c r="DJ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2">
        <f>'Scénario référence'!$B$16*5+'Scénario référence'!$B$17*0+'Scénario référence'!$B$18*5</f>
        <v>5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66">
        <f t="shared" si="110"/>
        <v>183.33333333333334</v>
      </c>
      <c r="I183" s="6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19.8100000000004</v>
      </c>
      <c r="O183" s="13">
        <f>N183*VLOOKUP('Données projet'!$B$9,Paramètres!$A$1:$I$89,3,0)*VLOOKUP('Données projet'!$B$9,Paramètres!$A$1:$I$89,5,0)</f>
        <v>17.924088000000364</v>
      </c>
      <c r="P183" s="13">
        <f t="shared" si="141"/>
        <v>5.9032212091029486</v>
      </c>
      <c r="Q183" s="20">
        <f t="shared" si="162"/>
        <v>41.499230205854936</v>
      </c>
      <c r="R183" s="59">
        <f t="shared" si="109"/>
        <v>330.90445190970956</v>
      </c>
      <c r="S183" s="59">
        <f ca="1">AVERAGE(OFFSET($R$3,0,0,'Données projet'!$E$9+1,1))-AVERAGE(OFFSET($H$3,0,0,'Données projet'!$E$9+1,1))</f>
        <v>567.42635821507474</v>
      </c>
      <c r="T183" s="59">
        <f t="shared" si="142"/>
        <v>299.04735309930152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104.99477052470691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104.99477052470691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404.00000000000017</v>
      </c>
      <c r="AJ183" s="13">
        <f>AI183*VLOOKUP('Données projet'!$B$10,Paramètres!$A$1:$I$89,3,0)*VLOOKUP('Données projet'!$B$10,Paramètres!$A$1:$I$89,5,0)</f>
        <v>346.63200000000018</v>
      </c>
      <c r="AK183" s="13">
        <f t="shared" si="164"/>
        <v>80.868615263336864</v>
      </c>
      <c r="AL183" s="20">
        <f t="shared" si="165"/>
        <v>744.56357158364528</v>
      </c>
      <c r="AM183" s="59">
        <f t="shared" si="113"/>
        <v>1033.9687932874999</v>
      </c>
      <c r="AN183" s="59">
        <f ca="1">AVERAGE(OFFSET($AM$3,0,0,'Données projet'!$E$10+1,1))-AVERAGE(OFFSET($H$3,0,0,'Données projet'!$E$10+1,1))</f>
        <v>481.23392184981651</v>
      </c>
      <c r="AO183" s="59">
        <f t="shared" si="144"/>
        <v>275.88160405468193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30.461845205054711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30.461845205054711</v>
      </c>
      <c r="AY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328.00000000000006</v>
      </c>
      <c r="BE183" s="13">
        <f>BD183*VLOOKUP('Données projet'!$B$11,Paramètres!$A$1:$I$89,3,0)*VLOOKUP('Données projet'!$B$11,Paramètres!$A$1:$I$89,5,0)</f>
        <v>255.84000000000006</v>
      </c>
      <c r="BF183" s="13">
        <f t="shared" si="167"/>
        <v>61.834803371075836</v>
      </c>
      <c r="BG183" s="20">
        <f t="shared" si="168"/>
        <v>553.28361587129041</v>
      </c>
      <c r="BH183" s="59">
        <f t="shared" si="116"/>
        <v>842.68883757514504</v>
      </c>
      <c r="BI183" s="59">
        <f ca="1">AVERAGE(OFFSET($BH$3,0,0,'Données projet'!$E$11+1,1))-AVERAGE(OFFSET($H$3,0,0,'Données projet'!$E$11+1,1))</f>
        <v>308.85018589589453</v>
      </c>
      <c r="BJ183" s="59">
        <f t="shared" si="146"/>
        <v>302.59481222418219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5.5919687518371797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5.5919687518371797</v>
      </c>
      <c r="BT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19.8100000000004</v>
      </c>
      <c r="BZ183" s="13">
        <f>BY183*VLOOKUP('Données projet'!$B$12,Paramètres!$A$1:$I$89,3,0)*VLOOKUP('Données projet'!$B$12,Paramètres!$A$1:$I$89,5,0)</f>
        <v>19.160232000000388</v>
      </c>
      <c r="CA183" s="13">
        <f t="shared" si="170"/>
        <v>6.2615431735370342</v>
      </c>
      <c r="CB183" s="20">
        <f t="shared" si="171"/>
        <v>44.27625842724435</v>
      </c>
      <c r="CC183" s="59">
        <f t="shared" si="119"/>
        <v>333.68148013109897</v>
      </c>
      <c r="CD183" s="59">
        <f ca="1">AVERAGE(OFFSET($CC$3,0,0,'Données projet'!$E$12+1,1))-AVERAGE(OFFSET($H$3,0,0,'Données projet'!$E$12+1,1))</f>
        <v>600.96600099724276</v>
      </c>
      <c r="CE183" s="59">
        <f t="shared" si="148"/>
        <v>315.40159260706264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112.23578918158321</v>
      </c>
      <c r="CL183" s="21">
        <f>EXP(-LN(2)/25)*CL182+(1-EXP(-LN(2)/25))/(LN(2)/25)*Calculateur!CG183*Calculateur!CI183*VLOOKUP('Données projet'!$B$12,Paramètres!$A$1:$I$89,3,0)*0.475*44/12</f>
        <v>0</v>
      </c>
      <c r="CM183" s="21">
        <f>EXP(-LN(2)/2)*CM182+(1-EXP(-LN(2)/2))/(LN(2)/2)*CG183*CJ183*VLOOKUP('Données projet'!$B$12,Paramètres!$A$1:$I$89,3,0)*0.475*44/12</f>
        <v>0</v>
      </c>
      <c r="CN183" s="22">
        <f t="shared" si="172"/>
        <v>112.23578918158321</v>
      </c>
      <c r="CO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19.8100000000004</v>
      </c>
      <c r="CU183" s="17">
        <f>CT183*VLOOKUP('Données projet'!$B$13,Paramètres!$A$1:$I$89,3,0)*VLOOKUP('Données projet'!$B$13,Paramètres!$A$1:$I$89,5,0)</f>
        <v>18.851196000000382</v>
      </c>
      <c r="CV183" s="13">
        <f t="shared" si="173"/>
        <v>6.172221809210666</v>
      </c>
      <c r="CW183" s="20">
        <f t="shared" si="174"/>
        <v>43.582452684375909</v>
      </c>
      <c r="CX183" s="59">
        <f t="shared" si="122"/>
        <v>332.98767438823052</v>
      </c>
      <c r="CY183" s="59">
        <f ca="1">AVERAGE(OFFSET($CX$3,0,0,'Données projet'!$E$13+1,1))-AVERAGE(OFFSET($H$3,0,0,'Données projet'!$E$13+1,1))</f>
        <v>592.58528889137358</v>
      </c>
      <c r="CZ183" s="59">
        <f t="shared" si="150"/>
        <v>311.31528020403709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110.42553451736418</v>
      </c>
      <c r="DG183" s="21">
        <f>EXP(-LN(2)/25)*DG182+(1-EXP(-LN(2)/25))/(LN(2)/25)*Calculateur!DB183*Calculateur!DD183*VLOOKUP('Données projet'!$B$13,Paramètres!$A$1:$I$89,3,0)*0.475*44/12</f>
        <v>0</v>
      </c>
      <c r="DH183" s="21">
        <f>EXP(-LN(2)/2)*DH182+(1-EXP(-LN(2)/2))/(LN(2)/2)*DB183*DE183*VLOOKUP('Données projet'!$B$13,Paramètres!$A$1:$I$89,3,0)*0.475*44/12</f>
        <v>0</v>
      </c>
      <c r="DI183" s="22">
        <f t="shared" si="175"/>
        <v>110.42553451736418</v>
      </c>
      <c r="DJ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2">
        <f>'Scénario référence'!$B$16*5+'Scénario référence'!$B$17*0+'Scénario référence'!$B$18*5</f>
        <v>5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66">
        <f t="shared" si="110"/>
        <v>183.33333333333334</v>
      </c>
      <c r="I184" s="6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19.8100000000004</v>
      </c>
      <c r="O184" s="13">
        <f>N184*VLOOKUP('Données projet'!$B$9,Paramètres!$A$1:$I$89,3,0)*VLOOKUP('Données projet'!$B$9,Paramètres!$A$1:$I$89,5,0)</f>
        <v>17.924088000000364</v>
      </c>
      <c r="P184" s="13">
        <f t="shared" si="141"/>
        <v>5.9032212091029486</v>
      </c>
      <c r="Q184" s="20">
        <f t="shared" si="162"/>
        <v>41.499230205854936</v>
      </c>
      <c r="R184" s="59">
        <f t="shared" si="109"/>
        <v>330.97259586453902</v>
      </c>
      <c r="S184" s="59">
        <f ca="1">AVERAGE(OFFSET($R$3,0,0,'Données projet'!$E$9+1,1))-AVERAGE(OFFSET($H$3,0,0,'Données projet'!$E$9+1,1))</f>
        <v>567.42635821507474</v>
      </c>
      <c r="T184" s="59">
        <f t="shared" si="142"/>
        <v>299.04735309930152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102.93588711520395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102.93588711520395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404.00000000000017</v>
      </c>
      <c r="AJ184" s="13">
        <f>AI184*VLOOKUP('Données projet'!$B$10,Paramètres!$A$1:$I$89,3,0)*VLOOKUP('Données projet'!$B$10,Paramètres!$A$1:$I$89,5,0)</f>
        <v>346.63200000000018</v>
      </c>
      <c r="AK184" s="13">
        <f t="shared" si="164"/>
        <v>80.868615263336864</v>
      </c>
      <c r="AL184" s="20">
        <f t="shared" si="165"/>
        <v>744.56357158364528</v>
      </c>
      <c r="AM184" s="59">
        <f t="shared" si="113"/>
        <v>1034.0369372423293</v>
      </c>
      <c r="AN184" s="59">
        <f ca="1">AVERAGE(OFFSET($AM$3,0,0,'Données projet'!$E$10+1,1))-AVERAGE(OFFSET($H$3,0,0,'Données projet'!$E$10+1,1))</f>
        <v>481.23392184981651</v>
      </c>
      <c r="AO184" s="59">
        <f t="shared" si="144"/>
        <v>275.88160405468193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29.86450700047455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29.86450700047455</v>
      </c>
      <c r="AY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328.00000000000006</v>
      </c>
      <c r="BE184" s="13">
        <f>BD184*VLOOKUP('Données projet'!$B$11,Paramètres!$A$1:$I$89,3,0)*VLOOKUP('Données projet'!$B$11,Paramètres!$A$1:$I$89,5,0)</f>
        <v>255.84000000000006</v>
      </c>
      <c r="BF184" s="13">
        <f t="shared" si="167"/>
        <v>61.834803371075836</v>
      </c>
      <c r="BG184" s="20">
        <f t="shared" si="168"/>
        <v>553.28361587129041</v>
      </c>
      <c r="BH184" s="59">
        <f t="shared" si="116"/>
        <v>842.7569815299745</v>
      </c>
      <c r="BI184" s="59">
        <f ca="1">AVERAGE(OFFSET($BH$3,0,0,'Données projet'!$E$11+1,1))-AVERAGE(OFFSET($H$3,0,0,'Données projet'!$E$11+1,1))</f>
        <v>308.85018589589453</v>
      </c>
      <c r="BJ184" s="59">
        <f t="shared" si="146"/>
        <v>302.59481222418219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5.4823136553778058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5.4823136553778058</v>
      </c>
      <c r="BT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19.8100000000004</v>
      </c>
      <c r="BZ184" s="13">
        <f>BY184*VLOOKUP('Données projet'!$B$12,Paramètres!$A$1:$I$89,3,0)*VLOOKUP('Données projet'!$B$12,Paramètres!$A$1:$I$89,5,0)</f>
        <v>19.160232000000388</v>
      </c>
      <c r="CA184" s="13">
        <f t="shared" si="170"/>
        <v>6.2615431735370342</v>
      </c>
      <c r="CB184" s="20">
        <f t="shared" si="171"/>
        <v>44.27625842724435</v>
      </c>
      <c r="CC184" s="59">
        <f t="shared" si="119"/>
        <v>333.74962408592842</v>
      </c>
      <c r="CD184" s="59">
        <f ca="1">AVERAGE(OFFSET($CC$3,0,0,'Données projet'!$E$12+1,1))-AVERAGE(OFFSET($H$3,0,0,'Données projet'!$E$12+1,1))</f>
        <v>600.96600099724276</v>
      </c>
      <c r="CE184" s="59">
        <f t="shared" si="148"/>
        <v>315.40159260706264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110.03491381280419</v>
      </c>
      <c r="CL184" s="21">
        <f>EXP(-LN(2)/25)*CL183+(1-EXP(-LN(2)/25))/(LN(2)/25)*Calculateur!CG184*Calculateur!CI184*VLOOKUP('Données projet'!$B$12,Paramètres!$A$1:$I$89,3,0)*0.475*44/12</f>
        <v>0</v>
      </c>
      <c r="CM184" s="21">
        <f>EXP(-LN(2)/2)*CM183+(1-EXP(-LN(2)/2))/(LN(2)/2)*CG184*CJ184*VLOOKUP('Données projet'!$B$12,Paramètres!$A$1:$I$89,3,0)*0.475*44/12</f>
        <v>0</v>
      </c>
      <c r="CN184" s="22">
        <f t="shared" si="172"/>
        <v>110.03491381280419</v>
      </c>
      <c r="CO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19.8100000000004</v>
      </c>
      <c r="CU184" s="17">
        <f>CT184*VLOOKUP('Données projet'!$B$13,Paramètres!$A$1:$I$89,3,0)*VLOOKUP('Données projet'!$B$13,Paramètres!$A$1:$I$89,5,0)</f>
        <v>18.851196000000382</v>
      </c>
      <c r="CV184" s="13">
        <f t="shared" si="173"/>
        <v>6.172221809210666</v>
      </c>
      <c r="CW184" s="20">
        <f t="shared" si="174"/>
        <v>43.582452684375909</v>
      </c>
      <c r="CX184" s="59">
        <f t="shared" si="122"/>
        <v>333.05581834305997</v>
      </c>
      <c r="CY184" s="59">
        <f ca="1">AVERAGE(OFFSET($CX$3,0,0,'Données projet'!$E$13+1,1))-AVERAGE(OFFSET($H$3,0,0,'Données projet'!$E$13+1,1))</f>
        <v>592.58528889137358</v>
      </c>
      <c r="CZ184" s="59">
        <f t="shared" si="150"/>
        <v>311.31528020403709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108.26015713840418</v>
      </c>
      <c r="DG184" s="21">
        <f>EXP(-LN(2)/25)*DG183+(1-EXP(-LN(2)/25))/(LN(2)/25)*Calculateur!DB184*Calculateur!DD184*VLOOKUP('Données projet'!$B$13,Paramètres!$A$1:$I$89,3,0)*0.475*44/12</f>
        <v>0</v>
      </c>
      <c r="DH184" s="21">
        <f>EXP(-LN(2)/2)*DH183+(1-EXP(-LN(2)/2))/(LN(2)/2)*DB184*DE184*VLOOKUP('Données projet'!$B$13,Paramètres!$A$1:$I$89,3,0)*0.475*44/12</f>
        <v>0</v>
      </c>
      <c r="DI184" s="22">
        <f t="shared" si="175"/>
        <v>108.26015713840418</v>
      </c>
      <c r="DJ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2">
        <f>'Scénario référence'!$B$16*5+'Scénario référence'!$B$17*0+'Scénario référence'!$B$18*5</f>
        <v>5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66">
        <f t="shared" si="110"/>
        <v>183.33333333333334</v>
      </c>
      <c r="I185" s="6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19.8100000000004</v>
      </c>
      <c r="O185" s="13">
        <f>N185*VLOOKUP('Données projet'!$B$9,Paramètres!$A$1:$I$89,3,0)*VLOOKUP('Données projet'!$B$9,Paramètres!$A$1:$I$89,5,0)</f>
        <v>17.924088000000364</v>
      </c>
      <c r="P185" s="13">
        <f t="shared" si="141"/>
        <v>5.9032212091029486</v>
      </c>
      <c r="Q185" s="20">
        <f t="shared" si="162"/>
        <v>41.499230205854936</v>
      </c>
      <c r="R185" s="59">
        <f t="shared" si="109"/>
        <v>331.03955767409934</v>
      </c>
      <c r="S185" s="59">
        <f ca="1">AVERAGE(OFFSET($R$3,0,0,'Données projet'!$E$9+1,1))-AVERAGE(OFFSET($H$3,0,0,'Données projet'!$E$9+1,1))</f>
        <v>567.42635821507474</v>
      </c>
      <c r="T185" s="59">
        <f t="shared" si="142"/>
        <v>299.04735309930152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100.91737715356648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100.91737715356648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404.00000000000017</v>
      </c>
      <c r="AJ185" s="13">
        <f>AI185*VLOOKUP('Données projet'!$B$10,Paramètres!$A$1:$I$89,3,0)*VLOOKUP('Données projet'!$B$10,Paramètres!$A$1:$I$89,5,0)</f>
        <v>346.63200000000018</v>
      </c>
      <c r="AK185" s="13">
        <f t="shared" si="164"/>
        <v>80.868615263336864</v>
      </c>
      <c r="AL185" s="20">
        <f t="shared" si="165"/>
        <v>744.56357158364528</v>
      </c>
      <c r="AM185" s="59">
        <f t="shared" si="113"/>
        <v>1034.1038990518896</v>
      </c>
      <c r="AN185" s="59">
        <f ca="1">AVERAGE(OFFSET($AM$3,0,0,'Données projet'!$E$10+1,1))-AVERAGE(OFFSET($H$3,0,0,'Données projet'!$E$10+1,1))</f>
        <v>481.23392184981651</v>
      </c>
      <c r="AO185" s="59">
        <f t="shared" si="144"/>
        <v>275.88160405468193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29.278882233745879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29.278882233745879</v>
      </c>
      <c r="AY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328.00000000000006</v>
      </c>
      <c r="BE185" s="13">
        <f>BD185*VLOOKUP('Données projet'!$B$11,Paramètres!$A$1:$I$89,3,0)*VLOOKUP('Données projet'!$B$11,Paramètres!$A$1:$I$89,5,0)</f>
        <v>255.84000000000006</v>
      </c>
      <c r="BF185" s="13">
        <f t="shared" si="167"/>
        <v>61.834803371075836</v>
      </c>
      <c r="BG185" s="20">
        <f t="shared" si="168"/>
        <v>553.28361587129041</v>
      </c>
      <c r="BH185" s="59">
        <f t="shared" si="116"/>
        <v>842.82394333953482</v>
      </c>
      <c r="BI185" s="59">
        <f ca="1">AVERAGE(OFFSET($BH$3,0,0,'Données projet'!$E$11+1,1))-AVERAGE(OFFSET($H$3,0,0,'Données projet'!$E$11+1,1))</f>
        <v>308.85018589589453</v>
      </c>
      <c r="BJ185" s="59">
        <f t="shared" si="146"/>
        <v>302.59481222418219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5.3748088284769961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5.3748088284769961</v>
      </c>
      <c r="BT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19.8100000000004</v>
      </c>
      <c r="BZ185" s="13">
        <f>BY185*VLOOKUP('Données projet'!$B$12,Paramètres!$A$1:$I$89,3,0)*VLOOKUP('Données projet'!$B$12,Paramètres!$A$1:$I$89,5,0)</f>
        <v>19.160232000000388</v>
      </c>
      <c r="CA185" s="13">
        <f t="shared" si="170"/>
        <v>6.2615431735370342</v>
      </c>
      <c r="CB185" s="20">
        <f t="shared" si="171"/>
        <v>44.27625842724435</v>
      </c>
      <c r="CC185" s="59">
        <f t="shared" si="119"/>
        <v>333.81658589548874</v>
      </c>
      <c r="CD185" s="59">
        <f ca="1">AVERAGE(OFFSET($CC$3,0,0,'Données projet'!$E$12+1,1))-AVERAGE(OFFSET($H$3,0,0,'Données projet'!$E$12+1,1))</f>
        <v>600.96600099724276</v>
      </c>
      <c r="CE185" s="59">
        <f t="shared" si="148"/>
        <v>315.40159260706264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107.8771962676055</v>
      </c>
      <c r="CL185" s="21">
        <f>EXP(-LN(2)/25)*CL184+(1-EXP(-LN(2)/25))/(LN(2)/25)*Calculateur!CG185*Calculateur!CI185*VLOOKUP('Données projet'!$B$12,Paramètres!$A$1:$I$89,3,0)*0.475*44/12</f>
        <v>0</v>
      </c>
      <c r="CM185" s="21">
        <f>EXP(-LN(2)/2)*CM184+(1-EXP(-LN(2)/2))/(LN(2)/2)*CG185*CJ185*VLOOKUP('Données projet'!$B$12,Paramètres!$A$1:$I$89,3,0)*0.475*44/12</f>
        <v>0</v>
      </c>
      <c r="CN185" s="22">
        <f t="shared" si="172"/>
        <v>107.8771962676055</v>
      </c>
      <c r="CO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19.8100000000004</v>
      </c>
      <c r="CU185" s="17">
        <f>CT185*VLOOKUP('Données projet'!$B$13,Paramètres!$A$1:$I$89,3,0)*VLOOKUP('Données projet'!$B$13,Paramètres!$A$1:$I$89,5,0)</f>
        <v>18.851196000000382</v>
      </c>
      <c r="CV185" s="13">
        <f t="shared" si="173"/>
        <v>6.172221809210666</v>
      </c>
      <c r="CW185" s="20">
        <f t="shared" si="174"/>
        <v>43.582452684375909</v>
      </c>
      <c r="CX185" s="59">
        <f t="shared" si="122"/>
        <v>333.12278015262029</v>
      </c>
      <c r="CY185" s="59">
        <f ca="1">AVERAGE(OFFSET($CX$3,0,0,'Données projet'!$E$13+1,1))-AVERAGE(OFFSET($H$3,0,0,'Données projet'!$E$13+1,1))</f>
        <v>592.58528889137358</v>
      </c>
      <c r="CZ185" s="59">
        <f t="shared" si="150"/>
        <v>311.31528020403709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106.1372414890958</v>
      </c>
      <c r="DG185" s="21">
        <f>EXP(-LN(2)/25)*DG184+(1-EXP(-LN(2)/25))/(LN(2)/25)*Calculateur!DB185*Calculateur!DD185*VLOOKUP('Données projet'!$B$13,Paramètres!$A$1:$I$89,3,0)*0.475*44/12</f>
        <v>0</v>
      </c>
      <c r="DH185" s="21">
        <f>EXP(-LN(2)/2)*DH184+(1-EXP(-LN(2)/2))/(LN(2)/2)*DB185*DE185*VLOOKUP('Données projet'!$B$13,Paramètres!$A$1:$I$89,3,0)*0.475*44/12</f>
        <v>0</v>
      </c>
      <c r="DI185" s="22">
        <f t="shared" si="175"/>
        <v>106.1372414890958</v>
      </c>
      <c r="DJ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2">
        <f>'Scénario référence'!$B$16*5+'Scénario référence'!$B$17*0+'Scénario référence'!$B$18*5</f>
        <v>5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66">
        <f t="shared" si="110"/>
        <v>183.33333333333334</v>
      </c>
      <c r="I186" s="6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19.8100000000004</v>
      </c>
      <c r="O186" s="13">
        <f>N186*VLOOKUP('Données projet'!$B$9,Paramètres!$A$1:$I$89,3,0)*VLOOKUP('Données projet'!$B$9,Paramètres!$A$1:$I$89,5,0)</f>
        <v>17.924088000000364</v>
      </c>
      <c r="P186" s="13">
        <f t="shared" si="141"/>
        <v>5.9032212091029486</v>
      </c>
      <c r="Q186" s="20">
        <f t="shared" si="162"/>
        <v>41.499230205854936</v>
      </c>
      <c r="R186" s="59">
        <f t="shared" si="109"/>
        <v>331.10535784596789</v>
      </c>
      <c r="S186" s="59">
        <f ca="1">AVERAGE(OFFSET($R$3,0,0,'Données projet'!$E$9+1,1))-AVERAGE(OFFSET($H$3,0,0,'Données projet'!$E$9+1,1))</f>
        <v>567.42635821507474</v>
      </c>
      <c r="T186" s="59">
        <f t="shared" si="142"/>
        <v>299.04735309930152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98.938448941107197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98.938448941107197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404.00000000000017</v>
      </c>
      <c r="AJ186" s="13">
        <f>AI186*VLOOKUP('Données projet'!$B$10,Paramètres!$A$1:$I$89,3,0)*VLOOKUP('Données projet'!$B$10,Paramètres!$A$1:$I$89,5,0)</f>
        <v>346.63200000000018</v>
      </c>
      <c r="AK186" s="13">
        <f t="shared" si="164"/>
        <v>80.868615263336864</v>
      </c>
      <c r="AL186" s="20">
        <f t="shared" si="165"/>
        <v>744.56357158364528</v>
      </c>
      <c r="AM186" s="59">
        <f t="shared" si="113"/>
        <v>1034.1696992237582</v>
      </c>
      <c r="AN186" s="59">
        <f ca="1">AVERAGE(OFFSET($AM$3,0,0,'Données projet'!$E$10+1,1))-AVERAGE(OFFSET($H$3,0,0,'Données projet'!$E$10+1,1))</f>
        <v>481.23392184981651</v>
      </c>
      <c r="AO186" s="59">
        <f t="shared" si="144"/>
        <v>275.88160405468193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28.70474121149692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28.70474121149692</v>
      </c>
      <c r="AY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328.00000000000006</v>
      </c>
      <c r="BE186" s="13">
        <f>BD186*VLOOKUP('Données projet'!$B$11,Paramètres!$A$1:$I$89,3,0)*VLOOKUP('Données projet'!$B$11,Paramètres!$A$1:$I$89,5,0)</f>
        <v>255.84000000000006</v>
      </c>
      <c r="BF186" s="13">
        <f t="shared" si="167"/>
        <v>61.834803371075836</v>
      </c>
      <c r="BG186" s="20">
        <f t="shared" si="168"/>
        <v>553.28361587129041</v>
      </c>
      <c r="BH186" s="59">
        <f t="shared" si="116"/>
        <v>842.88974351140337</v>
      </c>
      <c r="BI186" s="59">
        <f ca="1">AVERAGE(OFFSET($BH$3,0,0,'Données projet'!$E$11+1,1))-AVERAGE(OFFSET($H$3,0,0,'Données projet'!$E$11+1,1))</f>
        <v>308.85018589589453</v>
      </c>
      <c r="BJ186" s="59">
        <f t="shared" si="146"/>
        <v>302.59481222418219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5.2694121056602414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5.2694121056602414</v>
      </c>
      <c r="BT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19.8100000000004</v>
      </c>
      <c r="BZ186" s="13">
        <f>BY186*VLOOKUP('Données projet'!$B$12,Paramètres!$A$1:$I$89,3,0)*VLOOKUP('Données projet'!$B$12,Paramètres!$A$1:$I$89,5,0)</f>
        <v>19.160232000000388</v>
      </c>
      <c r="CA186" s="13">
        <f t="shared" si="170"/>
        <v>6.2615431735370342</v>
      </c>
      <c r="CB186" s="20">
        <f t="shared" si="171"/>
        <v>44.27625842724435</v>
      </c>
      <c r="CC186" s="59">
        <f t="shared" si="119"/>
        <v>333.88238606735729</v>
      </c>
      <c r="CD186" s="59">
        <f ca="1">AVERAGE(OFFSET($CC$3,0,0,'Données projet'!$E$12+1,1))-AVERAGE(OFFSET($H$3,0,0,'Données projet'!$E$12+1,1))</f>
        <v>600.96600099724276</v>
      </c>
      <c r="CE186" s="59">
        <f t="shared" si="148"/>
        <v>315.40159260706264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105.76179024739041</v>
      </c>
      <c r="CL186" s="21">
        <f>EXP(-LN(2)/25)*CL185+(1-EXP(-LN(2)/25))/(LN(2)/25)*Calculateur!CG186*Calculateur!CI186*VLOOKUP('Données projet'!$B$12,Paramètres!$A$1:$I$89,3,0)*0.475*44/12</f>
        <v>0</v>
      </c>
      <c r="CM186" s="21">
        <f>EXP(-LN(2)/2)*CM185+(1-EXP(-LN(2)/2))/(LN(2)/2)*CG186*CJ186*VLOOKUP('Données projet'!$B$12,Paramètres!$A$1:$I$89,3,0)*0.475*44/12</f>
        <v>0</v>
      </c>
      <c r="CN186" s="22">
        <f t="shared" si="172"/>
        <v>105.76179024739041</v>
      </c>
      <c r="CO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19.8100000000004</v>
      </c>
      <c r="CU186" s="17">
        <f>CT186*VLOOKUP('Données projet'!$B$13,Paramètres!$A$1:$I$89,3,0)*VLOOKUP('Données projet'!$B$13,Paramètres!$A$1:$I$89,5,0)</f>
        <v>18.851196000000382</v>
      </c>
      <c r="CV186" s="13">
        <f t="shared" si="173"/>
        <v>6.172221809210666</v>
      </c>
      <c r="CW186" s="20">
        <f t="shared" si="174"/>
        <v>43.582452684375909</v>
      </c>
      <c r="CX186" s="59">
        <f t="shared" si="122"/>
        <v>333.18858032448884</v>
      </c>
      <c r="CY186" s="59">
        <f ca="1">AVERAGE(OFFSET($CX$3,0,0,'Données projet'!$E$13+1,1))-AVERAGE(OFFSET($H$3,0,0,'Données projet'!$E$13+1,1))</f>
        <v>592.58528889137358</v>
      </c>
      <c r="CZ186" s="59">
        <f t="shared" si="150"/>
        <v>311.31528020403709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104.05595492081966</v>
      </c>
      <c r="DG186" s="21">
        <f>EXP(-LN(2)/25)*DG185+(1-EXP(-LN(2)/25))/(LN(2)/25)*Calculateur!DB186*Calculateur!DD186*VLOOKUP('Données projet'!$B$13,Paramètres!$A$1:$I$89,3,0)*0.475*44/12</f>
        <v>0</v>
      </c>
      <c r="DH186" s="21">
        <f>EXP(-LN(2)/2)*DH185+(1-EXP(-LN(2)/2))/(LN(2)/2)*DB186*DE186*VLOOKUP('Données projet'!$B$13,Paramètres!$A$1:$I$89,3,0)*0.475*44/12</f>
        <v>0</v>
      </c>
      <c r="DI186" s="22">
        <f t="shared" si="175"/>
        <v>104.05595492081966</v>
      </c>
      <c r="DJ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2">
        <f>'Scénario référence'!$B$16*5+'Scénario référence'!$B$17*0+'Scénario référence'!$B$18*5</f>
        <v>5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66">
        <f t="shared" si="110"/>
        <v>183.33333333333334</v>
      </c>
      <c r="I187" s="6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19.8100000000004</v>
      </c>
      <c r="O187" s="13">
        <f>N187*VLOOKUP('Données projet'!$B$9,Paramètres!$A$1:$I$89,3,0)*VLOOKUP('Données projet'!$B$9,Paramètres!$A$1:$I$89,5,0)</f>
        <v>17.924088000000364</v>
      </c>
      <c r="P187" s="13">
        <f t="shared" si="141"/>
        <v>5.9032212091029486</v>
      </c>
      <c r="Q187" s="20">
        <f t="shared" si="162"/>
        <v>41.499230205854936</v>
      </c>
      <c r="R187" s="59">
        <f t="shared" si="109"/>
        <v>331.17001653196166</v>
      </c>
      <c r="S187" s="59">
        <f ca="1">AVERAGE(OFFSET($R$3,0,0,'Données projet'!$E$9+1,1))-AVERAGE(OFFSET($H$3,0,0,'Données projet'!$E$9+1,1))</f>
        <v>567.42635821507474</v>
      </c>
      <c r="T187" s="59">
        <f t="shared" si="142"/>
        <v>299.04735309930152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96.998326303867216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96.998326303867216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404.00000000000017</v>
      </c>
      <c r="AJ187" s="13">
        <f>AI187*VLOOKUP('Données projet'!$B$10,Paramètres!$A$1:$I$89,3,0)*VLOOKUP('Données projet'!$B$10,Paramètres!$A$1:$I$89,5,0)</f>
        <v>346.63200000000018</v>
      </c>
      <c r="AK187" s="13">
        <f t="shared" si="164"/>
        <v>80.868615263336864</v>
      </c>
      <c r="AL187" s="20">
        <f t="shared" si="165"/>
        <v>744.56357158364528</v>
      </c>
      <c r="AM187" s="59">
        <f t="shared" si="113"/>
        <v>1034.2343579097519</v>
      </c>
      <c r="AN187" s="59">
        <f ca="1">AVERAGE(OFFSET($AM$3,0,0,'Données projet'!$E$10+1,1))-AVERAGE(OFFSET($H$3,0,0,'Données projet'!$E$10+1,1))</f>
        <v>481.23392184981651</v>
      </c>
      <c r="AO187" s="59">
        <f t="shared" si="144"/>
        <v>275.88160405468193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28.141858744502816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28.141858744502816</v>
      </c>
      <c r="AY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328.00000000000006</v>
      </c>
      <c r="BE187" s="13">
        <f>BD187*VLOOKUP('Données projet'!$B$11,Paramètres!$A$1:$I$89,3,0)*VLOOKUP('Données projet'!$B$11,Paramètres!$A$1:$I$89,5,0)</f>
        <v>255.84000000000006</v>
      </c>
      <c r="BF187" s="13">
        <f t="shared" si="167"/>
        <v>61.834803371075836</v>
      </c>
      <c r="BG187" s="20">
        <f t="shared" si="168"/>
        <v>553.28361587129041</v>
      </c>
      <c r="BH187" s="59">
        <f t="shared" si="116"/>
        <v>842.95440219739714</v>
      </c>
      <c r="BI187" s="59">
        <f ca="1">AVERAGE(OFFSET($BH$3,0,0,'Données projet'!$E$11+1,1))-AVERAGE(OFFSET($H$3,0,0,'Données projet'!$E$11+1,1))</f>
        <v>308.85018589589453</v>
      </c>
      <c r="BJ187" s="59">
        <f t="shared" si="146"/>
        <v>302.59481222418219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5.1660821482922703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5.1660821482922703</v>
      </c>
      <c r="BT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19.8100000000004</v>
      </c>
      <c r="BZ187" s="13">
        <f>BY187*VLOOKUP('Données projet'!$B$12,Paramètres!$A$1:$I$89,3,0)*VLOOKUP('Données projet'!$B$12,Paramètres!$A$1:$I$89,5,0)</f>
        <v>19.160232000000388</v>
      </c>
      <c r="CA187" s="13">
        <f t="shared" si="170"/>
        <v>6.2615431735370342</v>
      </c>
      <c r="CB187" s="20">
        <f t="shared" si="171"/>
        <v>44.27625842724435</v>
      </c>
      <c r="CC187" s="59">
        <f t="shared" si="119"/>
        <v>333.94704475335107</v>
      </c>
      <c r="CD187" s="59">
        <f ca="1">AVERAGE(OFFSET($CC$3,0,0,'Données projet'!$E$12+1,1))-AVERAGE(OFFSET($H$3,0,0,'Données projet'!$E$12+1,1))</f>
        <v>600.96600099724276</v>
      </c>
      <c r="CE187" s="59">
        <f t="shared" si="148"/>
        <v>315.40159260706264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103.68786604896147</v>
      </c>
      <c r="CL187" s="21">
        <f>EXP(-LN(2)/25)*CL186+(1-EXP(-LN(2)/25))/(LN(2)/25)*Calculateur!CG187*Calculateur!CI187*VLOOKUP('Données projet'!$B$12,Paramètres!$A$1:$I$89,3,0)*0.475*44/12</f>
        <v>0</v>
      </c>
      <c r="CM187" s="21">
        <f>EXP(-LN(2)/2)*CM186+(1-EXP(-LN(2)/2))/(LN(2)/2)*CG187*CJ187*VLOOKUP('Données projet'!$B$12,Paramètres!$A$1:$I$89,3,0)*0.475*44/12</f>
        <v>0</v>
      </c>
      <c r="CN187" s="22">
        <f t="shared" si="172"/>
        <v>103.68786604896147</v>
      </c>
      <c r="CO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19.8100000000004</v>
      </c>
      <c r="CU187" s="17">
        <f>CT187*VLOOKUP('Données projet'!$B$13,Paramètres!$A$1:$I$89,3,0)*VLOOKUP('Données projet'!$B$13,Paramètres!$A$1:$I$89,5,0)</f>
        <v>18.851196000000382</v>
      </c>
      <c r="CV187" s="13">
        <f t="shared" si="173"/>
        <v>6.172221809210666</v>
      </c>
      <c r="CW187" s="20">
        <f t="shared" si="174"/>
        <v>43.582452684375909</v>
      </c>
      <c r="CX187" s="59">
        <f t="shared" si="122"/>
        <v>333.25323901048262</v>
      </c>
      <c r="CY187" s="59">
        <f ca="1">AVERAGE(OFFSET($CX$3,0,0,'Données projet'!$E$13+1,1))-AVERAGE(OFFSET($H$3,0,0,'Données projet'!$E$13+1,1))</f>
        <v>592.58528889137358</v>
      </c>
      <c r="CZ187" s="59">
        <f t="shared" si="150"/>
        <v>311.31528020403709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102.01548111268795</v>
      </c>
      <c r="DG187" s="21">
        <f>EXP(-LN(2)/25)*DG186+(1-EXP(-LN(2)/25))/(LN(2)/25)*Calculateur!DB187*Calculateur!DD187*VLOOKUP('Données projet'!$B$13,Paramètres!$A$1:$I$89,3,0)*0.475*44/12</f>
        <v>0</v>
      </c>
      <c r="DH187" s="21">
        <f>EXP(-LN(2)/2)*DH186+(1-EXP(-LN(2)/2))/(LN(2)/2)*DB187*DE187*VLOOKUP('Données projet'!$B$13,Paramètres!$A$1:$I$89,3,0)*0.475*44/12</f>
        <v>0</v>
      </c>
      <c r="DI187" s="22">
        <f t="shared" si="175"/>
        <v>102.01548111268795</v>
      </c>
      <c r="DJ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2">
        <f>'Scénario référence'!$B$16*5+'Scénario référence'!$B$17*0+'Scénario référence'!$B$18*5</f>
        <v>5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66">
        <f t="shared" si="110"/>
        <v>183.33333333333334</v>
      </c>
      <c r="I188" s="6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19.8100000000004</v>
      </c>
      <c r="O188" s="13">
        <f>N188*VLOOKUP('Données projet'!$B$9,Paramètres!$A$1:$I$89,3,0)*VLOOKUP('Données projet'!$B$9,Paramètres!$A$1:$I$89,5,0)</f>
        <v>17.924088000000364</v>
      </c>
      <c r="P188" s="13">
        <f t="shared" si="141"/>
        <v>5.9032212091029486</v>
      </c>
      <c r="Q188" s="20">
        <f t="shared" si="162"/>
        <v>41.499230205854936</v>
      </c>
      <c r="R188" s="59">
        <f t="shared" si="109"/>
        <v>331.23355353430867</v>
      </c>
      <c r="S188" s="59">
        <f ca="1">AVERAGE(OFFSET($R$3,0,0,'Données projet'!$E$9+1,1))-AVERAGE(OFFSET($H$3,0,0,'Données projet'!$E$9+1,1))</f>
        <v>567.42635821507474</v>
      </c>
      <c r="T188" s="59">
        <f t="shared" si="142"/>
        <v>299.04735309930152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95.096248288185549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95.096248288185549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404.00000000000017</v>
      </c>
      <c r="AJ188" s="13">
        <f>AI188*VLOOKUP('Données projet'!$B$10,Paramètres!$A$1:$I$89,3,0)*VLOOKUP('Données projet'!$B$10,Paramètres!$A$1:$I$89,5,0)</f>
        <v>346.63200000000018</v>
      </c>
      <c r="AK188" s="13">
        <f t="shared" si="164"/>
        <v>80.868615263336864</v>
      </c>
      <c r="AL188" s="20">
        <f t="shared" si="165"/>
        <v>744.56357158364528</v>
      </c>
      <c r="AM188" s="59">
        <f t="shared" si="113"/>
        <v>1034.2978949120991</v>
      </c>
      <c r="AN188" s="59">
        <f ca="1">AVERAGE(OFFSET($AM$3,0,0,'Données projet'!$E$10+1,1))-AVERAGE(OFFSET($H$3,0,0,'Données projet'!$E$10+1,1))</f>
        <v>481.23392184981651</v>
      </c>
      <c r="AO188" s="59">
        <f t="shared" si="144"/>
        <v>275.88160405468193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27.590014059362062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27.590014059362062</v>
      </c>
      <c r="AY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328.00000000000006</v>
      </c>
      <c r="BE188" s="13">
        <f>BD188*VLOOKUP('Données projet'!$B$11,Paramètres!$A$1:$I$89,3,0)*VLOOKUP('Données projet'!$B$11,Paramètres!$A$1:$I$89,5,0)</f>
        <v>255.84000000000006</v>
      </c>
      <c r="BF188" s="13">
        <f t="shared" si="167"/>
        <v>61.834803371075836</v>
      </c>
      <c r="BG188" s="20">
        <f t="shared" si="168"/>
        <v>553.28361587129041</v>
      </c>
      <c r="BH188" s="59">
        <f t="shared" si="116"/>
        <v>843.01793919974421</v>
      </c>
      <c r="BI188" s="59">
        <f ca="1">AVERAGE(OFFSET($BH$3,0,0,'Données projet'!$E$11+1,1))-AVERAGE(OFFSET($H$3,0,0,'Données projet'!$E$11+1,1))</f>
        <v>308.85018589589453</v>
      </c>
      <c r="BJ188" s="59">
        <f t="shared" si="146"/>
        <v>302.59481222418219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5.0647784283632342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5.0647784283632342</v>
      </c>
      <c r="BT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19.8100000000004</v>
      </c>
      <c r="BZ188" s="13">
        <f>BY188*VLOOKUP('Données projet'!$B$12,Paramètres!$A$1:$I$89,3,0)*VLOOKUP('Données projet'!$B$12,Paramètres!$A$1:$I$89,5,0)</f>
        <v>19.160232000000388</v>
      </c>
      <c r="CA188" s="13">
        <f t="shared" si="170"/>
        <v>6.2615431735370342</v>
      </c>
      <c r="CB188" s="20">
        <f t="shared" si="171"/>
        <v>44.27625842724435</v>
      </c>
      <c r="CC188" s="59">
        <f t="shared" si="119"/>
        <v>334.01058175569807</v>
      </c>
      <c r="CD188" s="59">
        <f ca="1">AVERAGE(OFFSET($CC$3,0,0,'Données projet'!$E$12+1,1))-AVERAGE(OFFSET($H$3,0,0,'Données projet'!$E$12+1,1))</f>
        <v>600.96600099724276</v>
      </c>
      <c r="CE188" s="59">
        <f t="shared" si="148"/>
        <v>315.40159260706264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101.65461023909486</v>
      </c>
      <c r="CL188" s="21">
        <f>EXP(-LN(2)/25)*CL187+(1-EXP(-LN(2)/25))/(LN(2)/25)*Calculateur!CG188*Calculateur!CI188*VLOOKUP('Données projet'!$B$12,Paramètres!$A$1:$I$89,3,0)*0.475*44/12</f>
        <v>0</v>
      </c>
      <c r="CM188" s="21">
        <f>EXP(-LN(2)/2)*CM187+(1-EXP(-LN(2)/2))/(LN(2)/2)*CG188*CJ188*VLOOKUP('Données projet'!$B$12,Paramètres!$A$1:$I$89,3,0)*0.475*44/12</f>
        <v>0</v>
      </c>
      <c r="CN188" s="22">
        <f t="shared" si="172"/>
        <v>101.65461023909486</v>
      </c>
      <c r="CO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19.8100000000004</v>
      </c>
      <c r="CU188" s="17">
        <f>CT188*VLOOKUP('Données projet'!$B$13,Paramètres!$A$1:$I$89,3,0)*VLOOKUP('Données projet'!$B$13,Paramètres!$A$1:$I$89,5,0)</f>
        <v>18.851196000000382</v>
      </c>
      <c r="CV188" s="13">
        <f t="shared" si="173"/>
        <v>6.172221809210666</v>
      </c>
      <c r="CW188" s="20">
        <f t="shared" si="174"/>
        <v>43.582452684375909</v>
      </c>
      <c r="CX188" s="59">
        <f t="shared" si="122"/>
        <v>333.31677601282968</v>
      </c>
      <c r="CY188" s="59">
        <f ca="1">AVERAGE(OFFSET($CX$3,0,0,'Données projet'!$E$13+1,1))-AVERAGE(OFFSET($H$3,0,0,'Données projet'!$E$13+1,1))</f>
        <v>592.58528889137358</v>
      </c>
      <c r="CZ188" s="59">
        <f t="shared" si="150"/>
        <v>311.31528020403709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100.01501975136757</v>
      </c>
      <c r="DG188" s="21">
        <f>EXP(-LN(2)/25)*DG187+(1-EXP(-LN(2)/25))/(LN(2)/25)*Calculateur!DB188*Calculateur!DD188*VLOOKUP('Données projet'!$B$13,Paramètres!$A$1:$I$89,3,0)*0.475*44/12</f>
        <v>0</v>
      </c>
      <c r="DH188" s="21">
        <f>EXP(-LN(2)/2)*DH187+(1-EXP(-LN(2)/2))/(LN(2)/2)*DB188*DE188*VLOOKUP('Données projet'!$B$13,Paramètres!$A$1:$I$89,3,0)*0.475*44/12</f>
        <v>0</v>
      </c>
      <c r="DI188" s="22">
        <f t="shared" si="175"/>
        <v>100.01501975136757</v>
      </c>
      <c r="DJ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2">
        <f>'Scénario référence'!$B$16*5+'Scénario référence'!$B$17*0+'Scénario référence'!$B$18*5</f>
        <v>5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66">
        <f t="shared" si="110"/>
        <v>183.33333333333334</v>
      </c>
      <c r="I189" s="6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19.8100000000004</v>
      </c>
      <c r="O189" s="13">
        <f>N189*VLOOKUP('Données projet'!$B$9,Paramètres!$A$1:$I$89,3,0)*VLOOKUP('Données projet'!$B$9,Paramètres!$A$1:$I$89,5,0)</f>
        <v>17.924088000000364</v>
      </c>
      <c r="P189" s="13">
        <f t="shared" si="141"/>
        <v>5.9032212091029486</v>
      </c>
      <c r="Q189" s="20">
        <f t="shared" si="162"/>
        <v>41.499230205854936</v>
      </c>
      <c r="R189" s="59">
        <f t="shared" si="109"/>
        <v>331.29598831171234</v>
      </c>
      <c r="S189" s="59">
        <f ca="1">AVERAGE(OFFSET($R$3,0,0,'Données projet'!$E$9+1,1))-AVERAGE(OFFSET($H$3,0,0,'Données projet'!$E$9+1,1))</f>
        <v>567.42635821507474</v>
      </c>
      <c r="T189" s="59">
        <f t="shared" si="142"/>
        <v>299.04735309930152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93.231468862238373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93.231468862238373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404.00000000000017</v>
      </c>
      <c r="AJ189" s="13">
        <f>AI189*VLOOKUP('Données projet'!$B$10,Paramètres!$A$1:$I$89,3,0)*VLOOKUP('Données projet'!$B$10,Paramètres!$A$1:$I$89,5,0)</f>
        <v>346.63200000000018</v>
      </c>
      <c r="AK189" s="13">
        <f t="shared" si="164"/>
        <v>80.868615263336864</v>
      </c>
      <c r="AL189" s="20">
        <f t="shared" si="165"/>
        <v>744.56357158364528</v>
      </c>
      <c r="AM189" s="59">
        <f t="shared" si="113"/>
        <v>1034.3603296895026</v>
      </c>
      <c r="AN189" s="59">
        <f ca="1">AVERAGE(OFFSET($AM$3,0,0,'Données projet'!$E$10+1,1))-AVERAGE(OFFSET($H$3,0,0,'Données projet'!$E$10+1,1))</f>
        <v>481.23392184981651</v>
      </c>
      <c r="AO189" s="59">
        <f t="shared" si="144"/>
        <v>275.88160405468193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27.048990711904896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27.048990711904896</v>
      </c>
      <c r="AY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328.00000000000006</v>
      </c>
      <c r="BE189" s="13">
        <f>BD189*VLOOKUP('Données projet'!$B$11,Paramètres!$A$1:$I$89,3,0)*VLOOKUP('Données projet'!$B$11,Paramètres!$A$1:$I$89,5,0)</f>
        <v>255.84000000000006</v>
      </c>
      <c r="BF189" s="13">
        <f t="shared" si="167"/>
        <v>61.834803371075836</v>
      </c>
      <c r="BG189" s="20">
        <f t="shared" si="168"/>
        <v>553.28361587129041</v>
      </c>
      <c r="BH189" s="59">
        <f t="shared" si="116"/>
        <v>843.08037397714781</v>
      </c>
      <c r="BI189" s="59">
        <f ca="1">AVERAGE(OFFSET($BH$3,0,0,'Données projet'!$E$11+1,1))-AVERAGE(OFFSET($H$3,0,0,'Données projet'!$E$11+1,1))</f>
        <v>308.85018589589453</v>
      </c>
      <c r="BJ189" s="59">
        <f t="shared" si="146"/>
        <v>302.59481222418219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4.9654612125928388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4.9654612125928388</v>
      </c>
      <c r="BT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19.8100000000004</v>
      </c>
      <c r="BZ189" s="13">
        <f>BY189*VLOOKUP('Données projet'!$B$12,Paramètres!$A$1:$I$89,3,0)*VLOOKUP('Données projet'!$B$12,Paramètres!$A$1:$I$89,5,0)</f>
        <v>19.160232000000388</v>
      </c>
      <c r="CA189" s="13">
        <f t="shared" si="170"/>
        <v>6.2615431735370342</v>
      </c>
      <c r="CB189" s="20">
        <f t="shared" si="171"/>
        <v>44.27625842724435</v>
      </c>
      <c r="CC189" s="59">
        <f t="shared" si="119"/>
        <v>334.07301653310174</v>
      </c>
      <c r="CD189" s="59">
        <f ca="1">AVERAGE(OFFSET($CC$3,0,0,'Données projet'!$E$12+1,1))-AVERAGE(OFFSET($H$3,0,0,'Données projet'!$E$12+1,1))</f>
        <v>600.96600099724276</v>
      </c>
      <c r="CE189" s="59">
        <f t="shared" si="148"/>
        <v>315.40159260706264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99.661225335496155</v>
      </c>
      <c r="CL189" s="21">
        <f>EXP(-LN(2)/25)*CL188+(1-EXP(-LN(2)/25))/(LN(2)/25)*Calculateur!CG189*Calculateur!CI189*VLOOKUP('Données projet'!$B$12,Paramètres!$A$1:$I$89,3,0)*0.475*44/12</f>
        <v>0</v>
      </c>
      <c r="CM189" s="21">
        <f>EXP(-LN(2)/2)*CM188+(1-EXP(-LN(2)/2))/(LN(2)/2)*CG189*CJ189*VLOOKUP('Données projet'!$B$12,Paramètres!$A$1:$I$89,3,0)*0.475*44/12</f>
        <v>0</v>
      </c>
      <c r="CN189" s="22">
        <f t="shared" si="172"/>
        <v>99.661225335496155</v>
      </c>
      <c r="CO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19.8100000000004</v>
      </c>
      <c r="CU189" s="17">
        <f>CT189*VLOOKUP('Données projet'!$B$13,Paramètres!$A$1:$I$89,3,0)*VLOOKUP('Données projet'!$B$13,Paramètres!$A$1:$I$89,5,0)</f>
        <v>18.851196000000382</v>
      </c>
      <c r="CV189" s="13">
        <f t="shared" si="173"/>
        <v>6.172221809210666</v>
      </c>
      <c r="CW189" s="20">
        <f t="shared" si="174"/>
        <v>43.582452684375909</v>
      </c>
      <c r="CX189" s="59">
        <f t="shared" si="122"/>
        <v>333.37921079023329</v>
      </c>
      <c r="CY189" s="59">
        <f ca="1">AVERAGE(OFFSET($CX$3,0,0,'Données projet'!$E$13+1,1))-AVERAGE(OFFSET($H$3,0,0,'Données projet'!$E$13+1,1))</f>
        <v>592.58528889137358</v>
      </c>
      <c r="CZ189" s="59">
        <f t="shared" si="150"/>
        <v>311.31528020403709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98.053786217181752</v>
      </c>
      <c r="DG189" s="21">
        <f>EXP(-LN(2)/25)*DG188+(1-EXP(-LN(2)/25))/(LN(2)/25)*Calculateur!DB189*Calculateur!DD189*VLOOKUP('Données projet'!$B$13,Paramètres!$A$1:$I$89,3,0)*0.475*44/12</f>
        <v>0</v>
      </c>
      <c r="DH189" s="21">
        <f>EXP(-LN(2)/2)*DH188+(1-EXP(-LN(2)/2))/(LN(2)/2)*DB189*DE189*VLOOKUP('Données projet'!$B$13,Paramètres!$A$1:$I$89,3,0)*0.475*44/12</f>
        <v>0</v>
      </c>
      <c r="DI189" s="22">
        <f t="shared" si="175"/>
        <v>98.053786217181752</v>
      </c>
      <c r="DJ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2">
        <f>'Scénario référence'!$B$16*5+'Scénario référence'!$B$17*0+'Scénario référence'!$B$18*5</f>
        <v>5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66">
        <f t="shared" si="110"/>
        <v>183.33333333333334</v>
      </c>
      <c r="I190" s="6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19.8100000000004</v>
      </c>
      <c r="O190" s="13">
        <f>N190*VLOOKUP('Données projet'!$B$9,Paramètres!$A$1:$I$89,3,0)*VLOOKUP('Données projet'!$B$9,Paramètres!$A$1:$I$89,5,0)</f>
        <v>17.924088000000364</v>
      </c>
      <c r="P190" s="13">
        <f t="shared" si="141"/>
        <v>5.9032212091029486</v>
      </c>
      <c r="Q190" s="20">
        <f t="shared" si="162"/>
        <v>41.499230205854936</v>
      </c>
      <c r="R190" s="59">
        <f t="shared" si="109"/>
        <v>331.35733998531134</v>
      </c>
      <c r="S190" s="59">
        <f ca="1">AVERAGE(OFFSET($R$3,0,0,'Données projet'!$E$9+1,1))-AVERAGE(OFFSET($H$3,0,0,'Données projet'!$E$9+1,1))</f>
        <v>567.42635821507474</v>
      </c>
      <c r="T190" s="59">
        <f t="shared" si="142"/>
        <v>299.04735309930152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91.403256623430877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91.403256623430877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404.00000000000017</v>
      </c>
      <c r="AJ190" s="13">
        <f>AI190*VLOOKUP('Données projet'!$B$10,Paramètres!$A$1:$I$89,3,0)*VLOOKUP('Données projet'!$B$10,Paramètres!$A$1:$I$89,5,0)</f>
        <v>346.63200000000018</v>
      </c>
      <c r="AK190" s="13">
        <f t="shared" si="164"/>
        <v>80.868615263336864</v>
      </c>
      <c r="AL190" s="20">
        <f t="shared" si="165"/>
        <v>744.56357158364528</v>
      </c>
      <c r="AM190" s="59">
        <f t="shared" si="113"/>
        <v>1034.4216813631017</v>
      </c>
      <c r="AN190" s="59">
        <f ca="1">AVERAGE(OFFSET($AM$3,0,0,'Données projet'!$E$10+1,1))-AVERAGE(OFFSET($H$3,0,0,'Données projet'!$E$10+1,1))</f>
        <v>481.23392184981651</v>
      </c>
      <c r="AO190" s="59">
        <f t="shared" si="144"/>
        <v>275.88160405468193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26.518576502299709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26.518576502299709</v>
      </c>
      <c r="AY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328.00000000000006</v>
      </c>
      <c r="BE190" s="13">
        <f>BD190*VLOOKUP('Données projet'!$B$11,Paramètres!$A$1:$I$89,3,0)*VLOOKUP('Données projet'!$B$11,Paramètres!$A$1:$I$89,5,0)</f>
        <v>255.84000000000006</v>
      </c>
      <c r="BF190" s="13">
        <f t="shared" si="167"/>
        <v>61.834803371075836</v>
      </c>
      <c r="BG190" s="20">
        <f t="shared" si="168"/>
        <v>553.28361587129041</v>
      </c>
      <c r="BH190" s="59">
        <f t="shared" si="116"/>
        <v>843.14172565074682</v>
      </c>
      <c r="BI190" s="59">
        <f ca="1">AVERAGE(OFFSET($BH$3,0,0,'Données projet'!$E$11+1,1))-AVERAGE(OFFSET($H$3,0,0,'Données projet'!$E$11+1,1))</f>
        <v>308.85018589589453</v>
      </c>
      <c r="BJ190" s="59">
        <f t="shared" si="146"/>
        <v>302.59481222418219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4.8680915468461805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4.8680915468461805</v>
      </c>
      <c r="BT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19.8100000000004</v>
      </c>
      <c r="BZ190" s="13">
        <f>BY190*VLOOKUP('Données projet'!$B$12,Paramètres!$A$1:$I$89,3,0)*VLOOKUP('Données projet'!$B$12,Paramètres!$A$1:$I$89,5,0)</f>
        <v>19.160232000000388</v>
      </c>
      <c r="CA190" s="13">
        <f t="shared" si="170"/>
        <v>6.2615431735370342</v>
      </c>
      <c r="CB190" s="20">
        <f t="shared" si="171"/>
        <v>44.27625842724435</v>
      </c>
      <c r="CC190" s="59">
        <f t="shared" si="119"/>
        <v>334.13436820670074</v>
      </c>
      <c r="CD190" s="59">
        <f ca="1">AVERAGE(OFFSET($CC$3,0,0,'Données projet'!$E$12+1,1))-AVERAGE(OFFSET($H$3,0,0,'Données projet'!$E$12+1,1))</f>
        <v>600.96600099724276</v>
      </c>
      <c r="CE190" s="59">
        <f t="shared" si="148"/>
        <v>315.40159260706264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97.706929494012272</v>
      </c>
      <c r="CL190" s="21">
        <f>EXP(-LN(2)/25)*CL189+(1-EXP(-LN(2)/25))/(LN(2)/25)*Calculateur!CG190*Calculateur!CI190*VLOOKUP('Données projet'!$B$12,Paramètres!$A$1:$I$89,3,0)*0.475*44/12</f>
        <v>0</v>
      </c>
      <c r="CM190" s="21">
        <f>EXP(-LN(2)/2)*CM189+(1-EXP(-LN(2)/2))/(LN(2)/2)*CG190*CJ190*VLOOKUP('Données projet'!$B$12,Paramètres!$A$1:$I$89,3,0)*0.475*44/12</f>
        <v>0</v>
      </c>
      <c r="CN190" s="22">
        <f t="shared" si="172"/>
        <v>97.706929494012272</v>
      </c>
      <c r="CO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19.8100000000004</v>
      </c>
      <c r="CU190" s="17">
        <f>CT190*VLOOKUP('Données projet'!$B$13,Paramètres!$A$1:$I$89,3,0)*VLOOKUP('Données projet'!$B$13,Paramètres!$A$1:$I$89,5,0)</f>
        <v>18.851196000000382</v>
      </c>
      <c r="CV190" s="13">
        <f t="shared" si="173"/>
        <v>6.172221809210666</v>
      </c>
      <c r="CW190" s="20">
        <f t="shared" si="174"/>
        <v>43.582452684375909</v>
      </c>
      <c r="CX190" s="59">
        <f t="shared" si="122"/>
        <v>333.44056246383229</v>
      </c>
      <c r="CY190" s="59">
        <f ca="1">AVERAGE(OFFSET($CX$3,0,0,'Données projet'!$E$13+1,1))-AVERAGE(OFFSET($H$3,0,0,'Données projet'!$E$13+1,1))</f>
        <v>592.58528889137358</v>
      </c>
      <c r="CZ190" s="59">
        <f t="shared" si="150"/>
        <v>311.31528020403709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96.131011276366962</v>
      </c>
      <c r="DG190" s="21">
        <f>EXP(-LN(2)/25)*DG189+(1-EXP(-LN(2)/25))/(LN(2)/25)*Calculateur!DB190*Calculateur!DD190*VLOOKUP('Données projet'!$B$13,Paramètres!$A$1:$I$89,3,0)*0.475*44/12</f>
        <v>0</v>
      </c>
      <c r="DH190" s="21">
        <f>EXP(-LN(2)/2)*DH189+(1-EXP(-LN(2)/2))/(LN(2)/2)*DB190*DE190*VLOOKUP('Données projet'!$B$13,Paramètres!$A$1:$I$89,3,0)*0.475*44/12</f>
        <v>0</v>
      </c>
      <c r="DI190" s="22">
        <f t="shared" si="175"/>
        <v>96.131011276366962</v>
      </c>
      <c r="DJ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2">
        <f>'Scénario référence'!$B$16*5+'Scénario référence'!$B$17*0+'Scénario référence'!$B$18*5</f>
        <v>5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66">
        <f t="shared" si="110"/>
        <v>183.33333333333334</v>
      </c>
      <c r="I191" s="6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19.8100000000004</v>
      </c>
      <c r="O191" s="13">
        <f>N191*VLOOKUP('Données projet'!$B$9,Paramètres!$A$1:$I$89,3,0)*VLOOKUP('Données projet'!$B$9,Paramètres!$A$1:$I$89,5,0)</f>
        <v>17.924088000000364</v>
      </c>
      <c r="P191" s="13">
        <f t="shared" si="141"/>
        <v>5.9032212091029486</v>
      </c>
      <c r="Q191" s="20">
        <f t="shared" si="162"/>
        <v>41.499230205854936</v>
      </c>
      <c r="R191" s="59">
        <f t="shared" si="109"/>
        <v>331.41762734453516</v>
      </c>
      <c r="S191" s="59">
        <f ca="1">AVERAGE(OFFSET($R$3,0,0,'Données projet'!$E$9+1,1))-AVERAGE(OFFSET($H$3,0,0,'Données projet'!$E$9+1,1))</f>
        <v>567.42635821507474</v>
      </c>
      <c r="T191" s="59">
        <f t="shared" si="142"/>
        <v>299.04735309930152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89.610894511527036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89.610894511527036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404.00000000000017</v>
      </c>
      <c r="AJ191" s="13">
        <f>AI191*VLOOKUP('Données projet'!$B$10,Paramètres!$A$1:$I$89,3,0)*VLOOKUP('Données projet'!$B$10,Paramètres!$A$1:$I$89,5,0)</f>
        <v>346.63200000000018</v>
      </c>
      <c r="AK191" s="13">
        <f t="shared" si="164"/>
        <v>80.868615263336864</v>
      </c>
      <c r="AL191" s="20">
        <f t="shared" si="165"/>
        <v>744.56357158364528</v>
      </c>
      <c r="AM191" s="59">
        <f t="shared" si="113"/>
        <v>1034.4819687223255</v>
      </c>
      <c r="AN191" s="59">
        <f ca="1">AVERAGE(OFFSET($AM$3,0,0,'Données projet'!$E$10+1,1))-AVERAGE(OFFSET($H$3,0,0,'Données projet'!$E$10+1,1))</f>
        <v>481.23392184981651</v>
      </c>
      <c r="AO191" s="59">
        <f t="shared" si="144"/>
        <v>275.88160405468193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25.998563391824156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25.998563391824156</v>
      </c>
      <c r="AY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328.00000000000006</v>
      </c>
      <c r="BE191" s="13">
        <f>BD191*VLOOKUP('Données projet'!$B$11,Paramètres!$A$1:$I$89,3,0)*VLOOKUP('Données projet'!$B$11,Paramètres!$A$1:$I$89,5,0)</f>
        <v>255.84000000000006</v>
      </c>
      <c r="BF191" s="13">
        <f t="shared" si="167"/>
        <v>61.834803371075836</v>
      </c>
      <c r="BG191" s="20">
        <f t="shared" si="168"/>
        <v>553.28361587129041</v>
      </c>
      <c r="BH191" s="59">
        <f t="shared" si="116"/>
        <v>843.20201300997064</v>
      </c>
      <c r="BI191" s="59">
        <f ca="1">AVERAGE(OFFSET($BH$3,0,0,'Données projet'!$E$11+1,1))-AVERAGE(OFFSET($H$3,0,0,'Données projet'!$E$11+1,1))</f>
        <v>308.85018589589453</v>
      </c>
      <c r="BJ191" s="59">
        <f t="shared" si="146"/>
        <v>302.59481222418219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4.7726312408551825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4.7726312408551825</v>
      </c>
      <c r="BT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19.8100000000004</v>
      </c>
      <c r="BZ191" s="13">
        <f>BY191*VLOOKUP('Données projet'!$B$12,Paramètres!$A$1:$I$89,3,0)*VLOOKUP('Données projet'!$B$12,Paramètres!$A$1:$I$89,5,0)</f>
        <v>19.160232000000388</v>
      </c>
      <c r="CA191" s="13">
        <f t="shared" si="170"/>
        <v>6.2615431735370342</v>
      </c>
      <c r="CB191" s="20">
        <f t="shared" si="171"/>
        <v>44.27625842724435</v>
      </c>
      <c r="CC191" s="59">
        <f t="shared" si="119"/>
        <v>334.19465556592456</v>
      </c>
      <c r="CD191" s="59">
        <f ca="1">AVERAGE(OFFSET($CC$3,0,0,'Données projet'!$E$12+1,1))-AVERAGE(OFFSET($H$3,0,0,'Données projet'!$E$12+1,1))</f>
        <v>600.96600099724276</v>
      </c>
      <c r="CE191" s="59">
        <f t="shared" si="148"/>
        <v>315.40159260706264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95.790956201977124</v>
      </c>
      <c r="CL191" s="21">
        <f>EXP(-LN(2)/25)*CL190+(1-EXP(-LN(2)/25))/(LN(2)/25)*Calculateur!CG191*Calculateur!CI191*VLOOKUP('Données projet'!$B$12,Paramètres!$A$1:$I$89,3,0)*0.475*44/12</f>
        <v>0</v>
      </c>
      <c r="CM191" s="21">
        <f>EXP(-LN(2)/2)*CM190+(1-EXP(-LN(2)/2))/(LN(2)/2)*CG191*CJ191*VLOOKUP('Données projet'!$B$12,Paramètres!$A$1:$I$89,3,0)*0.475*44/12</f>
        <v>0</v>
      </c>
      <c r="CN191" s="22">
        <f t="shared" si="172"/>
        <v>95.790956201977124</v>
      </c>
      <c r="CO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19.8100000000004</v>
      </c>
      <c r="CU191" s="17">
        <f>CT191*VLOOKUP('Données projet'!$B$13,Paramètres!$A$1:$I$89,3,0)*VLOOKUP('Données projet'!$B$13,Paramètres!$A$1:$I$89,5,0)</f>
        <v>18.851196000000382</v>
      </c>
      <c r="CV191" s="13">
        <f t="shared" si="173"/>
        <v>6.172221809210666</v>
      </c>
      <c r="CW191" s="20">
        <f t="shared" si="174"/>
        <v>43.582452684375909</v>
      </c>
      <c r="CX191" s="59">
        <f t="shared" si="122"/>
        <v>333.50084982305611</v>
      </c>
      <c r="CY191" s="59">
        <f ca="1">AVERAGE(OFFSET($CX$3,0,0,'Données projet'!$E$13+1,1))-AVERAGE(OFFSET($H$3,0,0,'Données projet'!$E$13+1,1))</f>
        <v>592.58528889137358</v>
      </c>
      <c r="CZ191" s="59">
        <f t="shared" si="150"/>
        <v>311.31528020403709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94.245940779364645</v>
      </c>
      <c r="DG191" s="21">
        <f>EXP(-LN(2)/25)*DG190+(1-EXP(-LN(2)/25))/(LN(2)/25)*Calculateur!DB191*Calculateur!DD191*VLOOKUP('Données projet'!$B$13,Paramètres!$A$1:$I$89,3,0)*0.475*44/12</f>
        <v>0</v>
      </c>
      <c r="DH191" s="21">
        <f>EXP(-LN(2)/2)*DH190+(1-EXP(-LN(2)/2))/(LN(2)/2)*DB191*DE191*VLOOKUP('Données projet'!$B$13,Paramètres!$A$1:$I$89,3,0)*0.475*44/12</f>
        <v>0</v>
      </c>
      <c r="DI191" s="22">
        <f t="shared" si="175"/>
        <v>94.245940779364645</v>
      </c>
      <c r="DJ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2">
        <f>'Scénario référence'!$B$16*5+'Scénario référence'!$B$17*0+'Scénario référence'!$B$18*5</f>
        <v>5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66">
        <f t="shared" si="110"/>
        <v>183.33333333333334</v>
      </c>
      <c r="I192" s="6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19.8100000000004</v>
      </c>
      <c r="O192" s="13">
        <f>N192*VLOOKUP('Données projet'!$B$9,Paramètres!$A$1:$I$89,3,0)*VLOOKUP('Données projet'!$B$9,Paramètres!$A$1:$I$89,5,0)</f>
        <v>17.924088000000364</v>
      </c>
      <c r="P192" s="13">
        <f t="shared" si="141"/>
        <v>5.9032212091029486</v>
      </c>
      <c r="Q192" s="20">
        <f t="shared" si="162"/>
        <v>41.499230205854936</v>
      </c>
      <c r="R192" s="59">
        <f t="shared" si="109"/>
        <v>331.47686885285879</v>
      </c>
      <c r="S192" s="59">
        <f ca="1">AVERAGE(OFFSET($R$3,0,0,'Données projet'!$E$9+1,1))-AVERAGE(OFFSET($H$3,0,0,'Données projet'!$E$9+1,1))</f>
        <v>567.42635821507474</v>
      </c>
      <c r="T192" s="59">
        <f t="shared" si="142"/>
        <v>299.04735309930152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87.853679527404694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87.853679527404694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404.00000000000017</v>
      </c>
      <c r="AJ192" s="13">
        <f>AI192*VLOOKUP('Données projet'!$B$10,Paramètres!$A$1:$I$89,3,0)*VLOOKUP('Données projet'!$B$10,Paramètres!$A$1:$I$89,5,0)</f>
        <v>346.63200000000018</v>
      </c>
      <c r="AK192" s="13">
        <f t="shared" si="164"/>
        <v>80.868615263336864</v>
      </c>
      <c r="AL192" s="20">
        <f t="shared" si="165"/>
        <v>744.56357158364528</v>
      </c>
      <c r="AM192" s="59">
        <f t="shared" si="113"/>
        <v>1034.5412102306491</v>
      </c>
      <c r="AN192" s="59">
        <f ca="1">AVERAGE(OFFSET($AM$3,0,0,'Données projet'!$E$10+1,1))-AVERAGE(OFFSET($H$3,0,0,'Données projet'!$E$10+1,1))</f>
        <v>481.23392184981651</v>
      </c>
      <c r="AO192" s="59">
        <f t="shared" si="144"/>
        <v>275.88160405468193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25.48874742126835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25.48874742126835</v>
      </c>
      <c r="AY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328.00000000000006</v>
      </c>
      <c r="BE192" s="13">
        <f>BD192*VLOOKUP('Données projet'!$B$11,Paramètres!$A$1:$I$89,3,0)*VLOOKUP('Données projet'!$B$11,Paramètres!$A$1:$I$89,5,0)</f>
        <v>255.84000000000006</v>
      </c>
      <c r="BF192" s="13">
        <f t="shared" si="167"/>
        <v>61.834803371075836</v>
      </c>
      <c r="BG192" s="20">
        <f t="shared" si="168"/>
        <v>553.28361587129041</v>
      </c>
      <c r="BH192" s="59">
        <f t="shared" si="116"/>
        <v>843.26125451829421</v>
      </c>
      <c r="BI192" s="59">
        <f ca="1">AVERAGE(OFFSET($BH$3,0,0,'Données projet'!$E$11+1,1))-AVERAGE(OFFSET($H$3,0,0,'Données projet'!$E$11+1,1))</f>
        <v>308.85018589589453</v>
      </c>
      <c r="BJ192" s="59">
        <f t="shared" si="146"/>
        <v>302.59481222418219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4.67904285323963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4.67904285323963</v>
      </c>
      <c r="BT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19.8100000000004</v>
      </c>
      <c r="BZ192" s="13">
        <f>BY192*VLOOKUP('Données projet'!$B$12,Paramètres!$A$1:$I$89,3,0)*VLOOKUP('Données projet'!$B$12,Paramètres!$A$1:$I$89,5,0)</f>
        <v>19.160232000000388</v>
      </c>
      <c r="CA192" s="13">
        <f t="shared" si="170"/>
        <v>6.2615431735370342</v>
      </c>
      <c r="CB192" s="20">
        <f t="shared" si="171"/>
        <v>44.27625842724435</v>
      </c>
      <c r="CC192" s="59">
        <f t="shared" si="119"/>
        <v>334.25389707424819</v>
      </c>
      <c r="CD192" s="59">
        <f ca="1">AVERAGE(OFFSET($CC$3,0,0,'Données projet'!$E$12+1,1))-AVERAGE(OFFSET($H$3,0,0,'Données projet'!$E$12+1,1))</f>
        <v>600.96600099724276</v>
      </c>
      <c r="CE192" s="59">
        <f t="shared" si="148"/>
        <v>315.40159260706264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93.912553977570482</v>
      </c>
      <c r="CL192" s="21">
        <f>EXP(-LN(2)/25)*CL191+(1-EXP(-LN(2)/25))/(LN(2)/25)*Calculateur!CG192*Calculateur!CI192*VLOOKUP('Données projet'!$B$12,Paramètres!$A$1:$I$89,3,0)*0.475*44/12</f>
        <v>0</v>
      </c>
      <c r="CM192" s="21">
        <f>EXP(-LN(2)/2)*CM191+(1-EXP(-LN(2)/2))/(LN(2)/2)*CG192*CJ192*VLOOKUP('Données projet'!$B$12,Paramètres!$A$1:$I$89,3,0)*0.475*44/12</f>
        <v>0</v>
      </c>
      <c r="CN192" s="22">
        <f t="shared" si="172"/>
        <v>93.912553977570482</v>
      </c>
      <c r="CO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19.8100000000004</v>
      </c>
      <c r="CU192" s="17">
        <f>CT192*VLOOKUP('Données projet'!$B$13,Paramètres!$A$1:$I$89,3,0)*VLOOKUP('Données projet'!$B$13,Paramètres!$A$1:$I$89,5,0)</f>
        <v>18.851196000000382</v>
      </c>
      <c r="CV192" s="13">
        <f t="shared" si="173"/>
        <v>6.172221809210666</v>
      </c>
      <c r="CW192" s="20">
        <f t="shared" si="174"/>
        <v>43.582452684375909</v>
      </c>
      <c r="CX192" s="59">
        <f t="shared" si="122"/>
        <v>333.56009133137979</v>
      </c>
      <c r="CY192" s="59">
        <f ca="1">AVERAGE(OFFSET($CX$3,0,0,'Données projet'!$E$13+1,1))-AVERAGE(OFFSET($H$3,0,0,'Données projet'!$E$13+1,1))</f>
        <v>592.58528889137358</v>
      </c>
      <c r="CZ192" s="59">
        <f t="shared" si="150"/>
        <v>311.31528020403709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92.397835365029067</v>
      </c>
      <c r="DG192" s="21">
        <f>EXP(-LN(2)/25)*DG191+(1-EXP(-LN(2)/25))/(LN(2)/25)*Calculateur!DB192*Calculateur!DD192*VLOOKUP('Données projet'!$B$13,Paramètres!$A$1:$I$89,3,0)*0.475*44/12</f>
        <v>0</v>
      </c>
      <c r="DH192" s="21">
        <f>EXP(-LN(2)/2)*DH191+(1-EXP(-LN(2)/2))/(LN(2)/2)*DB192*DE192*VLOOKUP('Données projet'!$B$13,Paramètres!$A$1:$I$89,3,0)*0.475*44/12</f>
        <v>0</v>
      </c>
      <c r="DI192" s="22">
        <f t="shared" si="175"/>
        <v>92.397835365029067</v>
      </c>
      <c r="DJ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2">
        <f>'Scénario référence'!$B$16*5+'Scénario référence'!$B$17*0+'Scénario référence'!$B$18*5</f>
        <v>5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66">
        <f t="shared" si="110"/>
        <v>183.33333333333334</v>
      </c>
      <c r="I193" s="6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19.8100000000004</v>
      </c>
      <c r="O193" s="13">
        <f>N193*VLOOKUP('Données projet'!$B$9,Paramètres!$A$1:$I$89,3,0)*VLOOKUP('Données projet'!$B$9,Paramètres!$A$1:$I$89,5,0)</f>
        <v>17.924088000000364</v>
      </c>
      <c r="P193" s="13">
        <f t="shared" si="141"/>
        <v>5.9032212091029486</v>
      </c>
      <c r="Q193" s="20">
        <f t="shared" si="162"/>
        <v>41.499230205854936</v>
      </c>
      <c r="R193" s="59">
        <f t="shared" si="109"/>
        <v>331.53508265345721</v>
      </c>
      <c r="S193" s="59">
        <f ca="1">AVERAGE(OFFSET($R$3,0,0,'Données projet'!$E$9+1,1))-AVERAGE(OFFSET($H$3,0,0,'Données projet'!$E$9+1,1))</f>
        <v>567.42635821507474</v>
      </c>
      <c r="T193" s="59">
        <f t="shared" si="142"/>
        <v>299.04735309930152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86.130922457325681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86.130922457325681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404.00000000000017</v>
      </c>
      <c r="AJ193" s="13">
        <f>AI193*VLOOKUP('Données projet'!$B$10,Paramètres!$A$1:$I$89,3,0)*VLOOKUP('Données projet'!$B$10,Paramètres!$A$1:$I$89,5,0)</f>
        <v>346.63200000000018</v>
      </c>
      <c r="AK193" s="13">
        <f t="shared" si="164"/>
        <v>80.868615263336864</v>
      </c>
      <c r="AL193" s="20">
        <f t="shared" si="165"/>
        <v>744.56357158364528</v>
      </c>
      <c r="AM193" s="59">
        <f t="shared" si="113"/>
        <v>1034.5994240312475</v>
      </c>
      <c r="AN193" s="59">
        <f ca="1">AVERAGE(OFFSET($AM$3,0,0,'Données projet'!$E$10+1,1))-AVERAGE(OFFSET($H$3,0,0,'Données projet'!$E$10+1,1))</f>
        <v>481.23392184981651</v>
      </c>
      <c r="AO193" s="59">
        <f t="shared" si="144"/>
        <v>275.88160405468193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24.988928630938105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24.988928630938105</v>
      </c>
      <c r="AY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328.00000000000006</v>
      </c>
      <c r="BE193" s="13">
        <f>BD193*VLOOKUP('Données projet'!$B$11,Paramètres!$A$1:$I$89,3,0)*VLOOKUP('Données projet'!$B$11,Paramètres!$A$1:$I$89,5,0)</f>
        <v>255.84000000000006</v>
      </c>
      <c r="BF193" s="13">
        <f t="shared" si="167"/>
        <v>61.834803371075836</v>
      </c>
      <c r="BG193" s="20">
        <f t="shared" si="168"/>
        <v>553.28361587129041</v>
      </c>
      <c r="BH193" s="59">
        <f t="shared" si="116"/>
        <v>843.31946831889263</v>
      </c>
      <c r="BI193" s="59">
        <f ca="1">AVERAGE(OFFSET($BH$3,0,0,'Données projet'!$E$11+1,1))-AVERAGE(OFFSET($H$3,0,0,'Données projet'!$E$11+1,1))</f>
        <v>308.85018589589453</v>
      </c>
      <c r="BJ193" s="59">
        <f t="shared" si="146"/>
        <v>302.59481222418219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4.5872896768219391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4.5872896768219391</v>
      </c>
      <c r="BT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19.8100000000004</v>
      </c>
      <c r="BZ193" s="13">
        <f>BY193*VLOOKUP('Données projet'!$B$12,Paramètres!$A$1:$I$89,3,0)*VLOOKUP('Données projet'!$B$12,Paramètres!$A$1:$I$89,5,0)</f>
        <v>19.160232000000388</v>
      </c>
      <c r="CA193" s="13">
        <f t="shared" si="170"/>
        <v>6.2615431735370342</v>
      </c>
      <c r="CB193" s="20">
        <f t="shared" si="171"/>
        <v>44.27625842724435</v>
      </c>
      <c r="CC193" s="59">
        <f t="shared" si="119"/>
        <v>334.31211087484661</v>
      </c>
      <c r="CD193" s="59">
        <f ca="1">AVERAGE(OFFSET($CC$3,0,0,'Données projet'!$E$12+1,1))-AVERAGE(OFFSET($H$3,0,0,'Données projet'!$E$12+1,1))</f>
        <v>600.96600099724276</v>
      </c>
      <c r="CE193" s="59">
        <f t="shared" si="148"/>
        <v>315.40159260706264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92.070986075072227</v>
      </c>
      <c r="CL193" s="21">
        <f>EXP(-LN(2)/25)*CL192+(1-EXP(-LN(2)/25))/(LN(2)/25)*Calculateur!CG193*Calculateur!CI193*VLOOKUP('Données projet'!$B$12,Paramètres!$A$1:$I$89,3,0)*0.475*44/12</f>
        <v>0</v>
      </c>
      <c r="CM193" s="21">
        <f>EXP(-LN(2)/2)*CM192+(1-EXP(-LN(2)/2))/(LN(2)/2)*CG193*CJ193*VLOOKUP('Données projet'!$B$12,Paramètres!$A$1:$I$89,3,0)*0.475*44/12</f>
        <v>0</v>
      </c>
      <c r="CN193" s="22">
        <f t="shared" si="172"/>
        <v>92.070986075072227</v>
      </c>
      <c r="CO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19.8100000000004</v>
      </c>
      <c r="CU193" s="17">
        <f>CT193*VLOOKUP('Données projet'!$B$13,Paramètres!$A$1:$I$89,3,0)*VLOOKUP('Données projet'!$B$13,Paramètres!$A$1:$I$89,5,0)</f>
        <v>18.851196000000382</v>
      </c>
      <c r="CV193" s="13">
        <f t="shared" si="173"/>
        <v>6.172221809210666</v>
      </c>
      <c r="CW193" s="20">
        <f t="shared" si="174"/>
        <v>43.582452684375909</v>
      </c>
      <c r="CX193" s="59">
        <f t="shared" si="122"/>
        <v>333.61830513197822</v>
      </c>
      <c r="CY193" s="59">
        <f ca="1">AVERAGE(OFFSET($CX$3,0,0,'Données projet'!$E$13+1,1))-AVERAGE(OFFSET($H$3,0,0,'Données projet'!$E$13+1,1))</f>
        <v>592.58528889137358</v>
      </c>
      <c r="CZ193" s="59">
        <f t="shared" si="150"/>
        <v>311.31528020403709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90.585970170635619</v>
      </c>
      <c r="DG193" s="21">
        <f>EXP(-LN(2)/25)*DG192+(1-EXP(-LN(2)/25))/(LN(2)/25)*Calculateur!DB193*Calculateur!DD193*VLOOKUP('Données projet'!$B$13,Paramètres!$A$1:$I$89,3,0)*0.475*44/12</f>
        <v>0</v>
      </c>
      <c r="DH193" s="21">
        <f>EXP(-LN(2)/2)*DH192+(1-EXP(-LN(2)/2))/(LN(2)/2)*DB193*DE193*VLOOKUP('Données projet'!$B$13,Paramètres!$A$1:$I$89,3,0)*0.475*44/12</f>
        <v>0</v>
      </c>
      <c r="DI193" s="22">
        <f t="shared" si="175"/>
        <v>90.585970170635619</v>
      </c>
      <c r="DJ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2">
        <f>'Scénario référence'!$B$16*5+'Scénario référence'!$B$17*0+'Scénario référence'!$B$18*5</f>
        <v>5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66">
        <f t="shared" si="110"/>
        <v>183.33333333333334</v>
      </c>
      <c r="I194" s="6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19.8100000000004</v>
      </c>
      <c r="O194" s="13">
        <f>N194*VLOOKUP('Données projet'!$B$9,Paramètres!$A$1:$I$89,3,0)*VLOOKUP('Données projet'!$B$9,Paramètres!$A$1:$I$89,5,0)</f>
        <v>17.924088000000364</v>
      </c>
      <c r="P194" s="13">
        <f t="shared" si="141"/>
        <v>5.9032212091029486</v>
      </c>
      <c r="Q194" s="20">
        <f t="shared" si="162"/>
        <v>41.499230205854936</v>
      </c>
      <c r="R194" s="59">
        <f t="shared" si="109"/>
        <v>331.59228657476177</v>
      </c>
      <c r="S194" s="59">
        <f ca="1">AVERAGE(OFFSET($R$3,0,0,'Données projet'!$E$9+1,1))-AVERAGE(OFFSET($H$3,0,0,'Données projet'!$E$9+1,1))</f>
        <v>567.42635821507474</v>
      </c>
      <c r="T194" s="59">
        <f t="shared" si="142"/>
        <v>299.04735309930152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84.441947602612856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84.441947602612856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404.00000000000017</v>
      </c>
      <c r="AJ194" s="13">
        <f>AI194*VLOOKUP('Données projet'!$B$10,Paramètres!$A$1:$I$89,3,0)*VLOOKUP('Données projet'!$B$10,Paramètres!$A$1:$I$89,5,0)</f>
        <v>346.63200000000018</v>
      </c>
      <c r="AK194" s="13">
        <f t="shared" si="164"/>
        <v>80.868615263336864</v>
      </c>
      <c r="AL194" s="20">
        <f t="shared" si="165"/>
        <v>744.56357158364528</v>
      </c>
      <c r="AM194" s="59">
        <f t="shared" si="113"/>
        <v>1034.6566279525521</v>
      </c>
      <c r="AN194" s="59">
        <f ca="1">AVERAGE(OFFSET($AM$3,0,0,'Données projet'!$E$10+1,1))-AVERAGE(OFFSET($H$3,0,0,'Données projet'!$E$10+1,1))</f>
        <v>481.23392184981651</v>
      </c>
      <c r="AO194" s="59">
        <f t="shared" si="144"/>
        <v>275.88160405468193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24.498910982226878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24.498910982226878</v>
      </c>
      <c r="AY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328.00000000000006</v>
      </c>
      <c r="BE194" s="13">
        <f>BD194*VLOOKUP('Données projet'!$B$11,Paramètres!$A$1:$I$89,3,0)*VLOOKUP('Données projet'!$B$11,Paramètres!$A$1:$I$89,5,0)</f>
        <v>255.84000000000006</v>
      </c>
      <c r="BF194" s="13">
        <f t="shared" si="167"/>
        <v>61.834803371075836</v>
      </c>
      <c r="BG194" s="20">
        <f t="shared" si="168"/>
        <v>553.28361587129041</v>
      </c>
      <c r="BH194" s="59">
        <f t="shared" si="116"/>
        <v>843.37667224019719</v>
      </c>
      <c r="BI194" s="59">
        <f ca="1">AVERAGE(OFFSET($BH$3,0,0,'Données projet'!$E$11+1,1))-AVERAGE(OFFSET($H$3,0,0,'Données projet'!$E$11+1,1))</f>
        <v>308.85018589589453</v>
      </c>
      <c r="BJ194" s="59">
        <f t="shared" si="146"/>
        <v>302.59481222418219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4.4973357242298873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4.4973357242298873</v>
      </c>
      <c r="BT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19.8100000000004</v>
      </c>
      <c r="BZ194" s="13">
        <f>BY194*VLOOKUP('Données projet'!$B$12,Paramètres!$A$1:$I$89,3,0)*VLOOKUP('Données projet'!$B$12,Paramètres!$A$1:$I$89,5,0)</f>
        <v>19.160232000000388</v>
      </c>
      <c r="CA194" s="13">
        <f t="shared" si="170"/>
        <v>6.2615431735370342</v>
      </c>
      <c r="CB194" s="20">
        <f t="shared" si="171"/>
        <v>44.27625842724435</v>
      </c>
      <c r="CC194" s="59">
        <f t="shared" si="119"/>
        <v>334.36931479615117</v>
      </c>
      <c r="CD194" s="59">
        <f ca="1">AVERAGE(OFFSET($CC$3,0,0,'Données projet'!$E$12+1,1))-AVERAGE(OFFSET($H$3,0,0,'Données projet'!$E$12+1,1))</f>
        <v>600.96600099724276</v>
      </c>
      <c r="CE194" s="59">
        <f t="shared" si="148"/>
        <v>315.40159260706264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90.265530195896446</v>
      </c>
      <c r="CL194" s="21">
        <f>EXP(-LN(2)/25)*CL193+(1-EXP(-LN(2)/25))/(LN(2)/25)*Calculateur!CG194*Calculateur!CI194*VLOOKUP('Données projet'!$B$12,Paramètres!$A$1:$I$89,3,0)*0.475*44/12</f>
        <v>0</v>
      </c>
      <c r="CM194" s="21">
        <f>EXP(-LN(2)/2)*CM193+(1-EXP(-LN(2)/2))/(LN(2)/2)*CG194*CJ194*VLOOKUP('Données projet'!$B$12,Paramètres!$A$1:$I$89,3,0)*0.475*44/12</f>
        <v>0</v>
      </c>
      <c r="CN194" s="22">
        <f t="shared" si="172"/>
        <v>90.265530195896446</v>
      </c>
      <c r="CO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19.8100000000004</v>
      </c>
      <c r="CU194" s="17">
        <f>CT194*VLOOKUP('Données projet'!$B$13,Paramètres!$A$1:$I$89,3,0)*VLOOKUP('Données projet'!$B$13,Paramètres!$A$1:$I$89,5,0)</f>
        <v>18.851196000000382</v>
      </c>
      <c r="CV194" s="13">
        <f t="shared" si="173"/>
        <v>6.172221809210666</v>
      </c>
      <c r="CW194" s="20">
        <f t="shared" si="174"/>
        <v>43.582452684375909</v>
      </c>
      <c r="CX194" s="59">
        <f t="shared" si="122"/>
        <v>333.67550905328278</v>
      </c>
      <c r="CY194" s="59">
        <f ca="1">AVERAGE(OFFSET($CX$3,0,0,'Données projet'!$E$13+1,1))-AVERAGE(OFFSET($H$3,0,0,'Données projet'!$E$13+1,1))</f>
        <v>592.58528889137358</v>
      </c>
      <c r="CZ194" s="59">
        <f t="shared" si="150"/>
        <v>311.31528020403709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88.809634547575584</v>
      </c>
      <c r="DG194" s="21">
        <f>EXP(-LN(2)/25)*DG193+(1-EXP(-LN(2)/25))/(LN(2)/25)*Calculateur!DB194*Calculateur!DD194*VLOOKUP('Données projet'!$B$13,Paramètres!$A$1:$I$89,3,0)*0.475*44/12</f>
        <v>0</v>
      </c>
      <c r="DH194" s="21">
        <f>EXP(-LN(2)/2)*DH193+(1-EXP(-LN(2)/2))/(LN(2)/2)*DB194*DE194*VLOOKUP('Données projet'!$B$13,Paramètres!$A$1:$I$89,3,0)*0.475*44/12</f>
        <v>0</v>
      </c>
      <c r="DI194" s="22">
        <f t="shared" si="175"/>
        <v>88.809634547575584</v>
      </c>
      <c r="DJ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2">
        <f>'Scénario référence'!$B$16*5+'Scénario référence'!$B$17*0+'Scénario référence'!$B$18*5</f>
        <v>5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66">
        <f t="shared" si="110"/>
        <v>183.33333333333334</v>
      </c>
      <c r="I195" s="6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19.8100000000004</v>
      </c>
      <c r="O195" s="13">
        <f>N195*VLOOKUP('Données projet'!$B$9,Paramètres!$A$1:$I$89,3,0)*VLOOKUP('Données projet'!$B$9,Paramètres!$A$1:$I$89,5,0)</f>
        <v>17.924088000000364</v>
      </c>
      <c r="P195" s="13">
        <f t="shared" si="141"/>
        <v>5.9032212091029486</v>
      </c>
      <c r="Q195" s="20">
        <f t="shared" si="162"/>
        <v>41.499230205854936</v>
      </c>
      <c r="R195" s="59">
        <f t="shared" ref="R195:R203" si="191">Q195+(I195+J195)*44/12</f>
        <v>331.64849813592059</v>
      </c>
      <c r="S195" s="59">
        <f ca="1">AVERAGE(OFFSET($R$3,0,0,'Données projet'!$E$9+1,1))-AVERAGE(OFFSET($H$3,0,0,'Données projet'!$E$9+1,1))</f>
        <v>567.42635821507474</v>
      </c>
      <c r="T195" s="59">
        <f t="shared" si="142"/>
        <v>299.04735309930152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82.78609251462801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82.78609251462801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404.00000000000017</v>
      </c>
      <c r="AJ195" s="13">
        <f>AI195*VLOOKUP('Données projet'!$B$10,Paramètres!$A$1:$I$89,3,0)*VLOOKUP('Données projet'!$B$10,Paramètres!$A$1:$I$89,5,0)</f>
        <v>346.63200000000018</v>
      </c>
      <c r="AK195" s="13">
        <f t="shared" si="164"/>
        <v>80.868615263336864</v>
      </c>
      <c r="AL195" s="20">
        <f t="shared" si="165"/>
        <v>744.56357158364528</v>
      </c>
      <c r="AM195" s="59">
        <f t="shared" si="113"/>
        <v>1034.7128395137111</v>
      </c>
      <c r="AN195" s="59">
        <f ca="1">AVERAGE(OFFSET($AM$3,0,0,'Données projet'!$E$10+1,1))-AVERAGE(OFFSET($H$3,0,0,'Données projet'!$E$10+1,1))</f>
        <v>481.23392184981651</v>
      </c>
      <c r="AO195" s="59">
        <f t="shared" si="144"/>
        <v>275.88160405468193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24.018502280725624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24.018502280725624</v>
      </c>
      <c r="AY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328.00000000000006</v>
      </c>
      <c r="BE195" s="13">
        <f>BD195*VLOOKUP('Données projet'!$B$11,Paramètres!$A$1:$I$89,3,0)*VLOOKUP('Données projet'!$B$11,Paramètres!$A$1:$I$89,5,0)</f>
        <v>255.84000000000006</v>
      </c>
      <c r="BF195" s="13">
        <f t="shared" si="167"/>
        <v>61.834803371075836</v>
      </c>
      <c r="BG195" s="20">
        <f t="shared" si="168"/>
        <v>553.28361587129041</v>
      </c>
      <c r="BH195" s="59">
        <f t="shared" si="116"/>
        <v>843.43288380135607</v>
      </c>
      <c r="BI195" s="59">
        <f ca="1">AVERAGE(OFFSET($BH$3,0,0,'Données projet'!$E$11+1,1))-AVERAGE(OFFSET($H$3,0,0,'Données projet'!$E$11+1,1))</f>
        <v>308.85018589589453</v>
      </c>
      <c r="BJ195" s="59">
        <f t="shared" si="146"/>
        <v>302.59481222418219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4.4091457137816716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4.4091457137816716</v>
      </c>
      <c r="BT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19.8100000000004</v>
      </c>
      <c r="BZ195" s="13">
        <f>BY195*VLOOKUP('Données projet'!$B$12,Paramètres!$A$1:$I$89,3,0)*VLOOKUP('Données projet'!$B$12,Paramètres!$A$1:$I$89,5,0)</f>
        <v>19.160232000000388</v>
      </c>
      <c r="CA195" s="13">
        <f t="shared" si="170"/>
        <v>6.2615431735370342</v>
      </c>
      <c r="CB195" s="20">
        <f t="shared" si="171"/>
        <v>44.27625842724435</v>
      </c>
      <c r="CC195" s="59">
        <f t="shared" si="119"/>
        <v>334.42552635730999</v>
      </c>
      <c r="CD195" s="59">
        <f ca="1">AVERAGE(OFFSET($CC$3,0,0,'Données projet'!$E$12+1,1))-AVERAGE(OFFSET($H$3,0,0,'Données projet'!$E$12+1,1))</f>
        <v>600.96600099724276</v>
      </c>
      <c r="CE195" s="59">
        <f t="shared" si="148"/>
        <v>315.40159260706264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88.49547820529196</v>
      </c>
      <c r="CL195" s="21">
        <f>EXP(-LN(2)/25)*CL194+(1-EXP(-LN(2)/25))/(LN(2)/25)*Calculateur!CG195*Calculateur!CI195*VLOOKUP('Données projet'!$B$12,Paramètres!$A$1:$I$89,3,0)*0.475*44/12</f>
        <v>0</v>
      </c>
      <c r="CM195" s="21">
        <f>EXP(-LN(2)/2)*CM194+(1-EXP(-LN(2)/2))/(LN(2)/2)*CG195*CJ195*VLOOKUP('Données projet'!$B$12,Paramètres!$A$1:$I$89,3,0)*0.475*44/12</f>
        <v>0</v>
      </c>
      <c r="CN195" s="22">
        <f t="shared" si="172"/>
        <v>88.49547820529196</v>
      </c>
      <c r="CO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19.8100000000004</v>
      </c>
      <c r="CU195" s="17">
        <f>CT195*VLOOKUP('Données projet'!$B$13,Paramètres!$A$1:$I$89,3,0)*VLOOKUP('Données projet'!$B$13,Paramètres!$A$1:$I$89,5,0)</f>
        <v>18.851196000000382</v>
      </c>
      <c r="CV195" s="13">
        <f t="shared" si="173"/>
        <v>6.172221809210666</v>
      </c>
      <c r="CW195" s="20">
        <f t="shared" si="174"/>
        <v>43.582452684375909</v>
      </c>
      <c r="CX195" s="59">
        <f t="shared" si="122"/>
        <v>333.73172061444154</v>
      </c>
      <c r="CY195" s="59">
        <f ca="1">AVERAGE(OFFSET($CX$3,0,0,'Données projet'!$E$13+1,1))-AVERAGE(OFFSET($H$3,0,0,'Données projet'!$E$13+1,1))</f>
        <v>592.58528889137358</v>
      </c>
      <c r="CZ195" s="59">
        <f t="shared" si="150"/>
        <v>311.31528020403709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87.068131782625997</v>
      </c>
      <c r="DG195" s="21">
        <f>EXP(-LN(2)/25)*DG194+(1-EXP(-LN(2)/25))/(LN(2)/25)*Calculateur!DB195*Calculateur!DD195*VLOOKUP('Données projet'!$B$13,Paramètres!$A$1:$I$89,3,0)*0.475*44/12</f>
        <v>0</v>
      </c>
      <c r="DH195" s="21">
        <f>EXP(-LN(2)/2)*DH194+(1-EXP(-LN(2)/2))/(LN(2)/2)*DB195*DE195*VLOOKUP('Données projet'!$B$13,Paramètres!$A$1:$I$89,3,0)*0.475*44/12</f>
        <v>0</v>
      </c>
      <c r="DI195" s="22">
        <f t="shared" si="175"/>
        <v>87.068131782625997</v>
      </c>
      <c r="DJ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2">
        <f>'Scénario référence'!$B$16*5+'Scénario référence'!$B$17*0+'Scénario référence'!$B$18*5</f>
        <v>5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66">
        <f t="shared" ref="H196:H203" si="192">(B196+E196+F196)*44/12+(C196+D196)*0.475*44/12</f>
        <v>183.33333333333334</v>
      </c>
      <c r="I196" s="6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19.8100000000004</v>
      </c>
      <c r="O196" s="13">
        <f>N196*VLOOKUP('Données projet'!$B$9,Paramètres!$A$1:$I$89,3,0)*VLOOKUP('Données projet'!$B$9,Paramètres!$A$1:$I$89,5,0)</f>
        <v>17.924088000000364</v>
      </c>
      <c r="P196" s="13">
        <f t="shared" si="141"/>
        <v>5.9032212091029486</v>
      </c>
      <c r="Q196" s="20">
        <f t="shared" si="162"/>
        <v>41.499230205854936</v>
      </c>
      <c r="R196" s="59">
        <f t="shared" si="191"/>
        <v>331.70373455216344</v>
      </c>
      <c r="S196" s="59">
        <f ca="1">AVERAGE(OFFSET($R$3,0,0,'Données projet'!$E$9+1,1))-AVERAGE(OFFSET($H$3,0,0,'Données projet'!$E$9+1,1))</f>
        <v>567.42635821507474</v>
      </c>
      <c r="T196" s="59">
        <f t="shared" si="142"/>
        <v>299.04735309930152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81.162707734946665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81.162707734946665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404.00000000000017</v>
      </c>
      <c r="AJ196" s="13">
        <f>AI196*VLOOKUP('Données projet'!$B$10,Paramètres!$A$1:$I$89,3,0)*VLOOKUP('Données projet'!$B$10,Paramètres!$A$1:$I$89,5,0)</f>
        <v>346.63200000000018</v>
      </c>
      <c r="AK196" s="13">
        <f t="shared" si="164"/>
        <v>80.868615263336864</v>
      </c>
      <c r="AL196" s="20">
        <f t="shared" si="165"/>
        <v>744.56357158364528</v>
      </c>
      <c r="AM196" s="59">
        <f t="shared" ref="AM196:AM203" si="193">AL196+(AD196+AE196)*44/12</f>
        <v>1034.7680759299537</v>
      </c>
      <c r="AN196" s="59">
        <f ca="1">AVERAGE(OFFSET($AM$3,0,0,'Données projet'!$E$10+1,1))-AVERAGE(OFFSET($H$3,0,0,'Données projet'!$E$10+1,1))</f>
        <v>481.23392184981651</v>
      </c>
      <c r="AO196" s="59">
        <f t="shared" si="144"/>
        <v>275.88160405468193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23.547514100840434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23.547514100840434</v>
      </c>
      <c r="AY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328.00000000000006</v>
      </c>
      <c r="BE196" s="13">
        <f>BD196*VLOOKUP('Données projet'!$B$11,Paramètres!$A$1:$I$89,3,0)*VLOOKUP('Données projet'!$B$11,Paramètres!$A$1:$I$89,5,0)</f>
        <v>255.84000000000006</v>
      </c>
      <c r="BF196" s="13">
        <f t="shared" si="167"/>
        <v>61.834803371075836</v>
      </c>
      <c r="BG196" s="20">
        <f t="shared" si="168"/>
        <v>553.28361587129041</v>
      </c>
      <c r="BH196" s="59">
        <f t="shared" ref="BH196:BH203" si="194">BG196+(AY196+AZ196)*44/12</f>
        <v>843.48812021759886</v>
      </c>
      <c r="BI196" s="59">
        <f ca="1">AVERAGE(OFFSET($BH$3,0,0,'Données projet'!$E$11+1,1))-AVERAGE(OFFSET($H$3,0,0,'Données projet'!$E$11+1,1))</f>
        <v>308.85018589589453</v>
      </c>
      <c r="BJ196" s="59">
        <f t="shared" si="146"/>
        <v>302.59481222418219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4.3226850556477512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4.3226850556477512</v>
      </c>
      <c r="BT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19.8100000000004</v>
      </c>
      <c r="BZ196" s="13">
        <f>BY196*VLOOKUP('Données projet'!$B$12,Paramètres!$A$1:$I$89,3,0)*VLOOKUP('Données projet'!$B$12,Paramètres!$A$1:$I$89,5,0)</f>
        <v>19.160232000000388</v>
      </c>
      <c r="CA196" s="13">
        <f t="shared" si="170"/>
        <v>6.2615431735370342</v>
      </c>
      <c r="CB196" s="20">
        <f t="shared" si="171"/>
        <v>44.27625842724435</v>
      </c>
      <c r="CC196" s="59">
        <f t="shared" ref="CC196:CC203" si="195">CB196+(BT196+BU196)*44/12</f>
        <v>334.48076277355284</v>
      </c>
      <c r="CD196" s="59">
        <f ca="1">AVERAGE(OFFSET($CC$3,0,0,'Données projet'!$E$12+1,1))-AVERAGE(OFFSET($H$3,0,0,'Données projet'!$E$12+1,1))</f>
        <v>600.96600099724276</v>
      </c>
      <c r="CE196" s="59">
        <f t="shared" si="148"/>
        <v>315.40159260706264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86.760135854598118</v>
      </c>
      <c r="CL196" s="21">
        <f>EXP(-LN(2)/25)*CL195+(1-EXP(-LN(2)/25))/(LN(2)/25)*Calculateur!CG196*Calculateur!CI196*VLOOKUP('Données projet'!$B$12,Paramètres!$A$1:$I$89,3,0)*0.475*44/12</f>
        <v>0</v>
      </c>
      <c r="CM196" s="21">
        <f>EXP(-LN(2)/2)*CM195+(1-EXP(-LN(2)/2))/(LN(2)/2)*CG196*CJ196*VLOOKUP('Données projet'!$B$12,Paramètres!$A$1:$I$89,3,0)*0.475*44/12</f>
        <v>0</v>
      </c>
      <c r="CN196" s="22">
        <f t="shared" si="172"/>
        <v>86.760135854598118</v>
      </c>
      <c r="CO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19.8100000000004</v>
      </c>
      <c r="CU196" s="17">
        <f>CT196*VLOOKUP('Données projet'!$B$13,Paramètres!$A$1:$I$89,3,0)*VLOOKUP('Données projet'!$B$13,Paramètres!$A$1:$I$89,5,0)</f>
        <v>18.851196000000382</v>
      </c>
      <c r="CV196" s="13">
        <f t="shared" si="173"/>
        <v>6.172221809210666</v>
      </c>
      <c r="CW196" s="20">
        <f t="shared" si="174"/>
        <v>43.582452684375909</v>
      </c>
      <c r="CX196" s="59">
        <f t="shared" ref="CX196:CX203" si="196">CW196+(CO196+CP196)*44/12</f>
        <v>333.78695703068445</v>
      </c>
      <c r="CY196" s="59">
        <f ca="1">AVERAGE(OFFSET($CX$3,0,0,'Données projet'!$E$13+1,1))-AVERAGE(OFFSET($H$3,0,0,'Données projet'!$E$13+1,1))</f>
        <v>592.58528889137358</v>
      </c>
      <c r="CZ196" s="59">
        <f t="shared" si="150"/>
        <v>311.31528020403709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85.360778824685269</v>
      </c>
      <c r="DG196" s="21">
        <f>EXP(-LN(2)/25)*DG195+(1-EXP(-LN(2)/25))/(LN(2)/25)*Calculateur!DB196*Calculateur!DD196*VLOOKUP('Données projet'!$B$13,Paramètres!$A$1:$I$89,3,0)*0.475*44/12</f>
        <v>0</v>
      </c>
      <c r="DH196" s="21">
        <f>EXP(-LN(2)/2)*DH195+(1-EXP(-LN(2)/2))/(LN(2)/2)*DB196*DE196*VLOOKUP('Données projet'!$B$13,Paramètres!$A$1:$I$89,3,0)*0.475*44/12</f>
        <v>0</v>
      </c>
      <c r="DI196" s="22">
        <f t="shared" si="175"/>
        <v>85.360778824685269</v>
      </c>
      <c r="DJ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2">
        <f>'Scénario référence'!$B$16*5+'Scénario référence'!$B$17*0+'Scénario référence'!$B$18*5</f>
        <v>5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66">
        <f t="shared" si="192"/>
        <v>183.33333333333334</v>
      </c>
      <c r="I197" s="6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19.8100000000004</v>
      </c>
      <c r="O197" s="13">
        <f>N197*VLOOKUP('Données projet'!$B$9,Paramètres!$A$1:$I$89,3,0)*VLOOKUP('Données projet'!$B$9,Paramètres!$A$1:$I$89,5,0)</f>
        <v>17.924088000000364</v>
      </c>
      <c r="P197" s="13">
        <f t="shared" ref="P197:P203" si="203">EXP(-1.0587+0.8836*LN(O197)+0.284)</f>
        <v>5.9032212091029486</v>
      </c>
      <c r="Q197" s="20">
        <f t="shared" si="162"/>
        <v>41.499230205854936</v>
      </c>
      <c r="R197" s="59">
        <f t="shared" si="191"/>
        <v>331.75801274007466</v>
      </c>
      <c r="S197" s="59">
        <f ca="1">AVERAGE(OFFSET($R$3,0,0,'Données projet'!$E$9+1,1))-AVERAGE(OFFSET($H$3,0,0,'Données projet'!$E$9+1,1))</f>
        <v>567.42635821507474</v>
      </c>
      <c r="T197" s="59">
        <f t="shared" ref="T197:T203" si="204">$T$3</f>
        <v>299.04735309930152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79.571156540627925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79.571156540627925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404.00000000000017</v>
      </c>
      <c r="AJ197" s="13">
        <f>AI197*VLOOKUP('Données projet'!$B$10,Paramètres!$A$1:$I$89,3,0)*VLOOKUP('Données projet'!$B$10,Paramètres!$A$1:$I$89,5,0)</f>
        <v>346.63200000000018</v>
      </c>
      <c r="AK197" s="13">
        <f t="shared" si="164"/>
        <v>80.868615263336864</v>
      </c>
      <c r="AL197" s="20">
        <f t="shared" si="165"/>
        <v>744.56357158364528</v>
      </c>
      <c r="AM197" s="59">
        <f t="shared" si="193"/>
        <v>1034.822354117865</v>
      </c>
      <c r="AN197" s="59">
        <f ca="1">AVERAGE(OFFSET($AM$3,0,0,'Données projet'!$E$10+1,1))-AVERAGE(OFFSET($H$3,0,0,'Données projet'!$E$10+1,1))</f>
        <v>481.23392184981651</v>
      </c>
      <c r="AO197" s="59">
        <f t="shared" ref="AO197:AO203" si="205">$AO$3</f>
        <v>275.88160405468193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23.08576171188837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23.08576171188837</v>
      </c>
      <c r="AY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328.00000000000006</v>
      </c>
      <c r="BE197" s="13">
        <f>BD197*VLOOKUP('Données projet'!$B$11,Paramètres!$A$1:$I$89,3,0)*VLOOKUP('Données projet'!$B$11,Paramètres!$A$1:$I$89,5,0)</f>
        <v>255.84000000000006</v>
      </c>
      <c r="BF197" s="13">
        <f t="shared" si="167"/>
        <v>61.834803371075836</v>
      </c>
      <c r="BG197" s="20">
        <f t="shared" si="168"/>
        <v>553.28361587129041</v>
      </c>
      <c r="BH197" s="59">
        <f t="shared" si="194"/>
        <v>843.54239840551008</v>
      </c>
      <c r="BI197" s="59">
        <f ca="1">AVERAGE(OFFSET($BH$3,0,0,'Données projet'!$E$11+1,1))-AVERAGE(OFFSET($H$3,0,0,'Données projet'!$E$11+1,1))</f>
        <v>308.85018589589453</v>
      </c>
      <c r="BJ197" s="59">
        <f t="shared" ref="BJ197:BJ203" si="206">$BJ$3</f>
        <v>302.59481222418219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4.237919838284042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4.237919838284042</v>
      </c>
      <c r="BT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19.8100000000004</v>
      </c>
      <c r="BZ197" s="13">
        <f>BY197*VLOOKUP('Données projet'!$B$12,Paramètres!$A$1:$I$89,3,0)*VLOOKUP('Données projet'!$B$12,Paramètres!$A$1:$I$89,5,0)</f>
        <v>19.160232000000388</v>
      </c>
      <c r="CA197" s="13">
        <f t="shared" si="170"/>
        <v>6.2615431735370342</v>
      </c>
      <c r="CB197" s="20">
        <f t="shared" si="171"/>
        <v>44.27625842724435</v>
      </c>
      <c r="CC197" s="59">
        <f t="shared" si="195"/>
        <v>334.53504096146406</v>
      </c>
      <c r="CD197" s="59">
        <f ca="1">AVERAGE(OFFSET($CC$3,0,0,'Données projet'!$E$12+1,1))-AVERAGE(OFFSET($H$3,0,0,'Données projet'!$E$12+1,1))</f>
        <v>600.96600099724276</v>
      </c>
      <c r="CE197" s="59">
        <f t="shared" ref="CE197:CE203" si="207">$CE$3</f>
        <v>315.40159260706264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85.05882250894706</v>
      </c>
      <c r="CL197" s="21">
        <f>EXP(-LN(2)/25)*CL196+(1-EXP(-LN(2)/25))/(LN(2)/25)*Calculateur!CG197*Calculateur!CI197*VLOOKUP('Données projet'!$B$12,Paramètres!$A$1:$I$89,3,0)*0.475*44/12</f>
        <v>0</v>
      </c>
      <c r="CM197" s="21">
        <f>EXP(-LN(2)/2)*CM196+(1-EXP(-LN(2)/2))/(LN(2)/2)*CG197*CJ197*VLOOKUP('Données projet'!$B$12,Paramètres!$A$1:$I$89,3,0)*0.475*44/12</f>
        <v>0</v>
      </c>
      <c r="CN197" s="22">
        <f t="shared" si="172"/>
        <v>85.05882250894706</v>
      </c>
      <c r="CO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19.8100000000004</v>
      </c>
      <c r="CU197" s="17">
        <f>CT197*VLOOKUP('Données projet'!$B$13,Paramètres!$A$1:$I$89,3,0)*VLOOKUP('Données projet'!$B$13,Paramètres!$A$1:$I$89,5,0)</f>
        <v>18.851196000000382</v>
      </c>
      <c r="CV197" s="13">
        <f t="shared" si="173"/>
        <v>6.172221809210666</v>
      </c>
      <c r="CW197" s="20">
        <f t="shared" si="174"/>
        <v>43.582452684375909</v>
      </c>
      <c r="CX197" s="59">
        <f t="shared" si="196"/>
        <v>333.84123521859567</v>
      </c>
      <c r="CY197" s="59">
        <f ca="1">AVERAGE(OFFSET($CX$3,0,0,'Données projet'!$E$13+1,1))-AVERAGE(OFFSET($H$3,0,0,'Données projet'!$E$13+1,1))</f>
        <v>592.58528889137358</v>
      </c>
      <c r="CZ197" s="59">
        <f t="shared" ref="CZ197:CZ203" si="208">$CZ$3</f>
        <v>311.31528020403709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83.686906016867283</v>
      </c>
      <c r="DG197" s="21">
        <f>EXP(-LN(2)/25)*DG196+(1-EXP(-LN(2)/25))/(LN(2)/25)*Calculateur!DB197*Calculateur!DD197*VLOOKUP('Données projet'!$B$13,Paramètres!$A$1:$I$89,3,0)*0.475*44/12</f>
        <v>0</v>
      </c>
      <c r="DH197" s="21">
        <f>EXP(-LN(2)/2)*DH196+(1-EXP(-LN(2)/2))/(LN(2)/2)*DB197*DE197*VLOOKUP('Données projet'!$B$13,Paramètres!$A$1:$I$89,3,0)*0.475*44/12</f>
        <v>0</v>
      </c>
      <c r="DI197" s="22">
        <f t="shared" si="175"/>
        <v>83.686906016867283</v>
      </c>
      <c r="DJ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2">
        <f>'Scénario référence'!$B$16*5+'Scénario référence'!$B$17*0+'Scénario référence'!$B$18*5</f>
        <v>5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66">
        <f t="shared" si="192"/>
        <v>183.33333333333334</v>
      </c>
      <c r="I198" s="6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19.8100000000004</v>
      </c>
      <c r="O198" s="13">
        <f>N198*VLOOKUP('Données projet'!$B$9,Paramètres!$A$1:$I$89,3,0)*VLOOKUP('Données projet'!$B$9,Paramètres!$A$1:$I$89,5,0)</f>
        <v>17.924088000000364</v>
      </c>
      <c r="P198" s="13">
        <f t="shared" si="203"/>
        <v>5.9032212091029486</v>
      </c>
      <c r="Q198" s="20">
        <f t="shared" si="162"/>
        <v>41.499230205854936</v>
      </c>
      <c r="R198" s="59">
        <f t="shared" si="191"/>
        <v>331.81134932277342</v>
      </c>
      <c r="S198" s="59">
        <f ca="1">AVERAGE(OFFSET($R$3,0,0,'Données projet'!$E$9+1,1))-AVERAGE(OFFSET($H$3,0,0,'Données projet'!$E$9+1,1))</f>
        <v>567.42635821507474</v>
      </c>
      <c r="T198" s="59">
        <f t="shared" si="204"/>
        <v>299.04735309930152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78.010814694479407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78.010814694479407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404.00000000000017</v>
      </c>
      <c r="AJ198" s="13">
        <f>AI198*VLOOKUP('Données projet'!$B$10,Paramètres!$A$1:$I$89,3,0)*VLOOKUP('Données projet'!$B$10,Paramètres!$A$1:$I$89,5,0)</f>
        <v>346.63200000000018</v>
      </c>
      <c r="AK198" s="13">
        <f t="shared" si="164"/>
        <v>80.868615263336864</v>
      </c>
      <c r="AL198" s="20">
        <f t="shared" si="165"/>
        <v>744.56357158364528</v>
      </c>
      <c r="AM198" s="59">
        <f t="shared" si="193"/>
        <v>1034.8756907005638</v>
      </c>
      <c r="AN198" s="59">
        <f ca="1">AVERAGE(OFFSET($AM$3,0,0,'Données projet'!$E$10+1,1))-AVERAGE(OFFSET($H$3,0,0,'Données projet'!$E$10+1,1))</f>
        <v>481.23392184981651</v>
      </c>
      <c r="AO198" s="59">
        <f t="shared" si="205"/>
        <v>275.88160405468193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22.633064005642506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22.633064005642506</v>
      </c>
      <c r="AY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328.00000000000006</v>
      </c>
      <c r="BE198" s="13">
        <f>BD198*VLOOKUP('Données projet'!$B$11,Paramètres!$A$1:$I$89,3,0)*VLOOKUP('Données projet'!$B$11,Paramètres!$A$1:$I$89,5,0)</f>
        <v>255.84000000000006</v>
      </c>
      <c r="BF198" s="13">
        <f t="shared" si="167"/>
        <v>61.834803371075836</v>
      </c>
      <c r="BG198" s="20">
        <f t="shared" si="168"/>
        <v>553.28361587129041</v>
      </c>
      <c r="BH198" s="59">
        <f t="shared" si="194"/>
        <v>843.59573498820896</v>
      </c>
      <c r="BI198" s="59">
        <f ca="1">AVERAGE(OFFSET($BH$3,0,0,'Données projet'!$E$11+1,1))-AVERAGE(OFFSET($H$3,0,0,'Données projet'!$E$11+1,1))</f>
        <v>308.85018589589453</v>
      </c>
      <c r="BJ198" s="59">
        <f t="shared" si="206"/>
        <v>302.59481222418219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4.1548168151311575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4.1548168151311575</v>
      </c>
      <c r="BT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19.8100000000004</v>
      </c>
      <c r="BZ198" s="13">
        <f>BY198*VLOOKUP('Données projet'!$B$12,Paramètres!$A$1:$I$89,3,0)*VLOOKUP('Données projet'!$B$12,Paramètres!$A$1:$I$89,5,0)</f>
        <v>19.160232000000388</v>
      </c>
      <c r="CA198" s="13">
        <f t="shared" si="170"/>
        <v>6.2615431735370342</v>
      </c>
      <c r="CB198" s="20">
        <f t="shared" si="171"/>
        <v>44.27625842724435</v>
      </c>
      <c r="CC198" s="59">
        <f t="shared" si="195"/>
        <v>334.58837754416282</v>
      </c>
      <c r="CD198" s="59">
        <f ca="1">AVERAGE(OFFSET($CC$3,0,0,'Données projet'!$E$12+1,1))-AVERAGE(OFFSET($H$3,0,0,'Données projet'!$E$12+1,1))</f>
        <v>600.96600099724276</v>
      </c>
      <c r="CE198" s="59">
        <f t="shared" si="207"/>
        <v>315.40159260706264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83.390870880305542</v>
      </c>
      <c r="CL198" s="21">
        <f>EXP(-LN(2)/25)*CL197+(1-EXP(-LN(2)/25))/(LN(2)/25)*Calculateur!CG198*Calculateur!CI198*VLOOKUP('Données projet'!$B$12,Paramètres!$A$1:$I$89,3,0)*0.475*44/12</f>
        <v>0</v>
      </c>
      <c r="CM198" s="21">
        <f>EXP(-LN(2)/2)*CM197+(1-EXP(-LN(2)/2))/(LN(2)/2)*CG198*CJ198*VLOOKUP('Données projet'!$B$12,Paramètres!$A$1:$I$89,3,0)*0.475*44/12</f>
        <v>0</v>
      </c>
      <c r="CN198" s="22">
        <f t="shared" si="172"/>
        <v>83.390870880305542</v>
      </c>
      <c r="CO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19.8100000000004</v>
      </c>
      <c r="CU198" s="17">
        <f>CT198*VLOOKUP('Données projet'!$B$13,Paramètres!$A$1:$I$89,3,0)*VLOOKUP('Données projet'!$B$13,Paramètres!$A$1:$I$89,5,0)</f>
        <v>18.851196000000382</v>
      </c>
      <c r="CV198" s="13">
        <f t="shared" si="173"/>
        <v>6.172221809210666</v>
      </c>
      <c r="CW198" s="20">
        <f t="shared" si="174"/>
        <v>43.582452684375909</v>
      </c>
      <c r="CX198" s="59">
        <f t="shared" si="196"/>
        <v>333.89457180129443</v>
      </c>
      <c r="CY198" s="59">
        <f ca="1">AVERAGE(OFFSET($CX$3,0,0,'Données projet'!$E$13+1,1))-AVERAGE(OFFSET($H$3,0,0,'Données projet'!$E$13+1,1))</f>
        <v>592.58528889137358</v>
      </c>
      <c r="CZ198" s="59">
        <f t="shared" si="208"/>
        <v>311.31528020403709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82.045856833849015</v>
      </c>
      <c r="DG198" s="21">
        <f>EXP(-LN(2)/25)*DG197+(1-EXP(-LN(2)/25))/(LN(2)/25)*Calculateur!DB198*Calculateur!DD198*VLOOKUP('Données projet'!$B$13,Paramètres!$A$1:$I$89,3,0)*0.475*44/12</f>
        <v>0</v>
      </c>
      <c r="DH198" s="21">
        <f>EXP(-LN(2)/2)*DH197+(1-EXP(-LN(2)/2))/(LN(2)/2)*DB198*DE198*VLOOKUP('Données projet'!$B$13,Paramètres!$A$1:$I$89,3,0)*0.475*44/12</f>
        <v>0</v>
      </c>
      <c r="DI198" s="22">
        <f t="shared" si="175"/>
        <v>82.045856833849015</v>
      </c>
      <c r="DJ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2">
        <f>'Scénario référence'!$B$16*5+'Scénario référence'!$B$17*0+'Scénario référence'!$B$18*5</f>
        <v>5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66">
        <f t="shared" si="192"/>
        <v>183.33333333333334</v>
      </c>
      <c r="I199" s="6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19.8100000000004</v>
      </c>
      <c r="O199" s="13">
        <f>N199*VLOOKUP('Données projet'!$B$9,Paramètres!$A$1:$I$89,3,0)*VLOOKUP('Données projet'!$B$9,Paramètres!$A$1:$I$89,5,0)</f>
        <v>17.924088000000364</v>
      </c>
      <c r="P199" s="13">
        <f t="shared" si="203"/>
        <v>5.9032212091029486</v>
      </c>
      <c r="Q199" s="20">
        <f t="shared" si="162"/>
        <v>41.499230205854936</v>
      </c>
      <c r="R199" s="59">
        <f t="shared" si="191"/>
        <v>331.86376063500512</v>
      </c>
      <c r="S199" s="59">
        <f ca="1">AVERAGE(OFFSET($R$3,0,0,'Données projet'!$E$9+1,1))-AVERAGE(OFFSET($H$3,0,0,'Données projet'!$E$9+1,1))</f>
        <v>567.42635821507474</v>
      </c>
      <c r="T199" s="59">
        <f t="shared" si="204"/>
        <v>299.04735309930152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76.481070200219307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76.481070200219307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404.00000000000017</v>
      </c>
      <c r="AJ199" s="13">
        <f>AI199*VLOOKUP('Données projet'!$B$10,Paramètres!$A$1:$I$89,3,0)*VLOOKUP('Données projet'!$B$10,Paramètres!$A$1:$I$89,5,0)</f>
        <v>346.63200000000018</v>
      </c>
      <c r="AK199" s="13">
        <f t="shared" si="164"/>
        <v>80.868615263336864</v>
      </c>
      <c r="AL199" s="20">
        <f t="shared" si="165"/>
        <v>744.56357158364528</v>
      </c>
      <c r="AM199" s="59">
        <f t="shared" si="193"/>
        <v>1034.9281020127955</v>
      </c>
      <c r="AN199" s="59">
        <f ca="1">AVERAGE(OFFSET($AM$3,0,0,'Données projet'!$E$10+1,1))-AVERAGE(OFFSET($H$3,0,0,'Données projet'!$E$10+1,1))</f>
        <v>481.23392184981651</v>
      </c>
      <c r="AO199" s="59">
        <f t="shared" si="205"/>
        <v>275.88160405468193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22.189243425297789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22.189243425297789</v>
      </c>
      <c r="AY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328.00000000000006</v>
      </c>
      <c r="BE199" s="13">
        <f>BD199*VLOOKUP('Données projet'!$B$11,Paramètres!$A$1:$I$89,3,0)*VLOOKUP('Données projet'!$B$11,Paramètres!$A$1:$I$89,5,0)</f>
        <v>255.84000000000006</v>
      </c>
      <c r="BF199" s="13">
        <f t="shared" si="167"/>
        <v>61.834803371075836</v>
      </c>
      <c r="BG199" s="20">
        <f t="shared" si="168"/>
        <v>553.28361587129041</v>
      </c>
      <c r="BH199" s="59">
        <f t="shared" si="194"/>
        <v>843.64814630044066</v>
      </c>
      <c r="BI199" s="59">
        <f ca="1">AVERAGE(OFFSET($BH$3,0,0,'Données projet'!$E$11+1,1))-AVERAGE(OFFSET($H$3,0,0,'Données projet'!$E$11+1,1))</f>
        <v>308.85018589589453</v>
      </c>
      <c r="BJ199" s="59">
        <f t="shared" si="206"/>
        <v>302.59481222418219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4.0733433915744621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4.0733433915744621</v>
      </c>
      <c r="BT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19.8100000000004</v>
      </c>
      <c r="BZ199" s="13">
        <f>BY199*VLOOKUP('Données projet'!$B$12,Paramètres!$A$1:$I$89,3,0)*VLOOKUP('Données projet'!$B$12,Paramètres!$A$1:$I$89,5,0)</f>
        <v>19.160232000000388</v>
      </c>
      <c r="CA199" s="13">
        <f t="shared" si="170"/>
        <v>6.2615431735370342</v>
      </c>
      <c r="CB199" s="20">
        <f t="shared" si="171"/>
        <v>44.27625842724435</v>
      </c>
      <c r="CC199" s="59">
        <f t="shared" si="195"/>
        <v>334.64078885639452</v>
      </c>
      <c r="CD199" s="59">
        <f ca="1">AVERAGE(OFFSET($CC$3,0,0,'Données projet'!$E$12+1,1))-AVERAGE(OFFSET($H$3,0,0,'Données projet'!$E$12+1,1))</f>
        <v>600.96600099724276</v>
      </c>
      <c r="CE199" s="59">
        <f t="shared" si="207"/>
        <v>315.40159260706264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81.755626765751643</v>
      </c>
      <c r="CL199" s="21">
        <f>EXP(-LN(2)/25)*CL198+(1-EXP(-LN(2)/25))/(LN(2)/25)*Calculateur!CG199*Calculateur!CI199*VLOOKUP('Données projet'!$B$12,Paramètres!$A$1:$I$89,3,0)*0.475*44/12</f>
        <v>0</v>
      </c>
      <c r="CM199" s="21">
        <f>EXP(-LN(2)/2)*CM198+(1-EXP(-LN(2)/2))/(LN(2)/2)*CG199*CJ199*VLOOKUP('Données projet'!$B$12,Paramètres!$A$1:$I$89,3,0)*0.475*44/12</f>
        <v>0</v>
      </c>
      <c r="CN199" s="22">
        <f t="shared" si="172"/>
        <v>81.755626765751643</v>
      </c>
      <c r="CO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19.8100000000004</v>
      </c>
      <c r="CU199" s="17">
        <f>CT199*VLOOKUP('Données projet'!$B$13,Paramètres!$A$1:$I$89,3,0)*VLOOKUP('Données projet'!$B$13,Paramètres!$A$1:$I$89,5,0)</f>
        <v>18.851196000000382</v>
      </c>
      <c r="CV199" s="13">
        <f t="shared" si="173"/>
        <v>6.172221809210666</v>
      </c>
      <c r="CW199" s="20">
        <f t="shared" si="174"/>
        <v>43.582452684375909</v>
      </c>
      <c r="CX199" s="59">
        <f t="shared" si="196"/>
        <v>333.94698311352613</v>
      </c>
      <c r="CY199" s="59">
        <f ca="1">AVERAGE(OFFSET($CX$3,0,0,'Données projet'!$E$13+1,1))-AVERAGE(OFFSET($H$3,0,0,'Données projet'!$E$13+1,1))</f>
        <v>592.58528889137358</v>
      </c>
      <c r="CZ199" s="59">
        <f t="shared" si="208"/>
        <v>311.31528020403709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80.43698762436857</v>
      </c>
      <c r="DG199" s="21">
        <f>EXP(-LN(2)/25)*DG198+(1-EXP(-LN(2)/25))/(LN(2)/25)*Calculateur!DB199*Calculateur!DD199*VLOOKUP('Données projet'!$B$13,Paramètres!$A$1:$I$89,3,0)*0.475*44/12</f>
        <v>0</v>
      </c>
      <c r="DH199" s="21">
        <f>EXP(-LN(2)/2)*DH198+(1-EXP(-LN(2)/2))/(LN(2)/2)*DB199*DE199*VLOOKUP('Données projet'!$B$13,Paramètres!$A$1:$I$89,3,0)*0.475*44/12</f>
        <v>0</v>
      </c>
      <c r="DI199" s="22">
        <f t="shared" si="175"/>
        <v>80.43698762436857</v>
      </c>
      <c r="DJ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2">
        <f>'Scénario référence'!$B$16*5+'Scénario référence'!$B$17*0+'Scénario référence'!$B$18*5</f>
        <v>5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66">
        <f t="shared" si="192"/>
        <v>183.33333333333334</v>
      </c>
      <c r="I200" s="6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19.8100000000004</v>
      </c>
      <c r="O200" s="13">
        <f>N200*VLOOKUP('Données projet'!$B$9,Paramètres!$A$1:$I$89,3,0)*VLOOKUP('Données projet'!$B$9,Paramètres!$A$1:$I$89,5,0)</f>
        <v>17.924088000000364</v>
      </c>
      <c r="P200" s="13">
        <f t="shared" si="203"/>
        <v>5.9032212091029486</v>
      </c>
      <c r="Q200" s="20">
        <f t="shared" si="162"/>
        <v>41.499230205854936</v>
      </c>
      <c r="R200" s="59">
        <f t="shared" si="191"/>
        <v>331.91526272814372</v>
      </c>
      <c r="S200" s="59">
        <f ca="1">AVERAGE(OFFSET($R$3,0,0,'Données projet'!$E$9+1,1))-AVERAGE(OFFSET($H$3,0,0,'Données projet'!$E$9+1,1))</f>
        <v>567.42635821507474</v>
      </c>
      <c r="T200" s="59">
        <f t="shared" si="204"/>
        <v>299.04735309930152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74.981323062439643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74.981323062439643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404.00000000000017</v>
      </c>
      <c r="AJ200" s="13">
        <f>AI200*VLOOKUP('Données projet'!$B$10,Paramètres!$A$1:$I$89,3,0)*VLOOKUP('Données projet'!$B$10,Paramètres!$A$1:$I$89,5,0)</f>
        <v>346.63200000000018</v>
      </c>
      <c r="AK200" s="13">
        <f t="shared" si="164"/>
        <v>80.868615263336864</v>
      </c>
      <c r="AL200" s="20">
        <f t="shared" si="165"/>
        <v>744.56357158364528</v>
      </c>
      <c r="AM200" s="59">
        <f t="shared" si="193"/>
        <v>1034.979604105934</v>
      </c>
      <c r="AN200" s="59">
        <f ca="1">AVERAGE(OFFSET($AM$3,0,0,'Données projet'!$E$10+1,1))-AVERAGE(OFFSET($H$3,0,0,'Données projet'!$E$10+1,1))</f>
        <v>481.23392184981651</v>
      </c>
      <c r="AO200" s="59">
        <f t="shared" si="205"/>
        <v>275.88160405468193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21.754125895829809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21.754125895829809</v>
      </c>
      <c r="AY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328.00000000000006</v>
      </c>
      <c r="BE200" s="13">
        <f>BD200*VLOOKUP('Données projet'!$B$11,Paramètres!$A$1:$I$89,3,0)*VLOOKUP('Données projet'!$B$11,Paramètres!$A$1:$I$89,5,0)</f>
        <v>255.84000000000006</v>
      </c>
      <c r="BF200" s="13">
        <f t="shared" si="167"/>
        <v>61.834803371075836</v>
      </c>
      <c r="BG200" s="20">
        <f t="shared" si="168"/>
        <v>553.28361587129041</v>
      </c>
      <c r="BH200" s="59">
        <f t="shared" si="194"/>
        <v>843.6996483935792</v>
      </c>
      <c r="BI200" s="59">
        <f ca="1">AVERAGE(OFFSET($BH$3,0,0,'Données projet'!$E$11+1,1))-AVERAGE(OFFSET($H$3,0,0,'Données projet'!$E$11+1,1))</f>
        <v>308.85018589589453</v>
      </c>
      <c r="BJ200" s="59">
        <f t="shared" si="206"/>
        <v>302.59481222418219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3.9934676121598325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3.9934676121598325</v>
      </c>
      <c r="BT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19.8100000000004</v>
      </c>
      <c r="BZ200" s="13">
        <f>BY200*VLOOKUP('Données projet'!$B$12,Paramètres!$A$1:$I$89,3,0)*VLOOKUP('Données projet'!$B$12,Paramètres!$A$1:$I$89,5,0)</f>
        <v>19.160232000000388</v>
      </c>
      <c r="CA200" s="13">
        <f t="shared" si="170"/>
        <v>6.2615431735370342</v>
      </c>
      <c r="CB200" s="20">
        <f t="shared" si="171"/>
        <v>44.27625842724435</v>
      </c>
      <c r="CC200" s="59">
        <f t="shared" si="195"/>
        <v>334.69229094953312</v>
      </c>
      <c r="CD200" s="59">
        <f ca="1">AVERAGE(OFFSET($CC$3,0,0,'Données projet'!$E$12+1,1))-AVERAGE(OFFSET($H$3,0,0,'Données projet'!$E$12+1,1))</f>
        <v>600.96600099724276</v>
      </c>
      <c r="CE200" s="59">
        <f t="shared" si="207"/>
        <v>315.40159260706264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80.152448790883724</v>
      </c>
      <c r="CL200" s="21">
        <f>EXP(-LN(2)/25)*CL199+(1-EXP(-LN(2)/25))/(LN(2)/25)*Calculateur!CG200*Calculateur!CI200*VLOOKUP('Données projet'!$B$12,Paramètres!$A$1:$I$89,3,0)*0.475*44/12</f>
        <v>0</v>
      </c>
      <c r="CM200" s="21">
        <f>EXP(-LN(2)/2)*CM199+(1-EXP(-LN(2)/2))/(LN(2)/2)*CG200*CJ200*VLOOKUP('Données projet'!$B$12,Paramètres!$A$1:$I$89,3,0)*0.475*44/12</f>
        <v>0</v>
      </c>
      <c r="CN200" s="22">
        <f t="shared" si="172"/>
        <v>80.152448790883724</v>
      </c>
      <c r="CO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19.8100000000004</v>
      </c>
      <c r="CU200" s="17">
        <f>CT200*VLOOKUP('Données projet'!$B$13,Paramètres!$A$1:$I$89,3,0)*VLOOKUP('Données projet'!$B$13,Paramètres!$A$1:$I$89,5,0)</f>
        <v>18.851196000000382</v>
      </c>
      <c r="CV200" s="13">
        <f t="shared" si="173"/>
        <v>6.172221809210666</v>
      </c>
      <c r="CW200" s="20">
        <f t="shared" si="174"/>
        <v>43.582452684375909</v>
      </c>
      <c r="CX200" s="59">
        <f t="shared" si="196"/>
        <v>333.99848520666467</v>
      </c>
      <c r="CY200" s="59">
        <f ca="1">AVERAGE(OFFSET($CX$3,0,0,'Données projet'!$E$13+1,1))-AVERAGE(OFFSET($H$3,0,0,'Données projet'!$E$13+1,1))</f>
        <v>592.58528889137358</v>
      </c>
      <c r="CZ200" s="59">
        <f t="shared" si="208"/>
        <v>311.31528020403709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78.859667358772711</v>
      </c>
      <c r="DG200" s="21">
        <f>EXP(-LN(2)/25)*DG199+(1-EXP(-LN(2)/25))/(LN(2)/25)*Calculateur!DB200*Calculateur!DD200*VLOOKUP('Données projet'!$B$13,Paramètres!$A$1:$I$89,3,0)*0.475*44/12</f>
        <v>0</v>
      </c>
      <c r="DH200" s="21">
        <f>EXP(-LN(2)/2)*DH199+(1-EXP(-LN(2)/2))/(LN(2)/2)*DB200*DE200*VLOOKUP('Données projet'!$B$13,Paramètres!$A$1:$I$89,3,0)*0.475*44/12</f>
        <v>0</v>
      </c>
      <c r="DI200" s="22">
        <f t="shared" si="175"/>
        <v>78.859667358772711</v>
      </c>
      <c r="DJ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2">
        <f>'Scénario référence'!$B$16*5+'Scénario référence'!$B$17*0+'Scénario référence'!$B$18*5</f>
        <v>5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66">
        <f t="shared" si="192"/>
        <v>183.33333333333334</v>
      </c>
      <c r="I201" s="6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19.8100000000004</v>
      </c>
      <c r="O201" s="13">
        <f>N201*VLOOKUP('Données projet'!$B$9,Paramètres!$A$1:$I$89,3,0)*VLOOKUP('Données projet'!$B$9,Paramètres!$A$1:$I$89,5,0)</f>
        <v>17.924088000000364</v>
      </c>
      <c r="P201" s="13">
        <f t="shared" si="203"/>
        <v>5.9032212091029486</v>
      </c>
      <c r="Q201" s="20">
        <f t="shared" si="162"/>
        <v>41.499230205854936</v>
      </c>
      <c r="R201" s="59">
        <f t="shared" si="191"/>
        <v>331.96587137510784</v>
      </c>
      <c r="S201" s="59">
        <f ca="1">AVERAGE(OFFSET($R$3,0,0,'Données projet'!$E$9+1,1))-AVERAGE(OFFSET($H$3,0,0,'Données projet'!$E$9+1,1))</f>
        <v>567.42635821507474</v>
      </c>
      <c r="T201" s="59">
        <f t="shared" si="204"/>
        <v>299.04735309930152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73.510985051276407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73.510985051276407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404.00000000000017</v>
      </c>
      <c r="AJ201" s="13">
        <f>AI201*VLOOKUP('Données projet'!$B$10,Paramètres!$A$1:$I$89,3,0)*VLOOKUP('Données projet'!$B$10,Paramètres!$A$1:$I$89,5,0)</f>
        <v>346.63200000000018</v>
      </c>
      <c r="AK201" s="13">
        <f t="shared" si="164"/>
        <v>80.868615263336864</v>
      </c>
      <c r="AL201" s="20">
        <f t="shared" si="165"/>
        <v>744.56357158364528</v>
      </c>
      <c r="AM201" s="59">
        <f t="shared" si="193"/>
        <v>1035.0302127528983</v>
      </c>
      <c r="AN201" s="59">
        <f ca="1">AVERAGE(OFFSET($AM$3,0,0,'Données projet'!$E$10+1,1))-AVERAGE(OFFSET($H$3,0,0,'Données projet'!$E$10+1,1))</f>
        <v>481.23392184981651</v>
      </c>
      <c r="AO201" s="59">
        <f t="shared" si="205"/>
        <v>275.88160405468193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21.327540755719205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21.327540755719205</v>
      </c>
      <c r="AY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328.00000000000006</v>
      </c>
      <c r="BE201" s="13">
        <f>BD201*VLOOKUP('Données projet'!$B$11,Paramètres!$A$1:$I$89,3,0)*VLOOKUP('Données projet'!$B$11,Paramètres!$A$1:$I$89,5,0)</f>
        <v>255.84000000000006</v>
      </c>
      <c r="BF201" s="13">
        <f t="shared" si="167"/>
        <v>61.834803371075836</v>
      </c>
      <c r="BG201" s="20">
        <f t="shared" si="168"/>
        <v>553.28361587129041</v>
      </c>
      <c r="BH201" s="59">
        <f t="shared" si="194"/>
        <v>843.75025704054337</v>
      </c>
      <c r="BI201" s="59">
        <f ca="1">AVERAGE(OFFSET($BH$3,0,0,'Données projet'!$E$11+1,1))-AVERAGE(OFFSET($H$3,0,0,'Données projet'!$E$11+1,1))</f>
        <v>308.85018589589453</v>
      </c>
      <c r="BJ201" s="59">
        <f t="shared" si="206"/>
        <v>302.59481222418219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3.915158148060109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3.915158148060109</v>
      </c>
      <c r="BT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19.8100000000004</v>
      </c>
      <c r="BZ201" s="13">
        <f>BY201*VLOOKUP('Données projet'!$B$12,Paramètres!$A$1:$I$89,3,0)*VLOOKUP('Données projet'!$B$12,Paramètres!$A$1:$I$89,5,0)</f>
        <v>19.160232000000388</v>
      </c>
      <c r="CA201" s="13">
        <f t="shared" si="170"/>
        <v>6.2615431735370342</v>
      </c>
      <c r="CB201" s="20">
        <f t="shared" si="171"/>
        <v>44.27625842724435</v>
      </c>
      <c r="CC201" s="59">
        <f t="shared" si="195"/>
        <v>334.74289959649724</v>
      </c>
      <c r="CD201" s="59">
        <f ca="1">AVERAGE(OFFSET($CC$3,0,0,'Données projet'!$E$12+1,1))-AVERAGE(OFFSET($H$3,0,0,'Données projet'!$E$12+1,1))</f>
        <v>600.96600099724276</v>
      </c>
      <c r="CE201" s="59">
        <f t="shared" si="207"/>
        <v>315.40159260706264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78.580708158260947</v>
      </c>
      <c r="CL201" s="21">
        <f>EXP(-LN(2)/25)*CL200+(1-EXP(-LN(2)/25))/(LN(2)/25)*Calculateur!CG201*Calculateur!CI201*VLOOKUP('Données projet'!$B$12,Paramètres!$A$1:$I$89,3,0)*0.475*44/12</f>
        <v>0</v>
      </c>
      <c r="CM201" s="21">
        <f>EXP(-LN(2)/2)*CM200+(1-EXP(-LN(2)/2))/(LN(2)/2)*CG201*CJ201*VLOOKUP('Données projet'!$B$12,Paramètres!$A$1:$I$89,3,0)*0.475*44/12</f>
        <v>0</v>
      </c>
      <c r="CN201" s="22">
        <f t="shared" si="172"/>
        <v>78.580708158260947</v>
      </c>
      <c r="CO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19.8100000000004</v>
      </c>
      <c r="CU201" s="17">
        <f>CT201*VLOOKUP('Données projet'!$B$13,Paramètres!$A$1:$I$89,3,0)*VLOOKUP('Données projet'!$B$13,Paramètres!$A$1:$I$89,5,0)</f>
        <v>18.851196000000382</v>
      </c>
      <c r="CV201" s="13">
        <f t="shared" si="173"/>
        <v>6.172221809210666</v>
      </c>
      <c r="CW201" s="20">
        <f t="shared" si="174"/>
        <v>43.582452684375909</v>
      </c>
      <c r="CX201" s="59">
        <f t="shared" si="196"/>
        <v>334.04909385362885</v>
      </c>
      <c r="CY201" s="59">
        <f ca="1">AVERAGE(OFFSET($CX$3,0,0,'Données projet'!$E$13+1,1))-AVERAGE(OFFSET($H$3,0,0,'Données projet'!$E$13+1,1))</f>
        <v>592.58528889137358</v>
      </c>
      <c r="CZ201" s="59">
        <f t="shared" si="208"/>
        <v>311.31528020403709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77.313277381514823</v>
      </c>
      <c r="DG201" s="21">
        <f>EXP(-LN(2)/25)*DG200+(1-EXP(-LN(2)/25))/(LN(2)/25)*Calculateur!DB201*Calculateur!DD201*VLOOKUP('Données projet'!$B$13,Paramètres!$A$1:$I$89,3,0)*0.475*44/12</f>
        <v>0</v>
      </c>
      <c r="DH201" s="21">
        <f>EXP(-LN(2)/2)*DH200+(1-EXP(-LN(2)/2))/(LN(2)/2)*DB201*DE201*VLOOKUP('Données projet'!$B$13,Paramètres!$A$1:$I$89,3,0)*0.475*44/12</f>
        <v>0</v>
      </c>
      <c r="DI201" s="22">
        <f t="shared" si="175"/>
        <v>77.313277381514823</v>
      </c>
      <c r="DJ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2">
        <f>'Scénario référence'!$B$16*5+'Scénario référence'!$B$17*0+'Scénario référence'!$B$18*5</f>
        <v>5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66">
        <f t="shared" si="192"/>
        <v>183.33333333333334</v>
      </c>
      <c r="I202" s="6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19.8100000000004</v>
      </c>
      <c r="O202" s="13">
        <f>N202*VLOOKUP('Données projet'!$B$9,Paramètres!$A$1:$I$89,3,0)*VLOOKUP('Données projet'!$B$9,Paramètres!$A$1:$I$89,5,0)</f>
        <v>17.924088000000364</v>
      </c>
      <c r="P202" s="13">
        <f t="shared" si="203"/>
        <v>5.9032212091029486</v>
      </c>
      <c r="Q202" s="20">
        <f t="shared" si="162"/>
        <v>41.499230205854936</v>
      </c>
      <c r="R202" s="59">
        <f t="shared" si="191"/>
        <v>332.01560207519105</v>
      </c>
      <c r="S202" s="59">
        <f ca="1">AVERAGE(OFFSET($R$3,0,0,'Données projet'!$E$9+1,1))-AVERAGE(OFFSET($H$3,0,0,'Données projet'!$E$9+1,1))</f>
        <v>567.42635821507474</v>
      </c>
      <c r="T202" s="59">
        <f t="shared" si="204"/>
        <v>299.04735309930152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72.06947947169445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72.06947947169445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404.00000000000017</v>
      </c>
      <c r="AJ202" s="13">
        <f>AI202*VLOOKUP('Données projet'!$B$10,Paramètres!$A$1:$I$89,3,0)*VLOOKUP('Données projet'!$B$10,Paramètres!$A$1:$I$89,5,0)</f>
        <v>346.63200000000018</v>
      </c>
      <c r="AK202" s="13">
        <f t="shared" si="164"/>
        <v>80.868615263336864</v>
      </c>
      <c r="AL202" s="20">
        <f t="shared" si="165"/>
        <v>744.56357158364528</v>
      </c>
      <c r="AM202" s="59">
        <f t="shared" si="193"/>
        <v>1035.0799434529813</v>
      </c>
      <c r="AN202" s="59">
        <f ca="1">AVERAGE(OFFSET($AM$3,0,0,'Données projet'!$E$10+1,1))-AVERAGE(OFFSET($H$3,0,0,'Données projet'!$E$10+1,1))</f>
        <v>481.23392184981651</v>
      </c>
      <c r="AO202" s="59">
        <f t="shared" si="205"/>
        <v>275.88160405468193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20.90932069001493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20.90932069001493</v>
      </c>
      <c r="AY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328.00000000000006</v>
      </c>
      <c r="BE202" s="13">
        <f>BD202*VLOOKUP('Données projet'!$B$11,Paramètres!$A$1:$I$89,3,0)*VLOOKUP('Données projet'!$B$11,Paramètres!$A$1:$I$89,5,0)</f>
        <v>255.84000000000006</v>
      </c>
      <c r="BF202" s="13">
        <f t="shared" si="167"/>
        <v>61.834803371075836</v>
      </c>
      <c r="BG202" s="20">
        <f t="shared" si="168"/>
        <v>553.28361587129041</v>
      </c>
      <c r="BH202" s="59">
        <f t="shared" si="194"/>
        <v>843.79998774062653</v>
      </c>
      <c r="BI202" s="59">
        <f ca="1">AVERAGE(OFFSET($BH$3,0,0,'Données projet'!$E$11+1,1))-AVERAGE(OFFSET($H$3,0,0,'Données projet'!$E$11+1,1))</f>
        <v>308.85018589589453</v>
      </c>
      <c r="BJ202" s="59">
        <f t="shared" si="206"/>
        <v>302.59481222418219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3.838384284787324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3.838384284787324</v>
      </c>
      <c r="BT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19.8100000000004</v>
      </c>
      <c r="BZ202" s="13">
        <f>BY202*VLOOKUP('Données projet'!$B$12,Paramètres!$A$1:$I$89,3,0)*VLOOKUP('Données projet'!$B$12,Paramètres!$A$1:$I$89,5,0)</f>
        <v>19.160232000000388</v>
      </c>
      <c r="CA202" s="13">
        <f t="shared" si="170"/>
        <v>6.2615431735370342</v>
      </c>
      <c r="CB202" s="20">
        <f t="shared" si="171"/>
        <v>44.27625842724435</v>
      </c>
      <c r="CC202" s="59">
        <f t="shared" si="195"/>
        <v>334.79263029658046</v>
      </c>
      <c r="CD202" s="59">
        <f ca="1">AVERAGE(OFFSET($CC$3,0,0,'Données projet'!$E$12+1,1))-AVERAGE(OFFSET($H$3,0,0,'Données projet'!$E$12+1,1))</f>
        <v>600.96600099724276</v>
      </c>
      <c r="CE202" s="59">
        <f t="shared" si="207"/>
        <v>315.40159260706264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77.039788400776786</v>
      </c>
      <c r="CL202" s="21">
        <f>EXP(-LN(2)/25)*CL201+(1-EXP(-LN(2)/25))/(LN(2)/25)*Calculateur!CG202*Calculateur!CI202*VLOOKUP('Données projet'!$B$12,Paramètres!$A$1:$I$89,3,0)*0.475*44/12</f>
        <v>0</v>
      </c>
      <c r="CM202" s="21">
        <f>EXP(-LN(2)/2)*CM201+(1-EXP(-LN(2)/2))/(LN(2)/2)*CG202*CJ202*VLOOKUP('Données projet'!$B$12,Paramètres!$A$1:$I$89,3,0)*0.475*44/12</f>
        <v>0</v>
      </c>
      <c r="CN202" s="22">
        <f t="shared" si="172"/>
        <v>77.039788400776786</v>
      </c>
      <c r="CO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19.8100000000004</v>
      </c>
      <c r="CU202" s="17">
        <f>CT202*VLOOKUP('Données projet'!$B$13,Paramètres!$A$1:$I$89,3,0)*VLOOKUP('Données projet'!$B$13,Paramètres!$A$1:$I$89,5,0)</f>
        <v>18.851196000000382</v>
      </c>
      <c r="CV202" s="13">
        <f t="shared" si="173"/>
        <v>6.172221809210666</v>
      </c>
      <c r="CW202" s="20">
        <f t="shared" si="174"/>
        <v>43.582452684375909</v>
      </c>
      <c r="CX202" s="59">
        <f t="shared" si="196"/>
        <v>334.09882455371201</v>
      </c>
      <c r="CY202" s="59">
        <f ca="1">AVERAGE(OFFSET($CX$3,0,0,'Données projet'!$E$13+1,1))-AVERAGE(OFFSET($H$3,0,0,'Données projet'!$E$13+1,1))</f>
        <v>592.58528889137358</v>
      </c>
      <c r="CZ202" s="59">
        <f t="shared" si="208"/>
        <v>311.31528020403709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75.797211168506209</v>
      </c>
      <c r="DG202" s="21">
        <f>EXP(-LN(2)/25)*DG201+(1-EXP(-LN(2)/25))/(LN(2)/25)*Calculateur!DB202*Calculateur!DD202*VLOOKUP('Données projet'!$B$13,Paramètres!$A$1:$I$89,3,0)*0.475*44/12</f>
        <v>0</v>
      </c>
      <c r="DH202" s="21">
        <f>EXP(-LN(2)/2)*DH201+(1-EXP(-LN(2)/2))/(LN(2)/2)*DB202*DE202*VLOOKUP('Données projet'!$B$13,Paramètres!$A$1:$I$89,3,0)*0.475*44/12</f>
        <v>0</v>
      </c>
      <c r="DI202" s="22">
        <f t="shared" si="175"/>
        <v>75.797211168506209</v>
      </c>
      <c r="DJ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2">
        <f>'Scénario référence'!$B$16*5+'Scénario référence'!$B$17*0+'Scénario référence'!$B$18*5</f>
        <v>5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66">
        <f t="shared" si="192"/>
        <v>183.33333333333334</v>
      </c>
      <c r="I203" s="6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19.8100000000004</v>
      </c>
      <c r="O203" s="13">
        <f>N203*VLOOKUP('Données projet'!$B$9,Paramètres!$A$1:$I$89,3,0)*VLOOKUP('Données projet'!$B$9,Paramètres!$A$1:$I$89,5,0)</f>
        <v>17.924088000000364</v>
      </c>
      <c r="P203" s="13">
        <f t="shared" si="203"/>
        <v>5.9032212091029486</v>
      </c>
      <c r="Q203" s="20">
        <f t="shared" si="162"/>
        <v>41.499230205854936</v>
      </c>
      <c r="R203" s="59">
        <f t="shared" si="191"/>
        <v>332.06447005880904</v>
      </c>
      <c r="S203" s="59">
        <f ca="1">AVERAGE(OFFSET($R$3,0,0,'Données projet'!$E$9+1,1))-AVERAGE(OFFSET($H$3,0,0,'Données projet'!$E$9+1,1))</f>
        <v>567.42635821507474</v>
      </c>
      <c r="T203" s="59">
        <f t="shared" si="204"/>
        <v>299.04735309930152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70.656240937296502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70.656240937296502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404.00000000000017</v>
      </c>
      <c r="AJ203" s="13">
        <f>AI203*VLOOKUP('Données projet'!$B$10,Paramètres!$A$1:$I$89,3,0)*VLOOKUP('Données projet'!$B$10,Paramètres!$A$1:$I$89,5,0)</f>
        <v>346.63200000000018</v>
      </c>
      <c r="AK203" s="13">
        <f t="shared" si="164"/>
        <v>80.868615263336864</v>
      </c>
      <c r="AL203" s="20">
        <f t="shared" si="165"/>
        <v>744.56357158364528</v>
      </c>
      <c r="AM203" s="59">
        <f t="shared" si="193"/>
        <v>1035.1288114365993</v>
      </c>
      <c r="AN203" s="59">
        <f ca="1">AVERAGE(OFFSET($AM$3,0,0,'Données projet'!$E$10+1,1))-AVERAGE(OFFSET($H$3,0,0,'Données projet'!$E$10+1,1))</f>
        <v>481.23392184981651</v>
      </c>
      <c r="AO203" s="59">
        <f t="shared" si="205"/>
        <v>275.88160405468193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20.49930166471006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20.49930166471006</v>
      </c>
      <c r="AY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328.00000000000006</v>
      </c>
      <c r="BE203" s="13">
        <f>BD203*VLOOKUP('Données projet'!$B$11,Paramètres!$A$1:$I$89,3,0)*VLOOKUP('Données projet'!$B$11,Paramètres!$A$1:$I$89,5,0)</f>
        <v>255.84000000000006</v>
      </c>
      <c r="BF203" s="13">
        <f t="shared" si="167"/>
        <v>61.834803371075836</v>
      </c>
      <c r="BG203" s="20">
        <f t="shared" si="168"/>
        <v>553.28361587129041</v>
      </c>
      <c r="BH203" s="59">
        <f t="shared" si="194"/>
        <v>843.84885572424446</v>
      </c>
      <c r="BI203" s="59">
        <f ca="1">AVERAGE(OFFSET($BH$3,0,0,'Données projet'!$E$11+1,1))-AVERAGE(OFFSET($H$3,0,0,'Données projet'!$E$11+1,1))</f>
        <v>308.85018589589453</v>
      </c>
      <c r="BJ203" s="59">
        <f t="shared" si="206"/>
        <v>302.59481222418219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3.7631159101458858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3.7631159101458858</v>
      </c>
      <c r="BT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19.8100000000004</v>
      </c>
      <c r="BZ203" s="13">
        <f>BY203*VLOOKUP('Données projet'!$B$12,Paramètres!$A$1:$I$89,3,0)*VLOOKUP('Données projet'!$B$12,Paramètres!$A$1:$I$89,5,0)</f>
        <v>19.160232000000388</v>
      </c>
      <c r="CA203" s="13">
        <f t="shared" si="170"/>
        <v>6.2615431735370342</v>
      </c>
      <c r="CB203" s="20">
        <f t="shared" si="171"/>
        <v>44.27625842724435</v>
      </c>
      <c r="CC203" s="59">
        <f t="shared" si="195"/>
        <v>334.84149828019844</v>
      </c>
      <c r="CD203" s="59">
        <f ca="1">AVERAGE(OFFSET($CC$3,0,0,'Données projet'!$E$12+1,1))-AVERAGE(OFFSET($H$3,0,0,'Données projet'!$E$12+1,1))</f>
        <v>600.96600099724276</v>
      </c>
      <c r="CE203" s="59">
        <f t="shared" si="207"/>
        <v>315.40159260706264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75.529085139868641</v>
      </c>
      <c r="CL203" s="21">
        <f>EXP(-LN(2)/25)*CL202+(1-EXP(-LN(2)/25))/(LN(2)/25)*Calculateur!CG203*Calculateur!CI203*VLOOKUP('Données projet'!$B$12,Paramètres!$A$1:$I$89,3,0)*0.475*44/12</f>
        <v>0</v>
      </c>
      <c r="CM203" s="21">
        <f>EXP(-LN(2)/2)*CM202+(1-EXP(-LN(2)/2))/(LN(2)/2)*CG203*CJ203*VLOOKUP('Données projet'!$B$12,Paramètres!$A$1:$I$89,3,0)*0.475*44/12</f>
        <v>0</v>
      </c>
      <c r="CN203" s="22">
        <f t="shared" si="172"/>
        <v>75.529085139868641</v>
      </c>
      <c r="CO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19.8100000000004</v>
      </c>
      <c r="CU203" s="17">
        <f>CT203*VLOOKUP('Données projet'!$B$13,Paramètres!$A$1:$I$89,3,0)*VLOOKUP('Données projet'!$B$13,Paramètres!$A$1:$I$89,5,0)</f>
        <v>18.851196000000382</v>
      </c>
      <c r="CV203" s="13">
        <f t="shared" si="173"/>
        <v>6.172221809210666</v>
      </c>
      <c r="CW203" s="20">
        <f t="shared" si="174"/>
        <v>43.582452684375909</v>
      </c>
      <c r="CX203" s="59">
        <f t="shared" si="196"/>
        <v>334.14769253733004</v>
      </c>
      <c r="CY203" s="59">
        <f ca="1">AVERAGE(OFFSET($CX$3,0,0,'Données projet'!$E$13+1,1))-AVERAGE(OFFSET($H$3,0,0,'Données projet'!$E$13+1,1))</f>
        <v>592.58528889137358</v>
      </c>
      <c r="CZ203" s="59">
        <f t="shared" si="208"/>
        <v>311.31528020403709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74.310874089225607</v>
      </c>
      <c r="DG203" s="21">
        <f>EXP(-LN(2)/25)*DG202+(1-EXP(-LN(2)/25))/(LN(2)/25)*Calculateur!DB203*Calculateur!DD203*VLOOKUP('Données projet'!$B$13,Paramètres!$A$1:$I$89,3,0)*0.475*44/12</f>
        <v>0</v>
      </c>
      <c r="DH203" s="21">
        <f>EXP(-LN(2)/2)*DH202+(1-EXP(-LN(2)/2))/(LN(2)/2)*DB203*DE203*VLOOKUP('Données projet'!$B$13,Paramètres!$A$1:$I$89,3,0)*0.475*44/12</f>
        <v>0</v>
      </c>
      <c r="DI203" s="22">
        <f t="shared" si="175"/>
        <v>74.310874089225607</v>
      </c>
      <c r="DJ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5"/>
      <c r="D204" s="76"/>
      <c r="E204" s="76"/>
      <c r="F204" s="76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5"/>
      <c r="I204" s="75"/>
      <c r="J204" s="75"/>
      <c r="K204" s="83" t="s">
        <v>293</v>
      </c>
      <c r="L204" s="77"/>
      <c r="M204" s="77"/>
      <c r="N204" s="77"/>
      <c r="O204" s="75"/>
      <c r="P204" s="75"/>
      <c r="Q204" s="76"/>
      <c r="R204" s="78"/>
      <c r="S204" s="78"/>
      <c r="T204" s="78"/>
      <c r="U204" s="77"/>
      <c r="V204" s="77"/>
      <c r="W204" s="79"/>
      <c r="X204" s="79"/>
      <c r="Y204" s="79"/>
      <c r="Z204" s="75"/>
      <c r="AA204" s="75"/>
      <c r="AB204" s="75"/>
      <c r="AC204" s="75"/>
      <c r="AD204" s="75"/>
      <c r="AE204" s="75"/>
      <c r="AF204" s="80" t="s">
        <v>293</v>
      </c>
      <c r="BA204" s="80" t="s">
        <v>293</v>
      </c>
      <c r="BV204" s="80" t="s">
        <v>293</v>
      </c>
      <c r="CQ204" s="80" t="s">
        <v>293</v>
      </c>
      <c r="DL204" s="80" t="s">
        <v>293</v>
      </c>
      <c r="EG204" s="80" t="s">
        <v>293</v>
      </c>
      <c r="FB204" s="80" t="s">
        <v>293</v>
      </c>
      <c r="FW204" s="80" t="s">
        <v>293</v>
      </c>
      <c r="GR204" s="80" t="s">
        <v>293</v>
      </c>
    </row>
    <row r="205" spans="1:218" ht="15" thickBot="1" x14ac:dyDescent="0.35">
      <c r="B205" s="10"/>
      <c r="C205" s="75"/>
      <c r="D205" s="76"/>
      <c r="E205" s="76"/>
      <c r="F205" s="76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5"/>
      <c r="I205" s="75"/>
      <c r="J205" s="75"/>
      <c r="K205" s="81">
        <f>EXP(LN('Données projet'!B36)/'Données projet'!A36)</f>
        <v>1.1736311550493581</v>
      </c>
      <c r="L205" s="77"/>
      <c r="M205" s="77"/>
      <c r="N205" s="77"/>
      <c r="O205" s="75"/>
      <c r="P205" s="75"/>
      <c r="Q205" s="76"/>
      <c r="R205" s="78"/>
      <c r="S205" s="78"/>
      <c r="T205" s="78"/>
      <c r="U205" s="77"/>
      <c r="V205" s="77"/>
      <c r="W205" s="79"/>
      <c r="X205" s="79"/>
      <c r="Y205" s="79"/>
      <c r="Z205" s="75"/>
      <c r="AA205" s="75"/>
      <c r="AB205" s="75"/>
      <c r="AC205" s="75"/>
      <c r="AD205" s="75"/>
      <c r="AE205" s="75"/>
      <c r="AF205" s="82">
        <f>EXP(LN('Données projet'!B62)/'Données projet'!A62)</f>
        <v>1.189207115002721</v>
      </c>
      <c r="BA205" s="81">
        <f>EXP(LN('Données projet'!B88)/'Données projet'!A88)</f>
        <v>1.2788040393997409</v>
      </c>
      <c r="BV205" s="81">
        <f>EXP(LN('Données projet'!B114)/'Données projet'!A114)</f>
        <v>1.1736311550493581</v>
      </c>
      <c r="CQ205" s="81">
        <f>EXP(LN('Données projet'!B140)/'Données projet'!A140)</f>
        <v>1.1736311550493581</v>
      </c>
      <c r="DL205" s="81" t="e">
        <f>EXP(LN('Données projet'!B166)/'Données projet'!A166)</f>
        <v>#NUM!</v>
      </c>
      <c r="EG205" s="81" t="e">
        <f>EXP(LN('Données projet'!B192)/'Données projet'!A192)</f>
        <v>#NUM!</v>
      </c>
      <c r="FB205" s="81" t="e">
        <f>EXP(LN('Données projet'!B218)/'Données projet'!A218)</f>
        <v>#NUM!</v>
      </c>
      <c r="FW205" s="81" t="e">
        <f>EXP(LN('Données projet'!B244)/'Données projet'!A244)</f>
        <v>#NUM!</v>
      </c>
      <c r="GR205" s="81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77734375" style="4" bestFit="1" customWidth="1"/>
    <col min="4" max="4" width="40" style="4" bestFit="1" customWidth="1"/>
    <col min="5" max="5" width="11.777343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09" t="s">
        <v>0</v>
      </c>
      <c r="B1" s="110" t="s">
        <v>106</v>
      </c>
      <c r="C1" s="111" t="s">
        <v>144</v>
      </c>
      <c r="D1" s="110" t="s">
        <v>100</v>
      </c>
      <c r="E1" s="111" t="s">
        <v>145</v>
      </c>
      <c r="F1" s="111" t="s">
        <v>100</v>
      </c>
      <c r="G1" s="111" t="s">
        <v>146</v>
      </c>
      <c r="H1" s="111" t="s">
        <v>100</v>
      </c>
      <c r="I1" s="112" t="s">
        <v>147</v>
      </c>
      <c r="J1" s="77"/>
      <c r="K1" s="77"/>
      <c r="L1" s="77"/>
      <c r="M1" s="77"/>
      <c r="N1" s="77"/>
    </row>
    <row r="2" spans="1:16" x14ac:dyDescent="0.3">
      <c r="A2" s="113" t="s">
        <v>1</v>
      </c>
      <c r="B2" s="114" t="s">
        <v>53</v>
      </c>
      <c r="C2" s="115">
        <v>0.62</v>
      </c>
      <c r="D2" s="115" t="s">
        <v>161</v>
      </c>
      <c r="E2" s="115">
        <v>1.56</v>
      </c>
      <c r="F2" s="115" t="s">
        <v>274</v>
      </c>
      <c r="G2" s="116">
        <v>0.43</v>
      </c>
      <c r="H2" s="117" t="s">
        <v>278</v>
      </c>
      <c r="I2" s="118">
        <v>0.25</v>
      </c>
      <c r="J2" s="77"/>
      <c r="K2" s="77"/>
      <c r="L2" s="77"/>
      <c r="M2" s="77"/>
      <c r="N2" s="77"/>
      <c r="O2" s="290" t="s">
        <v>238</v>
      </c>
      <c r="P2" s="119">
        <v>0</v>
      </c>
    </row>
    <row r="3" spans="1:16" ht="15" thickBot="1" x14ac:dyDescent="0.35">
      <c r="A3" s="120" t="s">
        <v>2</v>
      </c>
      <c r="B3" s="121" t="s">
        <v>54</v>
      </c>
      <c r="C3" s="122">
        <v>0.64</v>
      </c>
      <c r="D3" s="122" t="s">
        <v>161</v>
      </c>
      <c r="E3" s="122">
        <v>1.56</v>
      </c>
      <c r="F3" s="123" t="s">
        <v>274</v>
      </c>
      <c r="G3" s="124">
        <v>0.43</v>
      </c>
      <c r="H3" s="122" t="s">
        <v>278</v>
      </c>
      <c r="I3" s="125">
        <v>0.25</v>
      </c>
      <c r="J3" s="77"/>
      <c r="K3" s="77"/>
      <c r="L3" s="77"/>
      <c r="M3" s="77"/>
      <c r="N3" s="77"/>
      <c r="O3" s="291"/>
      <c r="P3" s="126">
        <v>0.2</v>
      </c>
    </row>
    <row r="4" spans="1:16" ht="15" thickBot="1" x14ac:dyDescent="0.35">
      <c r="A4" s="120" t="s">
        <v>98</v>
      </c>
      <c r="B4" s="121" t="s">
        <v>99</v>
      </c>
      <c r="C4" s="122">
        <v>0.42</v>
      </c>
      <c r="D4" s="122" t="s">
        <v>161</v>
      </c>
      <c r="E4" s="122">
        <v>1.56</v>
      </c>
      <c r="F4" s="123" t="s">
        <v>274</v>
      </c>
      <c r="G4" s="124">
        <v>0.43</v>
      </c>
      <c r="H4" s="122" t="s">
        <v>278</v>
      </c>
      <c r="I4" s="125">
        <v>0.25</v>
      </c>
      <c r="J4" s="77"/>
      <c r="K4" s="77"/>
      <c r="L4" s="77"/>
      <c r="M4" s="77"/>
      <c r="N4" s="77"/>
    </row>
    <row r="5" spans="1:16" x14ac:dyDescent="0.3">
      <c r="A5" s="120" t="s">
        <v>4</v>
      </c>
      <c r="B5" s="121" t="s">
        <v>55</v>
      </c>
      <c r="C5" s="122">
        <v>0.42</v>
      </c>
      <c r="D5" s="122" t="s">
        <v>161</v>
      </c>
      <c r="E5" s="122">
        <v>1.56</v>
      </c>
      <c r="F5" s="123" t="s">
        <v>274</v>
      </c>
      <c r="G5" s="124">
        <v>0.43</v>
      </c>
      <c r="H5" s="122" t="s">
        <v>278</v>
      </c>
      <c r="I5" s="125">
        <v>0.25</v>
      </c>
      <c r="J5" s="77"/>
      <c r="K5" s="77"/>
      <c r="L5" s="77"/>
      <c r="M5" s="77"/>
      <c r="N5" s="77"/>
      <c r="O5" s="290" t="s">
        <v>237</v>
      </c>
      <c r="P5" s="119">
        <v>0</v>
      </c>
    </row>
    <row r="6" spans="1:16" x14ac:dyDescent="0.3">
      <c r="A6" s="120" t="s">
        <v>3</v>
      </c>
      <c r="B6" s="121" t="s">
        <v>97</v>
      </c>
      <c r="C6" s="122">
        <v>0.42</v>
      </c>
      <c r="D6" s="122" t="s">
        <v>161</v>
      </c>
      <c r="E6" s="122">
        <v>1.56</v>
      </c>
      <c r="F6" s="123" t="s">
        <v>274</v>
      </c>
      <c r="G6" s="124">
        <v>0.43</v>
      </c>
      <c r="H6" s="122" t="s">
        <v>278</v>
      </c>
      <c r="I6" s="125">
        <v>0.25</v>
      </c>
      <c r="J6" s="77"/>
      <c r="K6" s="77"/>
      <c r="L6" s="77"/>
      <c r="M6" s="77"/>
      <c r="N6" s="77"/>
      <c r="O6" s="292"/>
      <c r="P6" s="127">
        <v>0.05</v>
      </c>
    </row>
    <row r="7" spans="1:16" x14ac:dyDescent="0.3">
      <c r="A7" s="120" t="s">
        <v>5</v>
      </c>
      <c r="B7" s="121" t="s">
        <v>56</v>
      </c>
      <c r="C7" s="122">
        <v>0.52</v>
      </c>
      <c r="D7" s="122" t="s">
        <v>161</v>
      </c>
      <c r="E7" s="122">
        <v>1.56</v>
      </c>
      <c r="F7" s="123" t="s">
        <v>274</v>
      </c>
      <c r="G7" s="124">
        <v>0.43</v>
      </c>
      <c r="H7" s="122" t="s">
        <v>278</v>
      </c>
      <c r="I7" s="125">
        <v>0.25</v>
      </c>
      <c r="J7" s="77"/>
      <c r="K7" s="77"/>
      <c r="L7" s="77"/>
      <c r="M7" s="77"/>
      <c r="N7" s="77"/>
      <c r="O7" s="292"/>
      <c r="P7" s="127">
        <v>0.1</v>
      </c>
    </row>
    <row r="8" spans="1:16" ht="15" thickBot="1" x14ac:dyDescent="0.35">
      <c r="A8" s="120" t="s">
        <v>164</v>
      </c>
      <c r="B8" s="121" t="s">
        <v>57</v>
      </c>
      <c r="C8" s="122">
        <v>0.36</v>
      </c>
      <c r="D8" s="122" t="s">
        <v>161</v>
      </c>
      <c r="E8" s="122">
        <v>1.3</v>
      </c>
      <c r="F8" s="123" t="s">
        <v>274</v>
      </c>
      <c r="G8" s="124">
        <v>0.55000000000000004</v>
      </c>
      <c r="H8" s="122" t="s">
        <v>153</v>
      </c>
      <c r="I8" s="125">
        <v>0.43</v>
      </c>
      <c r="J8" s="77"/>
      <c r="K8" s="77"/>
      <c r="L8" s="77"/>
      <c r="M8" s="77"/>
      <c r="N8" s="77"/>
      <c r="O8" s="291"/>
      <c r="P8" s="126">
        <v>0.15</v>
      </c>
    </row>
    <row r="9" spans="1:16" ht="15" thickBot="1" x14ac:dyDescent="0.35">
      <c r="A9" s="120" t="s">
        <v>6</v>
      </c>
      <c r="B9" s="121" t="s">
        <v>58</v>
      </c>
      <c r="C9" s="122">
        <v>0.61</v>
      </c>
      <c r="D9" s="122" t="s">
        <v>161</v>
      </c>
      <c r="E9" s="122">
        <v>1.56</v>
      </c>
      <c r="F9" s="123" t="s">
        <v>274</v>
      </c>
      <c r="G9" s="124">
        <v>0.43</v>
      </c>
      <c r="H9" s="122" t="s">
        <v>278</v>
      </c>
      <c r="I9" s="125">
        <v>0.25</v>
      </c>
      <c r="J9" s="77"/>
      <c r="K9" s="77"/>
      <c r="L9" s="77"/>
      <c r="M9" s="77"/>
      <c r="N9" s="77"/>
    </row>
    <row r="10" spans="1:16" x14ac:dyDescent="0.3">
      <c r="A10" s="120" t="s">
        <v>7</v>
      </c>
      <c r="B10" s="121" t="s">
        <v>59</v>
      </c>
      <c r="C10" s="122">
        <v>0.66</v>
      </c>
      <c r="D10" s="122" t="s">
        <v>161</v>
      </c>
      <c r="E10" s="122">
        <v>1.56</v>
      </c>
      <c r="F10" s="123" t="s">
        <v>274</v>
      </c>
      <c r="G10" s="124">
        <v>0.43</v>
      </c>
      <c r="H10" s="122" t="s">
        <v>278</v>
      </c>
      <c r="I10" s="125">
        <v>0.25</v>
      </c>
      <c r="J10" s="77"/>
      <c r="K10" s="77"/>
      <c r="L10" s="77"/>
      <c r="M10" s="77"/>
      <c r="N10" s="77"/>
      <c r="O10" s="290" t="s">
        <v>236</v>
      </c>
      <c r="P10" s="119">
        <v>0</v>
      </c>
    </row>
    <row r="11" spans="1:16" ht="15" thickBot="1" x14ac:dyDescent="0.35">
      <c r="A11" s="120" t="s">
        <v>8</v>
      </c>
      <c r="B11" s="121" t="s">
        <v>60</v>
      </c>
      <c r="C11" s="122">
        <v>0.47</v>
      </c>
      <c r="D11" s="122" t="s">
        <v>161</v>
      </c>
      <c r="E11" s="122">
        <v>1.56</v>
      </c>
      <c r="F11" s="123" t="s">
        <v>274</v>
      </c>
      <c r="G11" s="124">
        <v>0.43</v>
      </c>
      <c r="H11" s="122" t="s">
        <v>278</v>
      </c>
      <c r="I11" s="125">
        <v>0.25</v>
      </c>
      <c r="J11" s="77"/>
      <c r="K11" s="77"/>
      <c r="L11" s="77"/>
      <c r="M11" s="77"/>
      <c r="N11" s="77"/>
      <c r="O11" s="291"/>
      <c r="P11" s="126">
        <v>0.1</v>
      </c>
    </row>
    <row r="12" spans="1:16" x14ac:dyDescent="0.3">
      <c r="A12" s="120" t="s">
        <v>9</v>
      </c>
      <c r="B12" s="121" t="s">
        <v>61</v>
      </c>
      <c r="C12" s="122">
        <v>0.67</v>
      </c>
      <c r="D12" s="122" t="s">
        <v>161</v>
      </c>
      <c r="E12" s="122">
        <v>1.56</v>
      </c>
      <c r="F12" s="123" t="s">
        <v>274</v>
      </c>
      <c r="G12" s="124">
        <v>0.43</v>
      </c>
      <c r="H12" s="122" t="s">
        <v>152</v>
      </c>
      <c r="I12" s="125">
        <v>0.25</v>
      </c>
      <c r="J12" s="77"/>
      <c r="K12" s="77"/>
      <c r="L12" s="77"/>
      <c r="M12" s="77"/>
      <c r="N12" s="77"/>
    </row>
    <row r="13" spans="1:16" x14ac:dyDescent="0.3">
      <c r="A13" s="120" t="s">
        <v>10</v>
      </c>
      <c r="B13" s="121" t="s">
        <v>62</v>
      </c>
      <c r="C13" s="122">
        <v>0.7</v>
      </c>
      <c r="D13" s="122" t="s">
        <v>161</v>
      </c>
      <c r="E13" s="122">
        <v>1.56</v>
      </c>
      <c r="F13" s="123" t="s">
        <v>274</v>
      </c>
      <c r="G13" s="124">
        <v>0.43</v>
      </c>
      <c r="H13" s="122" t="s">
        <v>152</v>
      </c>
      <c r="I13" s="125">
        <v>0.25</v>
      </c>
      <c r="J13" s="77"/>
      <c r="K13" s="77"/>
      <c r="L13" s="77"/>
      <c r="M13" s="77"/>
      <c r="N13" s="77"/>
    </row>
    <row r="14" spans="1:16" x14ac:dyDescent="0.3">
      <c r="A14" s="120" t="s">
        <v>11</v>
      </c>
      <c r="B14" s="121" t="s">
        <v>63</v>
      </c>
      <c r="C14" s="122">
        <v>0.54</v>
      </c>
      <c r="D14" s="122" t="s">
        <v>161</v>
      </c>
      <c r="E14" s="122">
        <v>1.56</v>
      </c>
      <c r="F14" s="123" t="s">
        <v>274</v>
      </c>
      <c r="G14" s="124">
        <v>0.43</v>
      </c>
      <c r="H14" s="122" t="s">
        <v>152</v>
      </c>
      <c r="I14" s="125">
        <v>0.25</v>
      </c>
      <c r="J14" s="77"/>
      <c r="K14" s="77"/>
      <c r="L14" s="77"/>
      <c r="M14" s="77"/>
      <c r="N14" s="77"/>
    </row>
    <row r="15" spans="1:16" x14ac:dyDescent="0.3">
      <c r="A15" s="120" t="s">
        <v>12</v>
      </c>
      <c r="B15" s="121" t="s">
        <v>64</v>
      </c>
      <c r="C15" s="122">
        <v>0.65</v>
      </c>
      <c r="D15" s="122" t="s">
        <v>161</v>
      </c>
      <c r="E15" s="122">
        <v>1.56</v>
      </c>
      <c r="F15" s="123" t="s">
        <v>274</v>
      </c>
      <c r="G15" s="124">
        <v>0.43</v>
      </c>
      <c r="H15" s="122" t="s">
        <v>152</v>
      </c>
      <c r="I15" s="125">
        <v>0.25</v>
      </c>
      <c r="J15" s="77"/>
      <c r="K15" s="77"/>
      <c r="L15" s="77"/>
      <c r="M15" s="77"/>
      <c r="N15" s="77"/>
    </row>
    <row r="16" spans="1:16" x14ac:dyDescent="0.3">
      <c r="A16" s="120" t="s">
        <v>13</v>
      </c>
      <c r="B16" s="121" t="s">
        <v>65</v>
      </c>
      <c r="C16" s="122">
        <v>0.56000000000000005</v>
      </c>
      <c r="D16" s="122" t="s">
        <v>161</v>
      </c>
      <c r="E16" s="122">
        <v>1.56</v>
      </c>
      <c r="F16" s="123" t="s">
        <v>274</v>
      </c>
      <c r="G16" s="124">
        <v>0.43</v>
      </c>
      <c r="H16" s="122" t="s">
        <v>152</v>
      </c>
      <c r="I16" s="125">
        <v>0.25</v>
      </c>
      <c r="J16" s="77"/>
      <c r="K16" s="77"/>
      <c r="L16" s="77"/>
      <c r="M16" s="77"/>
      <c r="N16" s="77"/>
    </row>
    <row r="17" spans="1:14" x14ac:dyDescent="0.3">
      <c r="A17" s="120" t="s">
        <v>14</v>
      </c>
      <c r="B17" s="121" t="s">
        <v>66</v>
      </c>
      <c r="C17" s="122">
        <v>0.57999999999999996</v>
      </c>
      <c r="D17" s="122" t="s">
        <v>161</v>
      </c>
      <c r="E17" s="122">
        <v>1.56</v>
      </c>
      <c r="F17" s="123" t="s">
        <v>274</v>
      </c>
      <c r="G17" s="124">
        <v>0.43</v>
      </c>
      <c r="H17" s="122" t="s">
        <v>152</v>
      </c>
      <c r="I17" s="125">
        <v>0.25</v>
      </c>
      <c r="J17" s="77"/>
      <c r="K17" s="77"/>
      <c r="L17" s="77"/>
      <c r="M17" s="77"/>
      <c r="N17" s="77"/>
    </row>
    <row r="18" spans="1:14" x14ac:dyDescent="0.3">
      <c r="A18" s="120" t="s">
        <v>15</v>
      </c>
      <c r="B18" s="121" t="s">
        <v>67</v>
      </c>
      <c r="C18" s="122">
        <v>0.64</v>
      </c>
      <c r="D18" s="122" t="s">
        <v>161</v>
      </c>
      <c r="E18" s="122">
        <v>1.56</v>
      </c>
      <c r="F18" s="123" t="s">
        <v>274</v>
      </c>
      <c r="G18" s="124">
        <v>0.43</v>
      </c>
      <c r="H18" s="122" t="s">
        <v>152</v>
      </c>
      <c r="I18" s="125">
        <v>0.25</v>
      </c>
      <c r="J18" s="77"/>
      <c r="K18" s="77"/>
      <c r="L18" s="77"/>
      <c r="M18" s="77"/>
      <c r="N18" s="77"/>
    </row>
    <row r="19" spans="1:14" x14ac:dyDescent="0.3">
      <c r="A19" s="120" t="s">
        <v>16</v>
      </c>
      <c r="B19" s="121" t="s">
        <v>68</v>
      </c>
      <c r="C19" s="122">
        <v>0.73</v>
      </c>
      <c r="D19" s="122" t="s">
        <v>161</v>
      </c>
      <c r="E19" s="122">
        <v>1.56</v>
      </c>
      <c r="F19" s="123" t="s">
        <v>274</v>
      </c>
      <c r="G19" s="124">
        <v>0.43</v>
      </c>
      <c r="H19" s="122" t="s">
        <v>152</v>
      </c>
      <c r="I19" s="125">
        <v>0.25</v>
      </c>
      <c r="J19" s="77"/>
      <c r="K19" s="77"/>
      <c r="L19" s="77"/>
      <c r="M19" s="77"/>
      <c r="N19" s="77"/>
    </row>
    <row r="20" spans="1:14" x14ac:dyDescent="0.3">
      <c r="A20" s="120" t="s">
        <v>52</v>
      </c>
      <c r="B20" s="121" t="s">
        <v>69</v>
      </c>
      <c r="C20" s="122">
        <v>0.69</v>
      </c>
      <c r="D20" s="122" t="s">
        <v>131</v>
      </c>
      <c r="E20" s="122">
        <v>1.56</v>
      </c>
      <c r="F20" s="123" t="s">
        <v>274</v>
      </c>
      <c r="G20" s="124">
        <v>0.43</v>
      </c>
      <c r="H20" s="122" t="s">
        <v>282</v>
      </c>
      <c r="I20" s="125">
        <v>0.25</v>
      </c>
      <c r="J20" s="77"/>
      <c r="K20" s="77"/>
      <c r="L20" s="77"/>
      <c r="M20" s="77"/>
      <c r="N20" s="77"/>
    </row>
    <row r="21" spans="1:14" x14ac:dyDescent="0.3">
      <c r="A21" s="120" t="s">
        <v>154</v>
      </c>
      <c r="B21" s="121" t="s">
        <v>155</v>
      </c>
      <c r="C21" s="122">
        <v>0.36</v>
      </c>
      <c r="D21" s="122" t="s">
        <v>161</v>
      </c>
      <c r="E21" s="122">
        <v>1.3</v>
      </c>
      <c r="F21" s="123" t="s">
        <v>274</v>
      </c>
      <c r="G21" s="124">
        <v>0.55000000000000004</v>
      </c>
      <c r="H21" s="122" t="s">
        <v>153</v>
      </c>
      <c r="I21" s="125">
        <v>0.43</v>
      </c>
      <c r="J21" s="77"/>
      <c r="K21" s="77"/>
      <c r="L21" s="77"/>
      <c r="M21" s="77"/>
      <c r="N21" s="77"/>
    </row>
    <row r="22" spans="1:14" x14ac:dyDescent="0.3">
      <c r="A22" s="120" t="s">
        <v>17</v>
      </c>
      <c r="B22" s="121" t="s">
        <v>70</v>
      </c>
      <c r="C22" s="122">
        <v>0.4</v>
      </c>
      <c r="D22" s="122" t="s">
        <v>161</v>
      </c>
      <c r="E22" s="122">
        <v>1.3</v>
      </c>
      <c r="F22" s="123" t="s">
        <v>274</v>
      </c>
      <c r="G22" s="124">
        <v>0.55000000000000004</v>
      </c>
      <c r="H22" s="122" t="s">
        <v>153</v>
      </c>
      <c r="I22" s="125">
        <v>0.43</v>
      </c>
      <c r="J22" s="77"/>
      <c r="K22" s="77"/>
      <c r="L22" s="77"/>
      <c r="M22" s="77"/>
      <c r="N22" s="77"/>
    </row>
    <row r="23" spans="1:14" x14ac:dyDescent="0.3">
      <c r="A23" s="120" t="s">
        <v>18</v>
      </c>
      <c r="B23" s="121" t="s">
        <v>71</v>
      </c>
      <c r="C23" s="122">
        <v>0.43</v>
      </c>
      <c r="D23" s="122" t="s">
        <v>161</v>
      </c>
      <c r="E23" s="122">
        <v>1.3</v>
      </c>
      <c r="F23" s="123" t="s">
        <v>274</v>
      </c>
      <c r="G23" s="124">
        <v>0.55000000000000004</v>
      </c>
      <c r="H23" s="122" t="s">
        <v>153</v>
      </c>
      <c r="I23" s="125">
        <v>0.43</v>
      </c>
      <c r="J23" s="77"/>
      <c r="K23" s="77"/>
      <c r="L23" s="77"/>
      <c r="M23" s="77"/>
      <c r="N23" s="77"/>
    </row>
    <row r="24" spans="1:14" x14ac:dyDescent="0.3">
      <c r="A24" s="120" t="s">
        <v>19</v>
      </c>
      <c r="B24" s="121" t="s">
        <v>72</v>
      </c>
      <c r="C24" s="122">
        <v>0.37</v>
      </c>
      <c r="D24" s="122" t="s">
        <v>161</v>
      </c>
      <c r="E24" s="122">
        <v>1.3</v>
      </c>
      <c r="F24" s="123" t="s">
        <v>274</v>
      </c>
      <c r="G24" s="124">
        <v>0.55000000000000004</v>
      </c>
      <c r="H24" s="122" t="s">
        <v>152</v>
      </c>
      <c r="I24" s="125">
        <v>0.43</v>
      </c>
      <c r="J24" s="77"/>
      <c r="K24" s="77"/>
      <c r="L24" s="77"/>
      <c r="M24" s="77"/>
      <c r="N24" s="77"/>
    </row>
    <row r="25" spans="1:14" x14ac:dyDescent="0.3">
      <c r="A25" s="120" t="s">
        <v>20</v>
      </c>
      <c r="B25" s="121" t="s">
        <v>73</v>
      </c>
      <c r="C25" s="122">
        <v>0.36</v>
      </c>
      <c r="D25" s="122" t="s">
        <v>161</v>
      </c>
      <c r="E25" s="122">
        <v>1.3</v>
      </c>
      <c r="F25" s="123" t="s">
        <v>274</v>
      </c>
      <c r="G25" s="124">
        <v>0.55000000000000004</v>
      </c>
      <c r="H25" s="122" t="s">
        <v>152</v>
      </c>
      <c r="I25" s="125">
        <v>0.43</v>
      </c>
      <c r="J25" s="77"/>
      <c r="K25" s="77"/>
      <c r="L25" s="77"/>
      <c r="M25" s="77"/>
      <c r="N25" s="77"/>
    </row>
    <row r="26" spans="1:14" x14ac:dyDescent="0.3">
      <c r="A26" s="120" t="s">
        <v>21</v>
      </c>
      <c r="B26" s="121" t="s">
        <v>74</v>
      </c>
      <c r="C26" s="122">
        <v>0.56000000000000005</v>
      </c>
      <c r="D26" s="122" t="s">
        <v>161</v>
      </c>
      <c r="E26" s="122">
        <v>1.56</v>
      </c>
      <c r="F26" s="123" t="s">
        <v>274</v>
      </c>
      <c r="G26" s="124">
        <v>0.53</v>
      </c>
      <c r="H26" s="122" t="s">
        <v>275</v>
      </c>
      <c r="I26" s="125">
        <v>0.25</v>
      </c>
      <c r="J26" s="77"/>
      <c r="K26" s="77"/>
      <c r="L26" s="77"/>
      <c r="M26" s="77"/>
      <c r="N26" s="77"/>
    </row>
    <row r="27" spans="1:14" x14ac:dyDescent="0.3">
      <c r="A27" s="120" t="s">
        <v>22</v>
      </c>
      <c r="B27" s="121" t="s">
        <v>75</v>
      </c>
      <c r="C27" s="122">
        <v>0.51</v>
      </c>
      <c r="D27" s="122" t="s">
        <v>161</v>
      </c>
      <c r="E27" s="122">
        <v>1.56</v>
      </c>
      <c r="F27" s="123" t="s">
        <v>274</v>
      </c>
      <c r="G27" s="124">
        <v>0.53</v>
      </c>
      <c r="H27" s="122" t="s">
        <v>275</v>
      </c>
      <c r="I27" s="125">
        <v>0.25</v>
      </c>
      <c r="J27" s="77"/>
      <c r="K27" s="77"/>
      <c r="L27" s="77"/>
      <c r="M27" s="77"/>
      <c r="N27" s="77"/>
    </row>
    <row r="28" spans="1:14" x14ac:dyDescent="0.3">
      <c r="A28" s="120" t="s">
        <v>23</v>
      </c>
      <c r="B28" s="121" t="s">
        <v>76</v>
      </c>
      <c r="C28" s="122">
        <v>0.51</v>
      </c>
      <c r="D28" s="122" t="s">
        <v>161</v>
      </c>
      <c r="E28" s="122">
        <v>1.56</v>
      </c>
      <c r="F28" s="123" t="s">
        <v>274</v>
      </c>
      <c r="G28" s="124">
        <v>0.53</v>
      </c>
      <c r="H28" s="122" t="s">
        <v>275</v>
      </c>
      <c r="I28" s="125">
        <v>0.25</v>
      </c>
      <c r="J28" s="77"/>
      <c r="K28" s="77"/>
      <c r="L28" s="77"/>
      <c r="M28" s="77"/>
      <c r="N28" s="77"/>
    </row>
    <row r="29" spans="1:14" x14ac:dyDescent="0.3">
      <c r="A29" s="120" t="s">
        <v>24</v>
      </c>
      <c r="B29" s="121" t="s">
        <v>24</v>
      </c>
      <c r="C29" s="122">
        <v>0.56000000000000005</v>
      </c>
      <c r="D29" s="122" t="s">
        <v>161</v>
      </c>
      <c r="E29" s="122">
        <v>1.56</v>
      </c>
      <c r="F29" s="123" t="s">
        <v>274</v>
      </c>
      <c r="G29" s="124">
        <v>0.53</v>
      </c>
      <c r="H29" s="122" t="s">
        <v>275</v>
      </c>
      <c r="I29" s="125">
        <v>0.25</v>
      </c>
      <c r="J29" s="77"/>
      <c r="K29" s="77"/>
      <c r="L29" s="77"/>
      <c r="M29" s="77"/>
      <c r="N29" s="77"/>
    </row>
    <row r="30" spans="1:14" x14ac:dyDescent="0.3">
      <c r="A30" s="120" t="s">
        <v>25</v>
      </c>
      <c r="B30" s="121" t="s">
        <v>77</v>
      </c>
      <c r="C30" s="122">
        <v>0.55000000000000004</v>
      </c>
      <c r="D30" s="122" t="s">
        <v>161</v>
      </c>
      <c r="E30" s="122">
        <v>1.56</v>
      </c>
      <c r="F30" s="123" t="s">
        <v>274</v>
      </c>
      <c r="G30" s="124">
        <v>0.53</v>
      </c>
      <c r="H30" s="122" t="s">
        <v>152</v>
      </c>
      <c r="I30" s="125">
        <v>0.25</v>
      </c>
      <c r="J30" s="77"/>
      <c r="K30" s="77"/>
      <c r="L30" s="77"/>
      <c r="M30" s="77"/>
      <c r="N30" s="77"/>
    </row>
    <row r="31" spans="1:14" x14ac:dyDescent="0.3">
      <c r="A31" s="120" t="s">
        <v>26</v>
      </c>
      <c r="B31" s="121" t="s">
        <v>78</v>
      </c>
      <c r="C31" s="122">
        <v>0.56000000000000005</v>
      </c>
      <c r="D31" s="122" t="s">
        <v>161</v>
      </c>
      <c r="E31" s="122">
        <v>1.56</v>
      </c>
      <c r="F31" s="123" t="s">
        <v>274</v>
      </c>
      <c r="G31" s="124">
        <v>0.43</v>
      </c>
      <c r="H31" s="122" t="s">
        <v>278</v>
      </c>
      <c r="I31" s="125">
        <v>0.25</v>
      </c>
      <c r="J31" s="77"/>
      <c r="K31" s="77"/>
      <c r="L31" s="77"/>
      <c r="M31" s="77"/>
      <c r="N31" s="77"/>
    </row>
    <row r="32" spans="1:14" x14ac:dyDescent="0.3">
      <c r="A32" s="120" t="s">
        <v>27</v>
      </c>
      <c r="B32" s="121" t="s">
        <v>79</v>
      </c>
      <c r="C32" s="122">
        <v>0.48</v>
      </c>
      <c r="D32" s="122" t="s">
        <v>161</v>
      </c>
      <c r="E32" s="122">
        <v>1.3</v>
      </c>
      <c r="F32" s="123" t="s">
        <v>274</v>
      </c>
      <c r="G32" s="124">
        <v>0.6</v>
      </c>
      <c r="H32" s="122" t="s">
        <v>281</v>
      </c>
      <c r="I32" s="125">
        <v>0.43</v>
      </c>
      <c r="J32" s="77"/>
      <c r="K32" s="77"/>
      <c r="L32" s="77"/>
      <c r="M32" s="77"/>
      <c r="N32" s="77"/>
    </row>
    <row r="33" spans="1:14" x14ac:dyDescent="0.3">
      <c r="A33" s="120" t="s">
        <v>28</v>
      </c>
      <c r="B33" s="121" t="s">
        <v>80</v>
      </c>
      <c r="C33" s="122">
        <v>0.42</v>
      </c>
      <c r="D33" s="122" t="s">
        <v>161</v>
      </c>
      <c r="E33" s="122">
        <v>1.3</v>
      </c>
      <c r="F33" s="123" t="s">
        <v>274</v>
      </c>
      <c r="G33" s="124">
        <v>0.6</v>
      </c>
      <c r="H33" s="122" t="s">
        <v>281</v>
      </c>
      <c r="I33" s="125">
        <v>0.43</v>
      </c>
      <c r="J33" s="77"/>
      <c r="K33" s="77"/>
      <c r="L33" s="77"/>
      <c r="M33" s="77"/>
      <c r="N33" s="77"/>
    </row>
    <row r="34" spans="1:14" x14ac:dyDescent="0.3">
      <c r="A34" s="120" t="s">
        <v>81</v>
      </c>
      <c r="B34" s="121" t="s">
        <v>163</v>
      </c>
      <c r="C34" s="122">
        <v>0.42</v>
      </c>
      <c r="D34" s="122" t="s">
        <v>103</v>
      </c>
      <c r="E34" s="122">
        <v>1.3</v>
      </c>
      <c r="F34" s="123" t="s">
        <v>274</v>
      </c>
      <c r="G34" s="124">
        <v>0.6</v>
      </c>
      <c r="H34" s="121" t="s">
        <v>280</v>
      </c>
      <c r="I34" s="125">
        <v>0.43</v>
      </c>
      <c r="J34" s="77"/>
      <c r="K34" s="77"/>
      <c r="L34" s="77"/>
      <c r="M34" s="77"/>
      <c r="N34" s="77"/>
    </row>
    <row r="35" spans="1:14" x14ac:dyDescent="0.3">
      <c r="A35" s="120" t="s">
        <v>29</v>
      </c>
      <c r="B35" s="121" t="s">
        <v>82</v>
      </c>
      <c r="C35" s="122">
        <v>0.5</v>
      </c>
      <c r="D35" s="122" t="s">
        <v>161</v>
      </c>
      <c r="E35" s="122">
        <v>1.56</v>
      </c>
      <c r="F35" s="123" t="s">
        <v>274</v>
      </c>
      <c r="G35" s="124">
        <v>0.43</v>
      </c>
      <c r="H35" s="122" t="s">
        <v>278</v>
      </c>
      <c r="I35" s="125">
        <v>0.25</v>
      </c>
      <c r="J35" s="77"/>
      <c r="K35" s="77"/>
      <c r="L35" s="77"/>
      <c r="M35" s="77"/>
      <c r="N35" s="77"/>
    </row>
    <row r="36" spans="1:14" x14ac:dyDescent="0.3">
      <c r="A36" s="120" t="s">
        <v>102</v>
      </c>
      <c r="B36" s="121" t="s">
        <v>101</v>
      </c>
      <c r="C36" s="122">
        <v>0.55000000000000004</v>
      </c>
      <c r="D36" s="122" t="s">
        <v>161</v>
      </c>
      <c r="E36" s="122">
        <v>1.56</v>
      </c>
      <c r="F36" s="123" t="s">
        <v>274</v>
      </c>
      <c r="G36" s="124">
        <v>0.53</v>
      </c>
      <c r="H36" s="122" t="s">
        <v>275</v>
      </c>
      <c r="I36" s="125">
        <v>0.25</v>
      </c>
      <c r="J36" s="77"/>
      <c r="K36" s="77"/>
      <c r="L36" s="77"/>
      <c r="M36" s="77"/>
      <c r="N36" s="77"/>
    </row>
    <row r="37" spans="1:14" x14ac:dyDescent="0.3">
      <c r="A37" s="120" t="s">
        <v>30</v>
      </c>
      <c r="B37" s="121" t="s">
        <v>104</v>
      </c>
      <c r="C37" s="122">
        <v>0.52</v>
      </c>
      <c r="D37" s="122" t="s">
        <v>161</v>
      </c>
      <c r="E37" s="122">
        <v>1.56</v>
      </c>
      <c r="F37" s="123" t="s">
        <v>274</v>
      </c>
      <c r="G37" s="124">
        <v>0.53</v>
      </c>
      <c r="H37" s="122" t="s">
        <v>275</v>
      </c>
      <c r="I37" s="125">
        <v>0.25</v>
      </c>
      <c r="J37" s="77"/>
      <c r="K37" s="77"/>
      <c r="L37" s="77"/>
      <c r="M37" s="77"/>
      <c r="N37" s="77"/>
    </row>
    <row r="38" spans="1:14" x14ac:dyDescent="0.3">
      <c r="A38" s="120" t="s">
        <v>31</v>
      </c>
      <c r="B38" s="121" t="s">
        <v>105</v>
      </c>
      <c r="C38" s="122">
        <v>0.52</v>
      </c>
      <c r="D38" s="122" t="s">
        <v>161</v>
      </c>
      <c r="E38" s="122">
        <v>1.56</v>
      </c>
      <c r="F38" s="123" t="s">
        <v>274</v>
      </c>
      <c r="G38" s="124">
        <v>0.43</v>
      </c>
      <c r="H38" s="122" t="s">
        <v>278</v>
      </c>
      <c r="I38" s="125">
        <v>0.25</v>
      </c>
      <c r="J38" s="77"/>
      <c r="K38" s="77"/>
      <c r="L38" s="77"/>
      <c r="M38" s="77"/>
      <c r="N38" s="77"/>
    </row>
    <row r="39" spans="1:14" x14ac:dyDescent="0.3">
      <c r="A39" s="120" t="s">
        <v>107</v>
      </c>
      <c r="B39" s="121" t="s">
        <v>132</v>
      </c>
      <c r="C39" s="122">
        <v>0.313</v>
      </c>
      <c r="D39" s="122" t="s">
        <v>130</v>
      </c>
      <c r="E39" s="122">
        <v>1.56</v>
      </c>
      <c r="F39" s="123" t="s">
        <v>274</v>
      </c>
      <c r="G39" s="124">
        <v>0.6</v>
      </c>
      <c r="H39" s="122" t="s">
        <v>283</v>
      </c>
      <c r="I39" s="125">
        <v>1.03</v>
      </c>
      <c r="J39" s="77"/>
      <c r="K39" s="77"/>
      <c r="L39" s="77"/>
      <c r="M39" s="77"/>
      <c r="N39" s="77"/>
    </row>
    <row r="40" spans="1:14" x14ac:dyDescent="0.3">
      <c r="A40" s="120" t="s">
        <v>108</v>
      </c>
      <c r="B40" s="121" t="s">
        <v>132</v>
      </c>
      <c r="C40" s="122">
        <v>0.35199999999999998</v>
      </c>
      <c r="D40" s="122" t="s">
        <v>130</v>
      </c>
      <c r="E40" s="122">
        <v>1.56</v>
      </c>
      <c r="F40" s="123" t="s">
        <v>274</v>
      </c>
      <c r="G40" s="124">
        <v>0.6</v>
      </c>
      <c r="H40" s="122" t="s">
        <v>283</v>
      </c>
      <c r="I40" s="125">
        <v>1.03</v>
      </c>
      <c r="J40" s="77"/>
      <c r="K40" s="77"/>
      <c r="L40" s="77"/>
      <c r="M40" s="77"/>
      <c r="N40" s="77"/>
    </row>
    <row r="41" spans="1:14" x14ac:dyDescent="0.3">
      <c r="A41" s="120" t="s">
        <v>121</v>
      </c>
      <c r="B41" s="121" t="s">
        <v>132</v>
      </c>
      <c r="C41" s="122">
        <v>0.32200000000000001</v>
      </c>
      <c r="D41" s="122" t="s">
        <v>130</v>
      </c>
      <c r="E41" s="122">
        <v>1.56</v>
      </c>
      <c r="F41" s="123" t="s">
        <v>274</v>
      </c>
      <c r="G41" s="124">
        <v>0.6</v>
      </c>
      <c r="H41" s="122" t="s">
        <v>283</v>
      </c>
      <c r="I41" s="125">
        <v>1.03</v>
      </c>
      <c r="J41" s="77"/>
      <c r="K41" s="77"/>
      <c r="L41" s="77"/>
      <c r="M41" s="77"/>
      <c r="N41" s="77"/>
    </row>
    <row r="42" spans="1:14" x14ac:dyDescent="0.3">
      <c r="A42" s="120" t="s">
        <v>122</v>
      </c>
      <c r="B42" s="121" t="s">
        <v>132</v>
      </c>
      <c r="C42" s="122">
        <v>0.311</v>
      </c>
      <c r="D42" s="122" t="s">
        <v>130</v>
      </c>
      <c r="E42" s="122">
        <v>1.56</v>
      </c>
      <c r="F42" s="123" t="s">
        <v>274</v>
      </c>
      <c r="G42" s="124">
        <v>0.6</v>
      </c>
      <c r="H42" s="122" t="s">
        <v>283</v>
      </c>
      <c r="I42" s="125">
        <v>1.03</v>
      </c>
      <c r="J42" s="77"/>
      <c r="K42" s="77"/>
      <c r="L42" s="77"/>
      <c r="M42" s="77"/>
      <c r="N42" s="77"/>
    </row>
    <row r="43" spans="1:14" x14ac:dyDescent="0.3">
      <c r="A43" s="120" t="s">
        <v>109</v>
      </c>
      <c r="B43" s="121" t="s">
        <v>132</v>
      </c>
      <c r="C43" s="122">
        <v>0.33900000000000002</v>
      </c>
      <c r="D43" s="122" t="s">
        <v>130</v>
      </c>
      <c r="E43" s="122">
        <v>1.56</v>
      </c>
      <c r="F43" s="123" t="s">
        <v>274</v>
      </c>
      <c r="G43" s="124">
        <v>0.6</v>
      </c>
      <c r="H43" s="122" t="s">
        <v>283</v>
      </c>
      <c r="I43" s="125">
        <v>1.03</v>
      </c>
      <c r="J43" s="77"/>
      <c r="K43" s="77"/>
      <c r="L43" s="77"/>
      <c r="M43" s="77"/>
      <c r="N43" s="77"/>
    </row>
    <row r="44" spans="1:14" x14ac:dyDescent="0.3">
      <c r="A44" s="120" t="s">
        <v>123</v>
      </c>
      <c r="B44" s="121" t="s">
        <v>132</v>
      </c>
      <c r="C44" s="122">
        <v>0.33600000000000002</v>
      </c>
      <c r="D44" s="122" t="s">
        <v>130</v>
      </c>
      <c r="E44" s="122">
        <v>1.56</v>
      </c>
      <c r="F44" s="123" t="s">
        <v>274</v>
      </c>
      <c r="G44" s="124">
        <v>0.6</v>
      </c>
      <c r="H44" s="122" t="s">
        <v>283</v>
      </c>
      <c r="I44" s="125">
        <v>1.03</v>
      </c>
      <c r="J44" s="77"/>
      <c r="K44" s="77"/>
      <c r="L44" s="77"/>
      <c r="M44" s="77"/>
      <c r="N44" s="77"/>
    </row>
    <row r="45" spans="1:14" x14ac:dyDescent="0.3">
      <c r="A45" s="120" t="s">
        <v>110</v>
      </c>
      <c r="B45" s="121" t="s">
        <v>132</v>
      </c>
      <c r="C45" s="122">
        <v>0.32900000000000001</v>
      </c>
      <c r="D45" s="122" t="s">
        <v>130</v>
      </c>
      <c r="E45" s="122">
        <v>1.56</v>
      </c>
      <c r="F45" s="123" t="s">
        <v>274</v>
      </c>
      <c r="G45" s="124">
        <v>0.6</v>
      </c>
      <c r="H45" s="122" t="s">
        <v>283</v>
      </c>
      <c r="I45" s="125">
        <v>1.03</v>
      </c>
      <c r="J45" s="77"/>
      <c r="K45" s="77"/>
      <c r="L45" s="77"/>
      <c r="M45" s="77"/>
      <c r="N45" s="77"/>
    </row>
    <row r="46" spans="1:14" x14ac:dyDescent="0.3">
      <c r="A46" s="120" t="s">
        <v>124</v>
      </c>
      <c r="B46" s="121" t="s">
        <v>132</v>
      </c>
      <c r="C46" s="122">
        <v>0.34300000000000003</v>
      </c>
      <c r="D46" s="122" t="s">
        <v>130</v>
      </c>
      <c r="E46" s="122">
        <v>1.56</v>
      </c>
      <c r="F46" s="123" t="s">
        <v>274</v>
      </c>
      <c r="G46" s="124">
        <v>0.6</v>
      </c>
      <c r="H46" s="122" t="s">
        <v>283</v>
      </c>
      <c r="I46" s="125">
        <v>1.03</v>
      </c>
      <c r="J46" s="77"/>
      <c r="K46" s="77"/>
      <c r="L46" s="77"/>
      <c r="M46" s="77"/>
      <c r="N46" s="77"/>
    </row>
    <row r="47" spans="1:14" x14ac:dyDescent="0.3">
      <c r="A47" s="120" t="s">
        <v>125</v>
      </c>
      <c r="B47" s="121" t="s">
        <v>132</v>
      </c>
      <c r="C47" s="122">
        <v>0.32500000000000001</v>
      </c>
      <c r="D47" s="122" t="s">
        <v>130</v>
      </c>
      <c r="E47" s="122">
        <v>1.56</v>
      </c>
      <c r="F47" s="123" t="s">
        <v>274</v>
      </c>
      <c r="G47" s="124">
        <v>0.6</v>
      </c>
      <c r="H47" s="122" t="s">
        <v>283</v>
      </c>
      <c r="I47" s="125">
        <v>1.03</v>
      </c>
      <c r="J47" s="77"/>
      <c r="K47" s="77"/>
      <c r="L47" s="77"/>
      <c r="M47" s="77"/>
      <c r="N47" s="77"/>
    </row>
    <row r="48" spans="1:14" x14ac:dyDescent="0.3">
      <c r="A48" s="120" t="s">
        <v>126</v>
      </c>
      <c r="B48" s="121" t="s">
        <v>132</v>
      </c>
      <c r="C48" s="122">
        <v>0.32</v>
      </c>
      <c r="D48" s="122" t="s">
        <v>130</v>
      </c>
      <c r="E48" s="122">
        <v>1.56</v>
      </c>
      <c r="F48" s="123" t="s">
        <v>274</v>
      </c>
      <c r="G48" s="124">
        <v>0.6</v>
      </c>
      <c r="H48" s="122" t="s">
        <v>283</v>
      </c>
      <c r="I48" s="125">
        <v>1.03</v>
      </c>
      <c r="J48" s="77"/>
      <c r="K48" s="77"/>
      <c r="L48" s="77"/>
      <c r="M48" s="77"/>
      <c r="N48" s="77"/>
    </row>
    <row r="49" spans="1:14" x14ac:dyDescent="0.3">
      <c r="A49" s="120" t="s">
        <v>111</v>
      </c>
      <c r="B49" s="121" t="s">
        <v>132</v>
      </c>
      <c r="C49" s="122">
        <v>0.28199999999999997</v>
      </c>
      <c r="D49" s="122" t="s">
        <v>130</v>
      </c>
      <c r="E49" s="122">
        <v>1.56</v>
      </c>
      <c r="F49" s="123" t="s">
        <v>274</v>
      </c>
      <c r="G49" s="124">
        <v>0.6</v>
      </c>
      <c r="H49" s="122" t="s">
        <v>283</v>
      </c>
      <c r="I49" s="125">
        <v>1.03</v>
      </c>
      <c r="J49" s="77"/>
      <c r="K49" s="77"/>
      <c r="L49" s="77"/>
      <c r="M49" s="77"/>
      <c r="N49" s="77"/>
    </row>
    <row r="50" spans="1:14" x14ac:dyDescent="0.3">
      <c r="A50" s="120" t="s">
        <v>127</v>
      </c>
      <c r="B50" s="121" t="s">
        <v>132</v>
      </c>
      <c r="C50" s="122">
        <v>0.32800000000000001</v>
      </c>
      <c r="D50" s="122" t="s">
        <v>130</v>
      </c>
      <c r="E50" s="122">
        <v>1.56</v>
      </c>
      <c r="F50" s="123" t="s">
        <v>274</v>
      </c>
      <c r="G50" s="124">
        <v>0.6</v>
      </c>
      <c r="H50" s="122" t="s">
        <v>283</v>
      </c>
      <c r="I50" s="125">
        <v>1.03</v>
      </c>
      <c r="J50" s="77"/>
      <c r="K50" s="77"/>
      <c r="L50" s="77"/>
      <c r="M50" s="77"/>
      <c r="N50" s="77"/>
    </row>
    <row r="51" spans="1:14" x14ac:dyDescent="0.3">
      <c r="A51" s="120" t="s">
        <v>112</v>
      </c>
      <c r="B51" s="121" t="s">
        <v>132</v>
      </c>
      <c r="C51" s="122">
        <v>0.32600000000000001</v>
      </c>
      <c r="D51" s="122" t="s">
        <v>130</v>
      </c>
      <c r="E51" s="122">
        <v>1.56</v>
      </c>
      <c r="F51" s="123" t="s">
        <v>274</v>
      </c>
      <c r="G51" s="124">
        <v>0.6</v>
      </c>
      <c r="H51" s="122" t="s">
        <v>283</v>
      </c>
      <c r="I51" s="125">
        <v>1.03</v>
      </c>
      <c r="J51" s="77"/>
      <c r="K51" s="77"/>
      <c r="L51" s="77"/>
      <c r="M51" s="77"/>
      <c r="N51" s="77"/>
    </row>
    <row r="52" spans="1:14" x14ac:dyDescent="0.3">
      <c r="A52" s="120" t="s">
        <v>113</v>
      </c>
      <c r="B52" s="121" t="s">
        <v>132</v>
      </c>
      <c r="C52" s="122">
        <v>0.35899999999999999</v>
      </c>
      <c r="D52" s="122" t="s">
        <v>130</v>
      </c>
      <c r="E52" s="122">
        <v>1.56</v>
      </c>
      <c r="F52" s="123" t="s">
        <v>274</v>
      </c>
      <c r="G52" s="124">
        <v>0.6</v>
      </c>
      <c r="H52" s="122" t="s">
        <v>283</v>
      </c>
      <c r="I52" s="125">
        <v>1.03</v>
      </c>
      <c r="J52" s="77"/>
      <c r="K52" s="77"/>
      <c r="L52" s="77"/>
      <c r="M52" s="77"/>
      <c r="N52" s="77"/>
    </row>
    <row r="53" spans="1:14" x14ac:dyDescent="0.3">
      <c r="A53" s="120" t="s">
        <v>114</v>
      </c>
      <c r="B53" s="121" t="s">
        <v>132</v>
      </c>
      <c r="C53" s="122">
        <v>0.34599999999999997</v>
      </c>
      <c r="D53" s="122" t="s">
        <v>130</v>
      </c>
      <c r="E53" s="122">
        <v>1.56</v>
      </c>
      <c r="F53" s="123" t="s">
        <v>274</v>
      </c>
      <c r="G53" s="124">
        <v>0.6</v>
      </c>
      <c r="H53" s="122" t="s">
        <v>283</v>
      </c>
      <c r="I53" s="125">
        <v>1.03</v>
      </c>
      <c r="J53" s="77"/>
      <c r="K53" s="77"/>
      <c r="L53" s="77"/>
      <c r="M53" s="77"/>
      <c r="N53" s="77"/>
    </row>
    <row r="54" spans="1:14" x14ac:dyDescent="0.3">
      <c r="A54" s="120" t="s">
        <v>115</v>
      </c>
      <c r="B54" s="121" t="s">
        <v>132</v>
      </c>
      <c r="C54" s="122">
        <v>0.32600000000000001</v>
      </c>
      <c r="D54" s="122" t="s">
        <v>130</v>
      </c>
      <c r="E54" s="122">
        <v>1.56</v>
      </c>
      <c r="F54" s="123" t="s">
        <v>274</v>
      </c>
      <c r="G54" s="124">
        <v>0.6</v>
      </c>
      <c r="H54" s="122" t="s">
        <v>283</v>
      </c>
      <c r="I54" s="125">
        <v>1.03</v>
      </c>
      <c r="J54" s="77"/>
      <c r="K54" s="77"/>
      <c r="L54" s="77"/>
      <c r="M54" s="77"/>
      <c r="N54" s="77"/>
    </row>
    <row r="55" spans="1:14" x14ac:dyDescent="0.3">
      <c r="A55" s="120" t="s">
        <v>116</v>
      </c>
      <c r="B55" s="121" t="s">
        <v>132</v>
      </c>
      <c r="C55" s="122">
        <v>0.30499999999999999</v>
      </c>
      <c r="D55" s="122" t="s">
        <v>130</v>
      </c>
      <c r="E55" s="122">
        <v>1.56</v>
      </c>
      <c r="F55" s="123" t="s">
        <v>274</v>
      </c>
      <c r="G55" s="124">
        <v>0.6</v>
      </c>
      <c r="H55" s="122" t="s">
        <v>283</v>
      </c>
      <c r="I55" s="125">
        <v>1.03</v>
      </c>
      <c r="J55" s="77"/>
      <c r="K55" s="77"/>
      <c r="L55" s="77"/>
      <c r="M55" s="77"/>
      <c r="N55" s="77"/>
    </row>
    <row r="56" spans="1:14" x14ac:dyDescent="0.3">
      <c r="A56" s="120" t="s">
        <v>128</v>
      </c>
      <c r="B56" s="121" t="s">
        <v>132</v>
      </c>
      <c r="C56" s="122">
        <v>0.32300000000000001</v>
      </c>
      <c r="D56" s="122" t="s">
        <v>130</v>
      </c>
      <c r="E56" s="122">
        <v>1.56</v>
      </c>
      <c r="F56" s="123" t="s">
        <v>274</v>
      </c>
      <c r="G56" s="124">
        <v>0.6</v>
      </c>
      <c r="H56" s="122" t="s">
        <v>283</v>
      </c>
      <c r="I56" s="125">
        <v>1.03</v>
      </c>
      <c r="J56" s="77"/>
      <c r="K56" s="77"/>
      <c r="L56" s="77"/>
      <c r="M56" s="77"/>
      <c r="N56" s="77"/>
    </row>
    <row r="57" spans="1:14" x14ac:dyDescent="0.3">
      <c r="A57" s="120" t="s">
        <v>129</v>
      </c>
      <c r="B57" s="121" t="s">
        <v>132</v>
      </c>
      <c r="C57" s="122">
        <v>0.36699999999999999</v>
      </c>
      <c r="D57" s="122" t="s">
        <v>130</v>
      </c>
      <c r="E57" s="122">
        <v>1.56</v>
      </c>
      <c r="F57" s="123" t="s">
        <v>274</v>
      </c>
      <c r="G57" s="124">
        <v>0.6</v>
      </c>
      <c r="H57" s="122" t="s">
        <v>283</v>
      </c>
      <c r="I57" s="125">
        <v>1.03</v>
      </c>
      <c r="J57" s="77"/>
      <c r="K57" s="77"/>
      <c r="L57" s="77"/>
      <c r="M57" s="77"/>
      <c r="N57" s="77"/>
    </row>
    <row r="58" spans="1:14" x14ac:dyDescent="0.3">
      <c r="A58" s="120" t="s">
        <v>117</v>
      </c>
      <c r="B58" s="121" t="s">
        <v>132</v>
      </c>
      <c r="C58" s="122">
        <v>0.36</v>
      </c>
      <c r="D58" s="122" t="s">
        <v>130</v>
      </c>
      <c r="E58" s="122">
        <v>1.56</v>
      </c>
      <c r="F58" s="123" t="s">
        <v>274</v>
      </c>
      <c r="G58" s="124">
        <v>0.6</v>
      </c>
      <c r="H58" s="122" t="s">
        <v>283</v>
      </c>
      <c r="I58" s="125">
        <v>1.03</v>
      </c>
      <c r="J58" s="77"/>
      <c r="K58" s="77"/>
      <c r="L58" s="77"/>
      <c r="M58" s="77"/>
      <c r="N58" s="77"/>
    </row>
    <row r="59" spans="1:14" x14ac:dyDescent="0.3">
      <c r="A59" s="120" t="s">
        <v>118</v>
      </c>
      <c r="B59" s="121" t="s">
        <v>132</v>
      </c>
      <c r="C59" s="122">
        <v>0.36799999999999999</v>
      </c>
      <c r="D59" s="122" t="s">
        <v>130</v>
      </c>
      <c r="E59" s="122">
        <v>1.56</v>
      </c>
      <c r="F59" s="123" t="s">
        <v>274</v>
      </c>
      <c r="G59" s="124">
        <v>0.6</v>
      </c>
      <c r="H59" s="122" t="s">
        <v>283</v>
      </c>
      <c r="I59" s="125">
        <v>1.03</v>
      </c>
      <c r="J59" s="77"/>
      <c r="K59" s="77"/>
      <c r="L59" s="77"/>
      <c r="M59" s="77"/>
      <c r="N59" s="77"/>
    </row>
    <row r="60" spans="1:14" x14ac:dyDescent="0.3">
      <c r="A60" s="120" t="s">
        <v>119</v>
      </c>
      <c r="B60" s="121" t="s">
        <v>132</v>
      </c>
      <c r="C60" s="122">
        <v>0.30599999999999999</v>
      </c>
      <c r="D60" s="122" t="s">
        <v>130</v>
      </c>
      <c r="E60" s="122">
        <v>1.56</v>
      </c>
      <c r="F60" s="123" t="s">
        <v>274</v>
      </c>
      <c r="G60" s="124">
        <v>0.6</v>
      </c>
      <c r="H60" s="122" t="s">
        <v>283</v>
      </c>
      <c r="I60" s="125">
        <v>1.03</v>
      </c>
      <c r="J60" s="77"/>
      <c r="K60" s="77"/>
      <c r="L60" s="77"/>
      <c r="M60" s="77"/>
      <c r="N60" s="77"/>
    </row>
    <row r="61" spans="1:14" x14ac:dyDescent="0.3">
      <c r="A61" s="120" t="s">
        <v>120</v>
      </c>
      <c r="B61" s="121" t="s">
        <v>132</v>
      </c>
      <c r="C61" s="122">
        <v>0.313</v>
      </c>
      <c r="D61" s="122" t="s">
        <v>130</v>
      </c>
      <c r="E61" s="122">
        <v>1.56</v>
      </c>
      <c r="F61" s="123" t="s">
        <v>274</v>
      </c>
      <c r="G61" s="124">
        <v>0.6</v>
      </c>
      <c r="H61" s="122" t="s">
        <v>283</v>
      </c>
      <c r="I61" s="125">
        <v>1.03</v>
      </c>
      <c r="J61" s="77"/>
      <c r="K61" s="77"/>
      <c r="L61" s="77"/>
      <c r="M61" s="77"/>
      <c r="N61" s="77"/>
    </row>
    <row r="62" spans="1:14" x14ac:dyDescent="0.3">
      <c r="A62" s="120" t="s">
        <v>32</v>
      </c>
      <c r="B62" s="121" t="s">
        <v>133</v>
      </c>
      <c r="C62" s="122">
        <v>0.37</v>
      </c>
      <c r="D62" s="122" t="s">
        <v>161</v>
      </c>
      <c r="E62" s="122">
        <v>1.56</v>
      </c>
      <c r="F62" s="123" t="s">
        <v>274</v>
      </c>
      <c r="G62" s="124">
        <v>0.6</v>
      </c>
      <c r="H62" s="122" t="s">
        <v>283</v>
      </c>
      <c r="I62" s="125">
        <v>1.03</v>
      </c>
      <c r="J62" s="77"/>
      <c r="K62" s="77"/>
      <c r="L62" s="77"/>
      <c r="M62" s="77"/>
      <c r="N62" s="77"/>
    </row>
    <row r="63" spans="1:14" x14ac:dyDescent="0.3">
      <c r="A63" s="120" t="s">
        <v>90</v>
      </c>
      <c r="B63" s="121" t="s">
        <v>83</v>
      </c>
      <c r="C63" s="122">
        <v>0.45</v>
      </c>
      <c r="D63" s="122" t="s">
        <v>161</v>
      </c>
      <c r="E63" s="122">
        <v>1.3</v>
      </c>
      <c r="F63" s="123" t="s">
        <v>274</v>
      </c>
      <c r="G63" s="124">
        <v>0.45</v>
      </c>
      <c r="H63" s="122" t="s">
        <v>276</v>
      </c>
      <c r="I63" s="125">
        <v>0.43</v>
      </c>
      <c r="J63" s="77"/>
      <c r="K63" s="77"/>
      <c r="L63" s="77"/>
      <c r="M63" s="77"/>
      <c r="N63" s="77"/>
    </row>
    <row r="64" spans="1:14" x14ac:dyDescent="0.3">
      <c r="A64" s="120" t="s">
        <v>33</v>
      </c>
      <c r="B64" s="121" t="s">
        <v>134</v>
      </c>
      <c r="C64" s="122">
        <v>0.39</v>
      </c>
      <c r="D64" s="122" t="s">
        <v>161</v>
      </c>
      <c r="E64" s="122">
        <v>1.3</v>
      </c>
      <c r="F64" s="123" t="s">
        <v>274</v>
      </c>
      <c r="G64" s="124">
        <v>0.45</v>
      </c>
      <c r="H64" s="122" t="s">
        <v>276</v>
      </c>
      <c r="I64" s="125">
        <v>0.43</v>
      </c>
      <c r="J64" s="77"/>
      <c r="K64" s="77"/>
      <c r="L64" s="77"/>
      <c r="M64" s="77"/>
      <c r="N64" s="77"/>
    </row>
    <row r="65" spans="1:14" x14ac:dyDescent="0.3">
      <c r="A65" s="120" t="s">
        <v>34</v>
      </c>
      <c r="B65" s="121" t="s">
        <v>135</v>
      </c>
      <c r="C65" s="122">
        <v>0.44</v>
      </c>
      <c r="D65" s="122" t="s">
        <v>161</v>
      </c>
      <c r="E65" s="122">
        <v>1.3</v>
      </c>
      <c r="F65" s="123" t="s">
        <v>274</v>
      </c>
      <c r="G65" s="124">
        <v>0.45</v>
      </c>
      <c r="H65" s="122" t="s">
        <v>276</v>
      </c>
      <c r="I65" s="125">
        <v>0.43</v>
      </c>
      <c r="J65" s="77"/>
      <c r="K65" s="77"/>
      <c r="L65" s="77"/>
      <c r="M65" s="77"/>
      <c r="N65" s="77"/>
    </row>
    <row r="66" spans="1:14" x14ac:dyDescent="0.3">
      <c r="A66" s="120" t="s">
        <v>35</v>
      </c>
      <c r="B66" s="121" t="s">
        <v>84</v>
      </c>
      <c r="C66" s="122">
        <v>0.46</v>
      </c>
      <c r="D66" s="122" t="s">
        <v>161</v>
      </c>
      <c r="E66" s="122">
        <v>1.3</v>
      </c>
      <c r="F66" s="123" t="s">
        <v>274</v>
      </c>
      <c r="G66" s="124">
        <v>0.45</v>
      </c>
      <c r="H66" s="122" t="s">
        <v>276</v>
      </c>
      <c r="I66" s="125">
        <v>0.43</v>
      </c>
      <c r="J66" s="77"/>
      <c r="K66" s="77"/>
      <c r="L66" s="77"/>
      <c r="M66" s="77"/>
      <c r="N66" s="77"/>
    </row>
    <row r="67" spans="1:14" x14ac:dyDescent="0.3">
      <c r="A67" s="120" t="s">
        <v>36</v>
      </c>
      <c r="B67" s="121" t="s">
        <v>85</v>
      </c>
      <c r="C67" s="122">
        <v>0.46</v>
      </c>
      <c r="D67" s="122" t="s">
        <v>161</v>
      </c>
      <c r="E67" s="122">
        <v>1.3</v>
      </c>
      <c r="F67" s="123" t="s">
        <v>274</v>
      </c>
      <c r="G67" s="124">
        <v>0.45</v>
      </c>
      <c r="H67" s="122" t="s">
        <v>152</v>
      </c>
      <c r="I67" s="125">
        <v>0.59</v>
      </c>
      <c r="J67" s="77"/>
      <c r="K67" s="77"/>
      <c r="L67" s="77"/>
      <c r="M67" s="77"/>
      <c r="N67" s="77"/>
    </row>
    <row r="68" spans="1:14" x14ac:dyDescent="0.3">
      <c r="A68" s="120" t="s">
        <v>37</v>
      </c>
      <c r="B68" s="121" t="s">
        <v>136</v>
      </c>
      <c r="C68" s="122">
        <v>0.44</v>
      </c>
      <c r="D68" s="122" t="s">
        <v>161</v>
      </c>
      <c r="E68" s="122">
        <v>1.3</v>
      </c>
      <c r="F68" s="123" t="s">
        <v>274</v>
      </c>
      <c r="G68" s="124">
        <v>0.45</v>
      </c>
      <c r="H68" s="122" t="s">
        <v>276</v>
      </c>
      <c r="I68" s="125">
        <v>0.43</v>
      </c>
      <c r="J68" s="77"/>
      <c r="K68" s="77"/>
      <c r="L68" s="77"/>
      <c r="M68" s="77"/>
      <c r="N68" s="77"/>
    </row>
    <row r="69" spans="1:14" x14ac:dyDescent="0.3">
      <c r="A69" s="120" t="s">
        <v>38</v>
      </c>
      <c r="B69" s="121" t="s">
        <v>86</v>
      </c>
      <c r="C69" s="122">
        <v>0.46</v>
      </c>
      <c r="D69" s="122" t="s">
        <v>161</v>
      </c>
      <c r="E69" s="122">
        <v>1.3</v>
      </c>
      <c r="F69" s="123" t="s">
        <v>274</v>
      </c>
      <c r="G69" s="124">
        <v>0.45</v>
      </c>
      <c r="H69" s="122" t="s">
        <v>276</v>
      </c>
      <c r="I69" s="125">
        <v>0.43</v>
      </c>
      <c r="J69" s="77"/>
      <c r="K69" s="77"/>
      <c r="L69" s="77"/>
      <c r="M69" s="77"/>
      <c r="N69" s="77"/>
    </row>
    <row r="70" spans="1:14" x14ac:dyDescent="0.3">
      <c r="A70" s="120" t="s">
        <v>39</v>
      </c>
      <c r="B70" s="121" t="s">
        <v>137</v>
      </c>
      <c r="C70" s="122">
        <v>0.48</v>
      </c>
      <c r="D70" s="122" t="s">
        <v>161</v>
      </c>
      <c r="E70" s="122">
        <v>2.4</v>
      </c>
      <c r="F70" s="122" t="s">
        <v>284</v>
      </c>
      <c r="G70" s="124">
        <v>0.45</v>
      </c>
      <c r="H70" s="122" t="s">
        <v>276</v>
      </c>
      <c r="I70" s="125">
        <v>0.43</v>
      </c>
      <c r="J70" s="77"/>
      <c r="K70" s="77"/>
      <c r="L70" s="77"/>
      <c r="M70" s="77"/>
      <c r="N70" s="77"/>
    </row>
    <row r="71" spans="1:14" x14ac:dyDescent="0.3">
      <c r="A71" s="120" t="s">
        <v>40</v>
      </c>
      <c r="B71" s="121" t="s">
        <v>87</v>
      </c>
      <c r="C71" s="122">
        <v>0.46</v>
      </c>
      <c r="D71" s="122" t="s">
        <v>150</v>
      </c>
      <c r="E71" s="122">
        <v>1.3</v>
      </c>
      <c r="F71" s="123" t="s">
        <v>274</v>
      </c>
      <c r="G71" s="124">
        <v>0.45</v>
      </c>
      <c r="H71" s="122" t="s">
        <v>276</v>
      </c>
      <c r="I71" s="125">
        <v>0.43</v>
      </c>
      <c r="J71" s="77"/>
      <c r="K71" s="77"/>
      <c r="L71" s="77"/>
      <c r="M71" s="77"/>
      <c r="N71" s="77"/>
    </row>
    <row r="72" spans="1:14" x14ac:dyDescent="0.3">
      <c r="A72" s="120" t="s">
        <v>41</v>
      </c>
      <c r="B72" s="121" t="s">
        <v>88</v>
      </c>
      <c r="C72" s="122">
        <v>0.44</v>
      </c>
      <c r="D72" s="122" t="s">
        <v>161</v>
      </c>
      <c r="E72" s="122">
        <v>1.3</v>
      </c>
      <c r="F72" s="123" t="s">
        <v>274</v>
      </c>
      <c r="G72" s="124">
        <v>0.45</v>
      </c>
      <c r="H72" s="122" t="s">
        <v>276</v>
      </c>
      <c r="I72" s="125">
        <v>0.43</v>
      </c>
      <c r="J72" s="77"/>
      <c r="K72" s="77"/>
      <c r="L72" s="77"/>
      <c r="M72" s="77"/>
      <c r="N72" s="77"/>
    </row>
    <row r="73" spans="1:14" x14ac:dyDescent="0.3">
      <c r="A73" s="120" t="s">
        <v>138</v>
      </c>
      <c r="B73" s="121" t="s">
        <v>140</v>
      </c>
      <c r="C73" s="122">
        <v>0.46</v>
      </c>
      <c r="D73" s="122" t="s">
        <v>151</v>
      </c>
      <c r="E73" s="122">
        <v>1.3</v>
      </c>
      <c r="F73" s="123" t="s">
        <v>274</v>
      </c>
      <c r="G73" s="124">
        <v>0.45</v>
      </c>
      <c r="H73" s="122" t="s">
        <v>276</v>
      </c>
      <c r="I73" s="125">
        <v>0.43</v>
      </c>
      <c r="J73" s="77"/>
      <c r="K73" s="77"/>
      <c r="L73" s="77"/>
      <c r="M73" s="77"/>
      <c r="N73" s="77"/>
    </row>
    <row r="74" spans="1:14" x14ac:dyDescent="0.3">
      <c r="A74" s="120" t="s">
        <v>42</v>
      </c>
      <c r="B74" s="121" t="s">
        <v>139</v>
      </c>
      <c r="C74" s="122">
        <v>0.34</v>
      </c>
      <c r="D74" s="122" t="s">
        <v>161</v>
      </c>
      <c r="E74" s="122">
        <v>1.3</v>
      </c>
      <c r="F74" s="123" t="s">
        <v>274</v>
      </c>
      <c r="G74" s="124">
        <v>0.45</v>
      </c>
      <c r="H74" s="122" t="s">
        <v>276</v>
      </c>
      <c r="I74" s="125">
        <v>0.43</v>
      </c>
      <c r="J74" s="77"/>
      <c r="K74" s="77"/>
      <c r="L74" s="77"/>
      <c r="M74" s="77"/>
      <c r="N74" s="77"/>
    </row>
    <row r="75" spans="1:14" x14ac:dyDescent="0.3">
      <c r="A75" s="120" t="s">
        <v>43</v>
      </c>
      <c r="B75" s="121" t="s">
        <v>162</v>
      </c>
      <c r="C75" s="122">
        <v>0.5</v>
      </c>
      <c r="D75" s="122" t="s">
        <v>161</v>
      </c>
      <c r="E75" s="122">
        <v>1.56</v>
      </c>
      <c r="F75" s="123" t="s">
        <v>274</v>
      </c>
      <c r="G75" s="124">
        <v>0.53</v>
      </c>
      <c r="H75" s="122" t="s">
        <v>275</v>
      </c>
      <c r="I75" s="125">
        <v>0.25</v>
      </c>
      <c r="J75" s="77"/>
      <c r="K75" s="77"/>
      <c r="L75" s="77"/>
      <c r="M75" s="77"/>
      <c r="N75" s="77"/>
    </row>
    <row r="76" spans="1:14" x14ac:dyDescent="0.3">
      <c r="A76" s="120" t="s">
        <v>44</v>
      </c>
      <c r="B76" s="121" t="s">
        <v>89</v>
      </c>
      <c r="C76" s="122">
        <v>0.57999999999999996</v>
      </c>
      <c r="D76" s="122" t="s">
        <v>161</v>
      </c>
      <c r="E76" s="122">
        <v>1.56</v>
      </c>
      <c r="F76" s="123" t="s">
        <v>274</v>
      </c>
      <c r="G76" s="124">
        <v>0.3</v>
      </c>
      <c r="H76" s="122" t="s">
        <v>277</v>
      </c>
      <c r="I76" s="125">
        <v>0.25</v>
      </c>
      <c r="J76" s="77"/>
      <c r="K76" s="77"/>
      <c r="L76" s="77"/>
      <c r="M76" s="77"/>
      <c r="N76" s="77"/>
    </row>
    <row r="77" spans="1:14" x14ac:dyDescent="0.3">
      <c r="A77" s="120" t="s">
        <v>47</v>
      </c>
      <c r="B77" s="121" t="s">
        <v>141</v>
      </c>
      <c r="C77" s="122">
        <v>0.37</v>
      </c>
      <c r="D77" s="122" t="s">
        <v>161</v>
      </c>
      <c r="E77" s="122">
        <v>1.3</v>
      </c>
      <c r="F77" s="123" t="s">
        <v>274</v>
      </c>
      <c r="G77" s="124">
        <v>0.55000000000000004</v>
      </c>
      <c r="H77" s="122" t="s">
        <v>152</v>
      </c>
      <c r="I77" s="125">
        <v>0.43</v>
      </c>
      <c r="J77" s="77"/>
      <c r="K77" s="77"/>
      <c r="L77" s="77"/>
      <c r="M77" s="77"/>
      <c r="N77" s="77"/>
    </row>
    <row r="78" spans="1:14" x14ac:dyDescent="0.3">
      <c r="A78" s="120" t="s">
        <v>45</v>
      </c>
      <c r="B78" s="121" t="s">
        <v>96</v>
      </c>
      <c r="C78" s="122">
        <v>0.37</v>
      </c>
      <c r="D78" s="122" t="s">
        <v>161</v>
      </c>
      <c r="E78" s="122">
        <v>1.3</v>
      </c>
      <c r="F78" s="123" t="s">
        <v>274</v>
      </c>
      <c r="G78" s="124">
        <v>0.55000000000000004</v>
      </c>
      <c r="H78" s="122" t="s">
        <v>152</v>
      </c>
      <c r="I78" s="125">
        <v>0.43</v>
      </c>
      <c r="J78" s="77"/>
      <c r="K78" s="77"/>
      <c r="L78" s="77"/>
      <c r="M78" s="77"/>
      <c r="N78" s="77"/>
    </row>
    <row r="79" spans="1:14" x14ac:dyDescent="0.3">
      <c r="A79" s="120" t="s">
        <v>46</v>
      </c>
      <c r="B79" s="121" t="s">
        <v>95</v>
      </c>
      <c r="C79" s="122">
        <v>0.38</v>
      </c>
      <c r="D79" s="122" t="s">
        <v>161</v>
      </c>
      <c r="E79" s="122">
        <v>1.3</v>
      </c>
      <c r="F79" s="123" t="s">
        <v>274</v>
      </c>
      <c r="G79" s="124">
        <v>0.55000000000000004</v>
      </c>
      <c r="H79" s="122" t="s">
        <v>153</v>
      </c>
      <c r="I79" s="125">
        <v>0.43</v>
      </c>
      <c r="J79" s="77"/>
      <c r="K79" s="77"/>
      <c r="L79" s="77"/>
      <c r="M79" s="77"/>
      <c r="N79" s="77"/>
    </row>
    <row r="80" spans="1:14" x14ac:dyDescent="0.3">
      <c r="A80" s="120" t="s">
        <v>48</v>
      </c>
      <c r="B80" s="121" t="s">
        <v>94</v>
      </c>
      <c r="C80" s="122">
        <v>0.36</v>
      </c>
      <c r="D80" s="122" t="s">
        <v>161</v>
      </c>
      <c r="E80" s="122">
        <v>1.3</v>
      </c>
      <c r="F80" s="123" t="s">
        <v>274</v>
      </c>
      <c r="G80" s="124">
        <v>0.55000000000000004</v>
      </c>
      <c r="H80" s="122" t="s">
        <v>153</v>
      </c>
      <c r="I80" s="125">
        <v>0.43</v>
      </c>
      <c r="J80" s="77"/>
      <c r="K80" s="77"/>
      <c r="L80" s="77"/>
      <c r="M80" s="77"/>
      <c r="N80" s="77"/>
    </row>
    <row r="81" spans="1:14" x14ac:dyDescent="0.3">
      <c r="A81" s="120" t="s">
        <v>49</v>
      </c>
      <c r="B81" s="121" t="s">
        <v>142</v>
      </c>
      <c r="C81" s="122">
        <v>0.37</v>
      </c>
      <c r="D81" s="122" t="s">
        <v>161</v>
      </c>
      <c r="E81" s="122">
        <v>1.56</v>
      </c>
      <c r="F81" s="123" t="s">
        <v>274</v>
      </c>
      <c r="G81" s="124">
        <v>0.43</v>
      </c>
      <c r="H81" s="122" t="s">
        <v>278</v>
      </c>
      <c r="I81" s="125">
        <v>0.25</v>
      </c>
      <c r="J81" s="77"/>
      <c r="K81" s="77"/>
      <c r="L81" s="77"/>
      <c r="M81" s="77"/>
      <c r="N81" s="77"/>
    </row>
    <row r="82" spans="1:14" x14ac:dyDescent="0.3">
      <c r="A82" s="120" t="s">
        <v>158</v>
      </c>
      <c r="B82" s="121" t="s">
        <v>159</v>
      </c>
      <c r="C82" s="122">
        <v>0.35</v>
      </c>
      <c r="D82" s="122" t="s">
        <v>160</v>
      </c>
      <c r="E82" s="122">
        <v>1.3</v>
      </c>
      <c r="F82" s="123" t="s">
        <v>274</v>
      </c>
      <c r="G82" s="124">
        <v>0.55000000000000004</v>
      </c>
      <c r="H82" s="122" t="s">
        <v>153</v>
      </c>
      <c r="I82" s="125">
        <v>0.43</v>
      </c>
      <c r="J82" s="77"/>
      <c r="K82" s="77"/>
      <c r="L82" s="77"/>
      <c r="M82" s="77"/>
      <c r="N82" s="77"/>
    </row>
    <row r="83" spans="1:14" x14ac:dyDescent="0.3">
      <c r="A83" s="120" t="s">
        <v>156</v>
      </c>
      <c r="B83" s="121" t="s">
        <v>157</v>
      </c>
      <c r="C83" s="122">
        <v>0.34</v>
      </c>
      <c r="D83" s="122" t="s">
        <v>161</v>
      </c>
      <c r="E83" s="122">
        <v>1.3</v>
      </c>
      <c r="F83" s="123" t="s">
        <v>274</v>
      </c>
      <c r="G83" s="124">
        <v>0.55000000000000004</v>
      </c>
      <c r="H83" s="122" t="s">
        <v>153</v>
      </c>
      <c r="I83" s="125">
        <v>0.43</v>
      </c>
      <c r="J83" s="77"/>
      <c r="K83" s="77"/>
      <c r="L83" s="77"/>
      <c r="M83" s="77"/>
      <c r="N83" s="77"/>
    </row>
    <row r="84" spans="1:14" x14ac:dyDescent="0.3">
      <c r="A84" s="120" t="s">
        <v>92</v>
      </c>
      <c r="B84" s="121" t="s">
        <v>93</v>
      </c>
      <c r="C84" s="122">
        <v>0.31</v>
      </c>
      <c r="D84" s="122" t="s">
        <v>161</v>
      </c>
      <c r="E84" s="122">
        <v>1.3</v>
      </c>
      <c r="F84" s="123" t="s">
        <v>274</v>
      </c>
      <c r="G84" s="124">
        <v>0.55000000000000004</v>
      </c>
      <c r="H84" s="122" t="s">
        <v>153</v>
      </c>
      <c r="I84" s="125">
        <v>0.43</v>
      </c>
      <c r="J84" s="77"/>
      <c r="K84" s="77"/>
      <c r="L84" s="77"/>
      <c r="M84" s="77"/>
      <c r="N84" s="77"/>
    </row>
    <row r="85" spans="1:14" x14ac:dyDescent="0.3">
      <c r="A85" s="120" t="s">
        <v>50</v>
      </c>
      <c r="B85" s="121" t="s">
        <v>143</v>
      </c>
      <c r="C85" s="122">
        <v>0.43</v>
      </c>
      <c r="D85" s="122" t="s">
        <v>161</v>
      </c>
      <c r="E85" s="122">
        <v>1.56</v>
      </c>
      <c r="F85" s="123" t="s">
        <v>274</v>
      </c>
      <c r="G85" s="124">
        <v>0.53</v>
      </c>
      <c r="H85" s="122" t="s">
        <v>275</v>
      </c>
      <c r="I85" s="125">
        <v>0.25</v>
      </c>
      <c r="J85" s="77"/>
      <c r="K85" s="77"/>
      <c r="L85" s="77"/>
      <c r="M85" s="77"/>
      <c r="N85" s="77"/>
    </row>
    <row r="86" spans="1:14" x14ac:dyDescent="0.3">
      <c r="A86" s="120" t="s">
        <v>51</v>
      </c>
      <c r="B86" s="121" t="s">
        <v>91</v>
      </c>
      <c r="C86" s="122">
        <v>0.38</v>
      </c>
      <c r="D86" s="122" t="s">
        <v>161</v>
      </c>
      <c r="E86" s="122">
        <v>1.56</v>
      </c>
      <c r="F86" s="123" t="s">
        <v>274</v>
      </c>
      <c r="G86" s="124">
        <v>0.6</v>
      </c>
      <c r="H86" s="122" t="s">
        <v>279</v>
      </c>
      <c r="I86" s="125">
        <v>0.25</v>
      </c>
      <c r="J86" s="77"/>
      <c r="K86" s="77"/>
      <c r="L86" s="77"/>
      <c r="M86" s="77"/>
      <c r="N86" s="77"/>
    </row>
    <row r="87" spans="1:14" x14ac:dyDescent="0.3">
      <c r="A87" s="249" t="s">
        <v>321</v>
      </c>
      <c r="B87" s="250" t="s">
        <v>322</v>
      </c>
      <c r="C87" s="251">
        <v>0.41</v>
      </c>
      <c r="D87" s="251" t="s">
        <v>323</v>
      </c>
      <c r="E87" s="251">
        <v>1.56</v>
      </c>
      <c r="F87" s="252" t="s">
        <v>274</v>
      </c>
      <c r="G87" s="253">
        <v>0.43</v>
      </c>
      <c r="H87" s="251" t="s">
        <v>278</v>
      </c>
      <c r="I87" s="254">
        <v>0.25</v>
      </c>
      <c r="J87" s="77"/>
      <c r="K87" s="77"/>
      <c r="L87" s="77"/>
      <c r="M87" s="77"/>
      <c r="N87" s="77"/>
    </row>
    <row r="88" spans="1:14" x14ac:dyDescent="0.3">
      <c r="A88" s="120" t="s">
        <v>148</v>
      </c>
      <c r="B88" s="128"/>
      <c r="C88" s="122">
        <v>0.42</v>
      </c>
      <c r="D88" s="122" t="s">
        <v>161</v>
      </c>
      <c r="E88" s="122">
        <v>1.3</v>
      </c>
      <c r="F88" s="123" t="s">
        <v>274</v>
      </c>
      <c r="G88" s="129"/>
      <c r="H88" s="128"/>
      <c r="I88" s="130"/>
    </row>
    <row r="89" spans="1:14" ht="15" thickBot="1" x14ac:dyDescent="0.35">
      <c r="A89" s="131" t="s">
        <v>149</v>
      </c>
      <c r="B89" s="132"/>
      <c r="C89" s="133">
        <v>0.56999999999999995</v>
      </c>
      <c r="D89" s="134" t="s">
        <v>161</v>
      </c>
      <c r="E89" s="133">
        <v>1.56</v>
      </c>
      <c r="F89" s="133" t="s">
        <v>274</v>
      </c>
      <c r="G89" s="132"/>
      <c r="H89" s="132"/>
      <c r="I89" s="135"/>
    </row>
    <row r="93" spans="1:14" x14ac:dyDescent="0.3">
      <c r="A93" s="120" t="s">
        <v>208</v>
      </c>
    </row>
    <row r="94" spans="1:14" x14ac:dyDescent="0.3">
      <c r="A94" s="120" t="s">
        <v>209</v>
      </c>
    </row>
    <row r="95" spans="1:14" x14ac:dyDescent="0.3">
      <c r="A95" s="120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Normal="100" workbookViewId="0">
      <selection activeCell="M34" sqref="M34"/>
    </sheetView>
  </sheetViews>
  <sheetFormatPr baseColWidth="10" defaultColWidth="11.44140625" defaultRowHeight="14.4" x14ac:dyDescent="0.3"/>
  <cols>
    <col min="1" max="1" width="22.77734375" style="1" bestFit="1" customWidth="1"/>
    <col min="2" max="2" width="10.44140625" style="1" bestFit="1" customWidth="1"/>
    <col min="3" max="3" width="15.4414062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81" t="s">
        <v>271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3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6" t="s">
        <v>207</v>
      </c>
      <c r="B5" s="137" t="s">
        <v>250</v>
      </c>
      <c r="C5" s="138" t="str">
        <f>Calculateur!S2</f>
        <v>ΔStock moyen de long terme (tCO₂/ha)</v>
      </c>
      <c r="D5" s="138" t="str">
        <f>Calculateur!T2</f>
        <v>Δstock CO₂ 30 ans (tCO₂/ha)</v>
      </c>
      <c r="E5" s="138" t="s">
        <v>228</v>
      </c>
      <c r="F5" s="138" t="s">
        <v>239</v>
      </c>
      <c r="G5" s="138" t="s">
        <v>240</v>
      </c>
      <c r="H5" s="139" t="s">
        <v>241</v>
      </c>
      <c r="I5" s="140" t="s">
        <v>242</v>
      </c>
      <c r="J5" s="141" t="s">
        <v>243</v>
      </c>
      <c r="K5" s="142" t="s">
        <v>244</v>
      </c>
      <c r="L5" s="83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3" t="str">
        <f>IF('Données projet'!$B$9="","",'Données projet'!$B$9)</f>
        <v>Chêne sessile</v>
      </c>
      <c r="B6" s="144">
        <f>'Données projet'!D9</f>
        <v>2.069</v>
      </c>
      <c r="C6" s="145">
        <f ca="1">IF(OR('Données projet'!B9="",'Données projet'!C9="",'Données projet'!C9=0%),0,Calculateur!S3)</f>
        <v>567.42635821507474</v>
      </c>
      <c r="D6" s="145">
        <f>IF(OR('Données projet'!B9="",'Données projet'!C9="",'Données projet'!C9=0%),0,Calculateur!T3)</f>
        <v>299.04735309930152</v>
      </c>
      <c r="E6" s="145">
        <f ca="1">MIN(C6,D6)</f>
        <v>299.04735309930152</v>
      </c>
      <c r="F6" s="145">
        <f ca="1">E6*B6</f>
        <v>618.72897356245483</v>
      </c>
      <c r="G6" s="145">
        <f ca="1">F6*(100%-'Données projet'!$C$24)*(100%-'Données projet'!$C$25)*(100%-'Données projet'!$C$26)*(100%-'Données projet'!$C$27)</f>
        <v>556.85607620620931</v>
      </c>
      <c r="H6" s="146">
        <f>IF(OR('Données projet'!B9="",'Données projet'!C9="",'Données projet'!C9=0%),0,AVERAGE(Calculateur!$AC$3:$AC$33)*B6)</f>
        <v>0</v>
      </c>
      <c r="I6" s="147">
        <f>H6*(100%-'Données projet'!$C$24)*(100%-'Données projet'!$C$25)*(100%-'Données projet'!$C$26)*(100%-'Données projet'!$C$27)</f>
        <v>0</v>
      </c>
      <c r="J6" s="148">
        <f>IF(OR('Données projet'!B9="",'Données projet'!C9="",'Données projet'!C9=0%),0,SUM(Calculateur!$V$3:$V$33)*VLOOKUP('Données projet'!$B$9,Paramètres!$A$1:$I$89,9,0)*B6)</f>
        <v>0</v>
      </c>
      <c r="K6" s="149">
        <f>J6*(100%-'Données projet'!$C$24)*(100%-'Données projet'!$C$25)*(100%-'Données projet'!$C$26)*(100%-'Données projet'!$C$27)</f>
        <v>0</v>
      </c>
      <c r="L6" s="150">
        <f ca="1">G6+I6+K6</f>
        <v>556.85607620620931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1" t="str">
        <f>IF('Données projet'!$B$10="","",'Données projet'!$B$10)</f>
        <v>Hêtre</v>
      </c>
      <c r="B7" s="152">
        <f>'Données projet'!D10</f>
        <v>0.2155</v>
      </c>
      <c r="C7" s="145">
        <f ca="1">IF(OR('Données projet'!B10="",'Données projet'!C10="",'Données projet'!C10=0%),0,Calculateur!AN3)</f>
        <v>481.23392184981651</v>
      </c>
      <c r="D7" s="145">
        <f>IF(OR('Données projet'!B10="",'Données projet'!C10="",'Données projet'!C10=0%),0,Calculateur!AO3)</f>
        <v>275.88160405468193</v>
      </c>
      <c r="E7" s="145">
        <f t="shared" ref="E7:E15" ca="1" si="0">MIN(C7,D7)</f>
        <v>275.88160405468193</v>
      </c>
      <c r="F7" s="145">
        <f t="shared" ref="F7:F15" ca="1" si="1">E7*B7</f>
        <v>59.452485673783954</v>
      </c>
      <c r="G7" s="145">
        <f ca="1">F7*(100%-'Données projet'!$C$24)*(100%-'Données projet'!$C$25)*(100%-'Données projet'!$C$26)*(100%-'Données projet'!$C$27)</f>
        <v>53.507237106405562</v>
      </c>
      <c r="H7" s="153">
        <f>IF(OR('Données projet'!B10="",'Données projet'!C10="",'Données projet'!C10=0%),0,AVERAGE(Calculateur!$AX$3:$AX$33)*B7)</f>
        <v>0</v>
      </c>
      <c r="I7" s="147">
        <f>H7*(100%-'Données projet'!$C$24)*(100%-'Données projet'!$C$25)*(100%-'Données projet'!$C$26)*(100%-'Données projet'!$C$27)</f>
        <v>0</v>
      </c>
      <c r="J7" s="148">
        <f>IF(OR('Données projet'!B10="",'Données projet'!C10="",'Données projet'!C10=0%),0,SUM(Calculateur!$AQ$3:$AQ$33)*VLOOKUP('Données projet'!$B$10,Paramètres!$A$1:$I$89,9,0)*B7)</f>
        <v>1.8856249999999999</v>
      </c>
      <c r="K7" s="149">
        <f>J7*(100%-'Données projet'!$C$24)*(100%-'Données projet'!$C$25)*(100%-'Données projet'!$C$26)*(100%-'Données projet'!$C$27)</f>
        <v>1.6970624999999999</v>
      </c>
      <c r="L7" s="150">
        <f t="shared" ref="L7:L15" ca="1" si="2">G7+I7+K7</f>
        <v>55.204299606405563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1" t="str">
        <f>IF('Données projet'!$B$11="","",'Données projet'!$B$11)</f>
        <v>Merisier</v>
      </c>
      <c r="B8" s="152">
        <f>'Données projet'!D11</f>
        <v>8.6250000000000007E-2</v>
      </c>
      <c r="C8" s="145">
        <f ca="1">IF(OR('Données projet'!B11="",'Données projet'!C11="",'Données projet'!C11=0%),0,Calculateur!BI3)</f>
        <v>308.85018589589453</v>
      </c>
      <c r="D8" s="145">
        <f>IF(OR('Données projet'!B11="",'Données projet'!C11="",'Données projet'!C11=0%),0,Calculateur!BJ3)</f>
        <v>302.59481222418219</v>
      </c>
      <c r="E8" s="145">
        <f t="shared" ca="1" si="0"/>
        <v>302.59481222418219</v>
      </c>
      <c r="F8" s="145">
        <f t="shared" ca="1" si="1"/>
        <v>26.098802554335716</v>
      </c>
      <c r="G8" s="145">
        <f ca="1">F8*(100%-'Données projet'!$C$24)*(100%-'Données projet'!$C$25)*(100%-'Données projet'!$C$26)*(100%-'Données projet'!$C$27)</f>
        <v>23.488922298902146</v>
      </c>
      <c r="H8" s="153">
        <f>IF(OR('Données projet'!B11="",'Données projet'!C11="",'Données projet'!C11=0%),0,AVERAGE(Calculateur!$BS$3:$BS$33)*B8)</f>
        <v>0</v>
      </c>
      <c r="I8" s="147">
        <f>H8*(100%-'Données projet'!$C$24)*(100%-'Données projet'!$C$25)*(100%-'Données projet'!$C$26)*(100%-'Données projet'!$C$27)</f>
        <v>0</v>
      </c>
      <c r="J8" s="148">
        <f>IF(OR('Données projet'!B11="",'Données projet'!C11="",'Données projet'!C11=0%),0,SUM(Calculateur!$BL$3:$BL$33)*VLOOKUP('Données projet'!$B$11,Paramètres!$A$1:$I$89,9,0)*B8)</f>
        <v>1.1859375000000001</v>
      </c>
      <c r="K8" s="149">
        <f>J8*(100%-'Données projet'!$C$24)*(100%-'Données projet'!$C$25)*(100%-'Données projet'!$C$26)*(100%-'Données projet'!$C$27)</f>
        <v>1.06734375</v>
      </c>
      <c r="L8" s="150">
        <f t="shared" ca="1" si="2"/>
        <v>24.556266048902145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1" t="str">
        <f>IF('Données projet'!$B$12="","",'Données projet'!$B$12)</f>
        <v>Alisier torminal</v>
      </c>
      <c r="B9" s="152">
        <f>'Données projet'!D12</f>
        <v>4.2999999999999997E-2</v>
      </c>
      <c r="C9" s="145">
        <f ca="1">IF(OR('Données projet'!B12="",'Données projet'!C12="",'Données projet'!C12=0%),0,Calculateur!CD3)</f>
        <v>600.96600099724276</v>
      </c>
      <c r="D9" s="145">
        <f>IF(OR('Données projet'!B12="",'Données projet'!C12="",'Données projet'!C12=0%),0,Calculateur!CE3)</f>
        <v>315.40159260706264</v>
      </c>
      <c r="E9" s="145">
        <f t="shared" ca="1" si="0"/>
        <v>315.40159260706264</v>
      </c>
      <c r="F9" s="145">
        <f t="shared" ca="1" si="1"/>
        <v>13.562268482103692</v>
      </c>
      <c r="G9" s="145">
        <f ca="1">F9*(100%-'Données projet'!$C$24)*(100%-'Données projet'!$C$25)*(100%-'Données projet'!$C$26)*(100%-'Données projet'!$C$27)</f>
        <v>12.206041633893323</v>
      </c>
      <c r="H9" s="153">
        <f>IF(OR('Données projet'!B12="",'Données projet'!C12="",'Données projet'!C12=0%),0,AVERAGE(Calculateur!$CN$3:$CN$33)*B9)</f>
        <v>0</v>
      </c>
      <c r="I9" s="147">
        <f>H9*(100%-'Données projet'!$C$24)*(100%-'Données projet'!$C$25)*(100%-'Données projet'!$C$26)*(100%-'Données projet'!$C$27)</f>
        <v>0</v>
      </c>
      <c r="J9" s="148">
        <f>IF(OR('Données projet'!B12="",'Données projet'!C12="",'Données projet'!C12=0%),0,SUM(Calculateur!$CG$3:$CG$33)*VLOOKUP('Données projet'!$B$12,Paramètres!$A$1:$I$89,9,0)*B9)</f>
        <v>0</v>
      </c>
      <c r="K9" s="149">
        <f>J9*(100%-'Données projet'!$C$24)*(100%-'Données projet'!$C$25)*(100%-'Données projet'!$C$26)*(100%-'Données projet'!$C$27)</f>
        <v>0</v>
      </c>
      <c r="L9" s="150">
        <f t="shared" ca="1" si="2"/>
        <v>12.206041633893323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1" t="str">
        <f>IF('Données projet'!$B$13="","",'Données projet'!$B$13)</f>
        <v>Charme</v>
      </c>
      <c r="B10" s="152">
        <f>'Données projet'!D13</f>
        <v>8.6250000000000007E-2</v>
      </c>
      <c r="C10" s="145">
        <f ca="1">IF(OR('Données projet'!B13="",'Données projet'!C13="",'Données projet'!C13=0%),0,Calculateur!CY3)</f>
        <v>592.58528889137358</v>
      </c>
      <c r="D10" s="145">
        <f>IF(OR('Données projet'!B13="",'Données projet'!C13="",'Données projet'!C13=0%),0,Calculateur!CZ3)</f>
        <v>311.31528020403709</v>
      </c>
      <c r="E10" s="145">
        <f t="shared" ca="1" si="0"/>
        <v>311.31528020403709</v>
      </c>
      <c r="F10" s="145">
        <f t="shared" ca="1" si="1"/>
        <v>26.8509429175982</v>
      </c>
      <c r="G10" s="145">
        <f ca="1">F10*(100%-'Données projet'!$C$24)*(100%-'Données projet'!$C$25)*(100%-'Données projet'!$C$26)*(100%-'Données projet'!$C$27)</f>
        <v>24.165848625838379</v>
      </c>
      <c r="H10" s="153">
        <f>IF(OR('Données projet'!B13="",'Données projet'!C13="",'Données projet'!C13=0%),0,AVERAGE(Calculateur!$DI$3:$DI$33)*B10)</f>
        <v>0</v>
      </c>
      <c r="I10" s="147">
        <f>H10*(100%-'Données projet'!$C$24)*(100%-'Données projet'!$C$25)*(100%-'Données projet'!$C$26)*(100%-'Données projet'!$C$27)</f>
        <v>0</v>
      </c>
      <c r="J10" s="148">
        <f>IF(OR('Données projet'!B13="",'Données projet'!C13="",'Données projet'!C13=0%),0,SUM(Calculateur!$DB$3:$DB$33)*VLOOKUP('Données projet'!$B$13,Paramètres!$A$1:$I$89,9,0)*B10)</f>
        <v>0</v>
      </c>
      <c r="K10" s="149">
        <f>J10*(100%-'Données projet'!$C$24)*(100%-'Données projet'!$C$25)*(100%-'Données projet'!$C$26)*(100%-'Données projet'!$C$27)</f>
        <v>0</v>
      </c>
      <c r="L10" s="150">
        <f t="shared" ca="1" si="2"/>
        <v>24.165848625838379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1" t="str">
        <f>IF('Données projet'!$B$14="","",'Données projet'!$B$14)</f>
        <v/>
      </c>
      <c r="B11" s="152">
        <f>'Données projet'!D14</f>
        <v>0</v>
      </c>
      <c r="C11" s="145">
        <f>IF(OR('Données projet'!B14="",'Données projet'!C14="",'Données projet'!C14=0%),0,Calculateur!DT3)</f>
        <v>0</v>
      </c>
      <c r="D11" s="145">
        <f>IF(OR('Données projet'!B14="",'Données projet'!C14="",'Données projet'!C14=0%),0,Calculateur!DU3)</f>
        <v>0</v>
      </c>
      <c r="E11" s="145">
        <f t="shared" si="0"/>
        <v>0</v>
      </c>
      <c r="F11" s="145">
        <f t="shared" si="1"/>
        <v>0</v>
      </c>
      <c r="G11" s="145">
        <f>F11*(100%-'Données projet'!$C$24)*(100%-'Données projet'!$C$25)*(100%-'Données projet'!$C$26)*(100%-'Données projet'!$C$27)</f>
        <v>0</v>
      </c>
      <c r="H11" s="153">
        <f>IF(OR('Données projet'!B14="",'Données projet'!C14="",'Données projet'!C14=0%),0,AVERAGE(Calculateur!$ED$3:$ED$33)*B11)</f>
        <v>0</v>
      </c>
      <c r="I11" s="147">
        <f>H11*(100%-'Données projet'!$C$24)*(100%-'Données projet'!$C$25)*(100%-'Données projet'!$C$26)*(100%-'Données projet'!$C$27)</f>
        <v>0</v>
      </c>
      <c r="J11" s="148">
        <f>IF(OR('Données projet'!B14="",'Données projet'!C14="",'Données projet'!C14=0%),0,SUM(Calculateur!$DW$3:$DW$33)*VLOOKUP('Données projet'!$B$14,Paramètres!$A$1:$I$89,9,0)*B11)</f>
        <v>0</v>
      </c>
      <c r="K11" s="149">
        <f>J11*(100%-'Données projet'!$C$24)*(100%-'Données projet'!$C$25)*(100%-'Données projet'!$C$26)*(100%-'Données projet'!$C$27)</f>
        <v>0</v>
      </c>
      <c r="L11" s="150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1" t="str">
        <f>IF('Données projet'!$B$15="","",'Données projet'!$B$15)</f>
        <v/>
      </c>
      <c r="B12" s="152">
        <f>'Données projet'!D15</f>
        <v>0</v>
      </c>
      <c r="C12" s="145">
        <f>IF(OR('Données projet'!B15="",'Données projet'!C15="",'Données projet'!C15=0%),0,Calculateur!EO3)</f>
        <v>0</v>
      </c>
      <c r="D12" s="145">
        <f>IF(OR('Données projet'!B15="",'Données projet'!C15="",'Données projet'!C15=0%),0,Calculateur!EP3)</f>
        <v>0</v>
      </c>
      <c r="E12" s="145">
        <f t="shared" si="0"/>
        <v>0</v>
      </c>
      <c r="F12" s="145">
        <f t="shared" si="1"/>
        <v>0</v>
      </c>
      <c r="G12" s="145">
        <f>F12*(100%-'Données projet'!$C$24)*(100%-'Données projet'!$C$25)*(100%-'Données projet'!$C$26)*(100%-'Données projet'!$C$27)</f>
        <v>0</v>
      </c>
      <c r="H12" s="153">
        <f>IF(OR('Données projet'!B15="",'Données projet'!C15="",'Données projet'!C15=0%),0,AVERAGE(Calculateur!$EY$3:$EY$33)*B12)</f>
        <v>0</v>
      </c>
      <c r="I12" s="147">
        <f>H12*(100%-'Données projet'!$C$24)*(100%-'Données projet'!$C$25)*(100%-'Données projet'!$C$26)*(100%-'Données projet'!$C$27)</f>
        <v>0</v>
      </c>
      <c r="J12" s="148">
        <f>IF(OR('Données projet'!B15="",'Données projet'!C15="",'Données projet'!C15=0%),0,SUM(Calculateur!$ER$3:$ER$33)*VLOOKUP('Données projet'!$B$15,Paramètres!$A$1:$I$89,9,0)*B12)</f>
        <v>0</v>
      </c>
      <c r="K12" s="149">
        <f>J12*(100%-'Données projet'!$C$24)*(100%-'Données projet'!$C$25)*(100%-'Données projet'!$C$26)*(100%-'Données projet'!$C$27)</f>
        <v>0</v>
      </c>
      <c r="L12" s="150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1" t="str">
        <f>IF('Données projet'!$B$16="","",'Données projet'!$B$16)</f>
        <v/>
      </c>
      <c r="B13" s="152">
        <f>'Données projet'!D16</f>
        <v>0</v>
      </c>
      <c r="C13" s="145">
        <f>IF(OR('Données projet'!B16="",'Données projet'!C16="",'Données projet'!C16=0%),0,Calculateur!FJ3)</f>
        <v>0</v>
      </c>
      <c r="D13" s="145">
        <f>IF(OR('Données projet'!B16="",'Données projet'!C16="",'Données projet'!C16=0%),0,Calculateur!FK3)</f>
        <v>0</v>
      </c>
      <c r="E13" s="145">
        <f t="shared" si="0"/>
        <v>0</v>
      </c>
      <c r="F13" s="145">
        <f t="shared" si="1"/>
        <v>0</v>
      </c>
      <c r="G13" s="145">
        <f>F13*(100%-'Données projet'!$C$24)*(100%-'Données projet'!$C$25)*(100%-'Données projet'!$C$26)*(100%-'Données projet'!$C$27)</f>
        <v>0</v>
      </c>
      <c r="H13" s="153">
        <f>IF(OR('Données projet'!B16="",'Données projet'!C16="",'Données projet'!C16=0%),0,AVERAGE(Calculateur!$FT$3:$FT$33)*B13)</f>
        <v>0</v>
      </c>
      <c r="I13" s="147">
        <f>H13*(100%-'Données projet'!$C$24)*(100%-'Données projet'!$C$25)*(100%-'Données projet'!$C$26)*(100%-'Données projet'!$C$27)</f>
        <v>0</v>
      </c>
      <c r="J13" s="148">
        <f>IF(OR('Données projet'!C16="",'Données projet'!C16=0%),0,SUM(Calculateur!$FM$3:$FM$33)*VLOOKUP('Données projet'!$B$16,Paramètres!$A$1:$I$89,9,0)*B13)</f>
        <v>0</v>
      </c>
      <c r="K13" s="149">
        <f>J13*(100%-'Données projet'!$C$24)*(100%-'Données projet'!$C$25)*(100%-'Données projet'!$C$26)*(100%-'Données projet'!$C$27)</f>
        <v>0</v>
      </c>
      <c r="L13" s="150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1" t="str">
        <f>IF('Données projet'!$B$17="","",'Données projet'!$B$17)</f>
        <v/>
      </c>
      <c r="B14" s="152">
        <f>'Données projet'!D17</f>
        <v>0</v>
      </c>
      <c r="C14" s="145">
        <f>IF(OR('Données projet'!B17="",'Données projet'!C17="",'Données projet'!C17=0%),0,Calculateur!GE3)</f>
        <v>0</v>
      </c>
      <c r="D14" s="145">
        <f>IF(OR('Données projet'!B17="",'Données projet'!C17="",'Données projet'!C17=0%),0,Calculateur!GF3)</f>
        <v>0</v>
      </c>
      <c r="E14" s="145">
        <f t="shared" si="0"/>
        <v>0</v>
      </c>
      <c r="F14" s="145">
        <f t="shared" si="1"/>
        <v>0</v>
      </c>
      <c r="G14" s="145">
        <f>F14*(100%-'Données projet'!$C$24)*(100%-'Données projet'!$C$25)*(100%-'Données projet'!$C$26)*(100%-'Données projet'!$C$27)</f>
        <v>0</v>
      </c>
      <c r="H14" s="153">
        <f>IF(OR('Données projet'!B17="",'Données projet'!C17="",'Données projet'!C17=0%),0,AVERAGE(Calculateur!$GO$3:$GO$33)*B14)</f>
        <v>0</v>
      </c>
      <c r="I14" s="147">
        <f>H14*(100%-'Données projet'!$C$24)*(100%-'Données projet'!$C$25)*(100%-'Données projet'!$C$26)*(100%-'Données projet'!$C$27)</f>
        <v>0</v>
      </c>
      <c r="J14" s="148">
        <f>IF(OR('Données projet'!B17="",'Données projet'!C17="",'Données projet'!C17=0%),0,SUM(Calculateur!$GH$3:$GH$33)*VLOOKUP('Données projet'!$B$17,Paramètres!$A$1:$I$89,9,0)*B14)</f>
        <v>0</v>
      </c>
      <c r="K14" s="149">
        <f>J14*(100%-'Données projet'!$C$24)*(100%-'Données projet'!$C$25)*(100%-'Données projet'!$C$26)*(100%-'Données projet'!$C$27)</f>
        <v>0</v>
      </c>
      <c r="L14" s="150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4" t="str">
        <f>IF('Données projet'!B18="","",'Données projet'!B18)</f>
        <v/>
      </c>
      <c r="B15" s="155">
        <f>'Données projet'!D18</f>
        <v>0</v>
      </c>
      <c r="C15" s="156">
        <f>IF(OR('Données projet'!B18="",'Données projet'!C18="",'Données projet'!C18=0%),0,Calculateur!GZ3)</f>
        <v>0</v>
      </c>
      <c r="D15" s="156">
        <f>IF(OR('Données projet'!B18="",'Données projet'!C18="",'Données projet'!C18=0%),0,Calculateur!HA3)</f>
        <v>0</v>
      </c>
      <c r="E15" s="156">
        <f t="shared" si="0"/>
        <v>0</v>
      </c>
      <c r="F15" s="157">
        <f t="shared" si="1"/>
        <v>0</v>
      </c>
      <c r="G15" s="157">
        <f>F15*(100%-'Données projet'!$C$24)*(100%-'Données projet'!$C$25)*(100%-'Données projet'!$C$26)*(100%-'Données projet'!$C$27)</f>
        <v>0</v>
      </c>
      <c r="H15" s="158">
        <f>IF(OR('Données projet'!B18="",'Données projet'!C18="",'Données projet'!C18=0%),0,AVERAGE(Calculateur!$HJ$3:$HJ$33)*B15)</f>
        <v>0</v>
      </c>
      <c r="I15" s="159">
        <f>H15*(100%-'Données projet'!$C$24)*(100%-'Données projet'!$C$25)*(100%-'Données projet'!$C$26)*(100%-'Données projet'!$C$27)</f>
        <v>0</v>
      </c>
      <c r="J15" s="160">
        <f>IF(OR('Données projet'!B18="",'Données projet'!C18="",'Données projet'!C18=0%),0,SUM(Calculateur!$HC$3:$HC$33)*VLOOKUP('Données projet'!$B$18,Paramètres!$A$1:$I$89,9,0)*B15)</f>
        <v>0</v>
      </c>
      <c r="K15" s="161">
        <f>J15*(100%-'Données projet'!$C$24)*(100%-'Données projet'!$C$25)*(100%-'Données projet'!$C$26)*(100%-'Données projet'!$C$27)</f>
        <v>0</v>
      </c>
      <c r="L15" s="162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7"/>
      <c r="B16" s="211"/>
      <c r="C16" s="212"/>
      <c r="D16" s="23"/>
      <c r="E16" s="23"/>
      <c r="F16" s="163">
        <f t="shared" ref="F16:L16" ca="1" si="3">SUM(F6:F15)</f>
        <v>744.69347319027645</v>
      </c>
      <c r="G16" s="164">
        <f t="shared" ca="1" si="3"/>
        <v>670.2241258712487</v>
      </c>
      <c r="H16" s="165">
        <f t="shared" si="3"/>
        <v>0</v>
      </c>
      <c r="I16" s="165">
        <f t="shared" si="3"/>
        <v>0</v>
      </c>
      <c r="J16" s="166">
        <f t="shared" si="3"/>
        <v>3.0715624999999998</v>
      </c>
      <c r="K16" s="166">
        <f t="shared" si="3"/>
        <v>2.76440625</v>
      </c>
      <c r="L16" s="167">
        <f t="shared" ca="1" si="3"/>
        <v>672.98853212124868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7"/>
      <c r="B17" s="211"/>
      <c r="C17" s="212"/>
      <c r="D17" s="23"/>
      <c r="E17" s="23"/>
      <c r="F17" s="293" t="s">
        <v>246</v>
      </c>
      <c r="G17" s="294"/>
      <c r="H17" s="294"/>
      <c r="I17" s="294"/>
      <c r="J17" s="294"/>
      <c r="K17" s="294"/>
      <c r="L17" s="294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7"/>
      <c r="B18" s="211"/>
      <c r="C18" s="212"/>
      <c r="D18" s="23"/>
      <c r="E18" s="23"/>
      <c r="F18" s="280"/>
      <c r="G18" s="280"/>
      <c r="H18" s="280"/>
      <c r="I18" s="280"/>
      <c r="J18" s="280"/>
      <c r="K18" s="280"/>
      <c r="L18" s="280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68" t="str">
        <f>A6</f>
        <v>Chêne sessile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68" t="str">
        <f>A7</f>
        <v>Hêtre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68" t="str">
        <f>A8</f>
        <v>Merisier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68" t="str">
        <f>A9</f>
        <v>Alisier torminal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68" t="str">
        <f>A10</f>
        <v>Charme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68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68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68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68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68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8" zoomScale="90" zoomScaleNormal="90" workbookViewId="0">
      <selection activeCell="Z29" sqref="Z29"/>
    </sheetView>
  </sheetViews>
  <sheetFormatPr baseColWidth="10" defaultColWidth="11.44140625" defaultRowHeight="14.4" x14ac:dyDescent="0.3"/>
  <cols>
    <col min="1" max="1" width="11.44140625" style="1"/>
    <col min="2" max="2" width="30.777343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44140625" style="1" customWidth="1"/>
    <col min="8" max="8" width="21.6640625" style="1" customWidth="1"/>
    <col min="9" max="9" width="37" style="1" customWidth="1"/>
    <col min="10" max="10" width="11.44140625" style="1"/>
    <col min="11" max="11" width="8.777343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777343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81" t="s">
        <v>272</v>
      </c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69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71" t="s">
        <v>315</v>
      </c>
      <c r="I4" s="271"/>
      <c r="K4" s="295" t="s">
        <v>253</v>
      </c>
      <c r="L4" s="296"/>
      <c r="M4" s="235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0"/>
      <c r="I6" s="170"/>
      <c r="J6" s="170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0"/>
      <c r="B7" s="241"/>
      <c r="C7" s="241"/>
      <c r="D7" s="241"/>
      <c r="E7" s="242"/>
      <c r="F7" s="242" t="s">
        <v>192</v>
      </c>
      <c r="G7" s="243"/>
      <c r="H7" s="241"/>
      <c r="I7" s="241"/>
      <c r="J7" s="244"/>
      <c r="K7" s="238"/>
      <c r="L7" s="239"/>
      <c r="M7" s="239"/>
      <c r="N7" s="245" t="s">
        <v>191</v>
      </c>
      <c r="O7" s="245"/>
      <c r="P7" s="246"/>
      <c r="Q7" s="247"/>
      <c r="R7" s="305" t="s">
        <v>310</v>
      </c>
      <c r="S7" s="306"/>
      <c r="T7" s="306"/>
      <c r="U7" s="306"/>
      <c r="V7" s="307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198"/>
      <c r="K8" s="206"/>
      <c r="L8" s="23"/>
      <c r="M8" s="23"/>
      <c r="N8" s="23"/>
      <c r="O8" s="23"/>
      <c r="P8" s="23"/>
      <c r="Q8" s="232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1" t="s">
        <v>311</v>
      </c>
      <c r="C9" s="23"/>
      <c r="D9" s="23"/>
      <c r="E9" s="23"/>
      <c r="F9" s="228"/>
      <c r="G9" s="91" t="s">
        <v>314</v>
      </c>
      <c r="J9" s="198"/>
      <c r="K9" s="206"/>
      <c r="O9" s="23"/>
      <c r="P9" s="23"/>
      <c r="Q9" s="232"/>
      <c r="R9" s="23"/>
      <c r="S9" s="4"/>
      <c r="T9" s="36" t="s">
        <v>262</v>
      </c>
      <c r="U9" s="174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1" t="s">
        <v>317</v>
      </c>
      <c r="C10" s="23"/>
      <c r="D10" s="23"/>
      <c r="E10" s="23"/>
      <c r="F10" s="228"/>
      <c r="G10" s="91" t="s">
        <v>316</v>
      </c>
      <c r="J10" s="198"/>
      <c r="K10" s="206"/>
      <c r="O10" s="23"/>
      <c r="P10" s="23"/>
      <c r="Q10" s="232"/>
      <c r="R10" s="23"/>
      <c r="S10" s="36" t="str">
        <f>B14</f>
        <v>Chêne sessile</v>
      </c>
      <c r="T10" s="17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-2818.24</v>
      </c>
      <c r="U10" s="176">
        <f>'Données projet'!D9</f>
        <v>2.069</v>
      </c>
      <c r="V10" s="175">
        <f>U10*T10</f>
        <v>-5830.9385599999996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1" t="s">
        <v>312</v>
      </c>
      <c r="B11" s="23"/>
      <c r="C11" s="23"/>
      <c r="D11" s="23"/>
      <c r="E11" s="23"/>
      <c r="F11" s="228"/>
      <c r="G11" s="91" t="s">
        <v>313</v>
      </c>
      <c r="J11" s="198"/>
      <c r="K11" s="206"/>
      <c r="M11" s="4"/>
      <c r="N11" s="4"/>
      <c r="O11" s="23"/>
      <c r="P11" s="23"/>
      <c r="Q11" s="232"/>
      <c r="R11" s="23"/>
      <c r="S11" s="36" t="str">
        <f>B45</f>
        <v>Hêtre</v>
      </c>
      <c r="T11" s="237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-2118.7999934870586</v>
      </c>
      <c r="U11" s="176">
        <f>'Données projet'!D10</f>
        <v>0.2155</v>
      </c>
      <c r="V11" s="175">
        <f t="shared" ref="V11" si="0">U11*T11</f>
        <v>-456.60139859646114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28"/>
      <c r="J12" s="198"/>
      <c r="K12" s="206"/>
      <c r="L12" s="200"/>
      <c r="M12" s="23"/>
      <c r="N12" s="23"/>
      <c r="O12" s="23"/>
      <c r="P12" s="23"/>
      <c r="Q12" s="232"/>
      <c r="R12" s="23"/>
      <c r="S12" s="36" t="str">
        <f>B76</f>
        <v>Merisier</v>
      </c>
      <c r="T12" s="237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-2503.8906160595088</v>
      </c>
      <c r="U12" s="176">
        <f>'Données projet'!D11</f>
        <v>8.6250000000000007E-2</v>
      </c>
      <c r="V12" s="175">
        <f t="shared" ref="V12:V19" si="1">U12*T12</f>
        <v>-215.96056563513267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28"/>
      <c r="J13" s="23"/>
      <c r="K13" s="206"/>
      <c r="L13" s="91" t="s">
        <v>257</v>
      </c>
      <c r="M13" s="23"/>
      <c r="N13" s="23"/>
      <c r="O13" s="23"/>
      <c r="P13" s="23"/>
      <c r="Q13" s="232"/>
      <c r="R13" s="23"/>
      <c r="S13" s="36" t="str">
        <f>B107</f>
        <v>Alisier torminal</v>
      </c>
      <c r="T13" s="237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-5190.13</v>
      </c>
      <c r="U13" s="176">
        <f>'Données projet'!D12</f>
        <v>4.2999999999999997E-2</v>
      </c>
      <c r="V13" s="175">
        <f t="shared" si="1"/>
        <v>-223.17559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2" t="str">
        <f>IF('Données projet'!$B$9="","",'Données projet'!$B$9)</f>
        <v>Chêne sessile</v>
      </c>
      <c r="C14" s="4"/>
      <c r="D14" s="4"/>
      <c r="E14" s="4"/>
      <c r="F14" s="228"/>
      <c r="G14" s="23"/>
      <c r="H14" s="36" t="s">
        <v>178</v>
      </c>
      <c r="I14" s="36" t="s">
        <v>290</v>
      </c>
      <c r="J14" s="199"/>
      <c r="K14" s="171"/>
      <c r="L14" s="200"/>
      <c r="M14" s="23"/>
      <c r="N14" s="23"/>
      <c r="O14" s="4"/>
      <c r="P14" s="4"/>
      <c r="Q14" s="233"/>
      <c r="R14" s="4"/>
      <c r="S14" s="36" t="str">
        <f>B138</f>
        <v>Charme</v>
      </c>
      <c r="T14" s="237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-2817.39</v>
      </c>
      <c r="U14" s="176">
        <f>'Données projet'!D13</f>
        <v>8.6250000000000007E-2</v>
      </c>
      <c r="V14" s="175">
        <f t="shared" si="1"/>
        <v>-242.9998875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28"/>
      <c r="G15" s="298" t="s">
        <v>318</v>
      </c>
      <c r="H15" s="188">
        <v>0</v>
      </c>
      <c r="I15" s="189">
        <v>0</v>
      </c>
      <c r="J15" s="200"/>
      <c r="K15" s="206"/>
      <c r="L15" s="200"/>
      <c r="M15" s="23"/>
      <c r="N15" s="23"/>
      <c r="O15" s="23"/>
      <c r="P15" s="23"/>
      <c r="Q15" s="232"/>
      <c r="R15" s="23"/>
      <c r="S15" s="36" t="str">
        <f>B169</f>
        <v/>
      </c>
      <c r="T15" s="237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6">
        <f>'Données projet'!D14</f>
        <v>0</v>
      </c>
      <c r="V15" s="175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8"/>
      <c r="G16" s="298"/>
      <c r="H16" s="188"/>
      <c r="I16" s="189"/>
      <c r="J16" s="200"/>
      <c r="K16" s="206"/>
      <c r="L16" s="295" t="s">
        <v>254</v>
      </c>
      <c r="M16" s="296"/>
      <c r="N16" s="2"/>
      <c r="O16" s="23"/>
      <c r="P16" s="23"/>
      <c r="Q16" s="232"/>
      <c r="R16" s="23"/>
      <c r="S16" s="36" t="str">
        <f>B200</f>
        <v/>
      </c>
      <c r="T16" s="237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6">
        <f>'Données projet'!D15</f>
        <v>0</v>
      </c>
      <c r="V16" s="175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7" t="s">
        <v>132</v>
      </c>
      <c r="C17" s="196" t="s">
        <v>132</v>
      </c>
      <c r="D17" s="195" t="s">
        <v>132</v>
      </c>
      <c r="E17" s="191">
        <v>2818.24</v>
      </c>
      <c r="F17" s="228"/>
      <c r="G17" s="298"/>
      <c r="J17" s="200"/>
      <c r="K17" s="206"/>
      <c r="L17" s="268" t="s">
        <v>289</v>
      </c>
      <c r="M17" s="270"/>
      <c r="N17" s="173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2"/>
      <c r="R17" s="23"/>
      <c r="S17" s="36" t="str">
        <f>B231</f>
        <v/>
      </c>
      <c r="T17" s="237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6">
        <f>'Données projet'!D16</f>
        <v>0</v>
      </c>
      <c r="V17" s="175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7" t="s">
        <v>132</v>
      </c>
      <c r="C18" s="196" t="s">
        <v>132</v>
      </c>
      <c r="D18" s="195" t="s">
        <v>132</v>
      </c>
      <c r="E18" s="191"/>
      <c r="F18" s="228"/>
      <c r="G18" s="298"/>
      <c r="J18" s="200"/>
      <c r="K18" s="206"/>
      <c r="L18" s="268" t="s">
        <v>255</v>
      </c>
      <c r="M18" s="270"/>
      <c r="N18" s="190"/>
      <c r="O18" s="23"/>
      <c r="P18" s="23"/>
      <c r="Q18" s="232"/>
      <c r="R18" s="23"/>
      <c r="S18" s="36" t="str">
        <f>B262</f>
        <v/>
      </c>
      <c r="T18" s="237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6">
        <f>'Données projet'!D17</f>
        <v>0</v>
      </c>
      <c r="V18" s="175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7" t="s">
        <v>132</v>
      </c>
      <c r="C19" s="196" t="s">
        <v>132</v>
      </c>
      <c r="D19" s="195" t="s">
        <v>132</v>
      </c>
      <c r="E19" s="191"/>
      <c r="F19" s="228"/>
      <c r="G19" s="298"/>
      <c r="H19" s="210" t="s">
        <v>178</v>
      </c>
      <c r="I19" s="210" t="s">
        <v>287</v>
      </c>
      <c r="J19" s="91"/>
      <c r="K19" s="171"/>
      <c r="L19" s="295" t="s">
        <v>288</v>
      </c>
      <c r="M19" s="296"/>
      <c r="N19" s="177">
        <f>N17*N18</f>
        <v>0</v>
      </c>
      <c r="O19" s="23"/>
      <c r="P19" s="4"/>
      <c r="Q19" s="233"/>
      <c r="R19" s="4"/>
      <c r="S19" s="36" t="str">
        <f>B293</f>
        <v/>
      </c>
      <c r="T19" s="237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6">
        <f>'Données projet'!D18</f>
        <v>0</v>
      </c>
      <c r="V19" s="175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7" t="s">
        <v>132</v>
      </c>
      <c r="C20" s="196" t="s">
        <v>132</v>
      </c>
      <c r="D20" s="195" t="s">
        <v>132</v>
      </c>
      <c r="E20" s="191"/>
      <c r="F20" s="228"/>
      <c r="G20" s="298"/>
      <c r="H20" s="188">
        <v>0</v>
      </c>
      <c r="I20" s="189">
        <v>4959.96</v>
      </c>
      <c r="J20" s="4"/>
      <c r="K20" s="171"/>
      <c r="O20" s="23"/>
      <c r="P20" s="4"/>
      <c r="Q20" s="233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7" t="s">
        <v>132</v>
      </c>
      <c r="C21" s="196" t="s">
        <v>132</v>
      </c>
      <c r="D21" s="195" t="s">
        <v>132</v>
      </c>
      <c r="E21" s="191"/>
      <c r="F21" s="228"/>
      <c r="H21" s="188">
        <v>1</v>
      </c>
      <c r="I21" s="189"/>
      <c r="K21" s="171"/>
      <c r="O21" s="23"/>
      <c r="P21" s="4"/>
      <c r="Q21" s="233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7" t="s">
        <v>132</v>
      </c>
      <c r="C22" s="196" t="s">
        <v>132</v>
      </c>
      <c r="D22" s="195" t="s">
        <v>132</v>
      </c>
      <c r="E22" s="191"/>
      <c r="F22" s="228"/>
      <c r="H22" s="188">
        <v>2</v>
      </c>
      <c r="I22" s="189"/>
      <c r="K22" s="171"/>
      <c r="O22" s="23"/>
      <c r="P22" s="4"/>
      <c r="Q22" s="233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78">
        <f>'Données projet'!A36</f>
        <v>30</v>
      </c>
      <c r="B23" s="179">
        <f>'Données projet'!D36</f>
        <v>0</v>
      </c>
      <c r="C23" s="191"/>
      <c r="D23" s="180">
        <f>B23*C23</f>
        <v>0</v>
      </c>
      <c r="E23" s="191"/>
      <c r="F23" s="228"/>
      <c r="H23" s="188">
        <v>3</v>
      </c>
      <c r="I23" s="189"/>
      <c r="K23" s="206"/>
      <c r="L23" s="297" t="s">
        <v>260</v>
      </c>
      <c r="M23" s="297"/>
      <c r="N23" s="297"/>
      <c r="O23" s="23"/>
      <c r="P23" s="23"/>
      <c r="Q23" s="232"/>
      <c r="R23" s="23"/>
      <c r="S23" s="36" t="s">
        <v>264</v>
      </c>
      <c r="T23" s="310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-19369.576001731592</v>
      </c>
      <c r="U23" s="310"/>
      <c r="V23" s="310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78">
        <f>'Données projet'!A37</f>
        <v>35</v>
      </c>
      <c r="B24" s="179">
        <f>'Données projet'!D37</f>
        <v>69.58</v>
      </c>
      <c r="C24" s="191"/>
      <c r="D24" s="180">
        <f t="shared" ref="D24:D42" si="2">B24*C24</f>
        <v>0</v>
      </c>
      <c r="E24" s="191"/>
      <c r="F24" s="231"/>
      <c r="H24" s="188">
        <v>4</v>
      </c>
      <c r="I24" s="189"/>
      <c r="K24" s="206"/>
      <c r="O24" s="23"/>
      <c r="P24" s="23"/>
      <c r="Q24" s="232"/>
      <c r="R24" s="23"/>
      <c r="S24" s="36" t="s">
        <v>261</v>
      </c>
      <c r="T24" s="311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11"/>
      <c r="V24" s="311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78">
        <f>'Données projet'!A38</f>
        <v>41</v>
      </c>
      <c r="B25" s="179">
        <f>'Données projet'!D38</f>
        <v>47.41</v>
      </c>
      <c r="C25" s="191"/>
      <c r="D25" s="180">
        <f t="shared" si="2"/>
        <v>0</v>
      </c>
      <c r="E25" s="191"/>
      <c r="F25" s="231"/>
      <c r="H25" s="188">
        <v>5</v>
      </c>
      <c r="I25" s="189"/>
      <c r="K25" s="206"/>
      <c r="L25" s="128" t="s">
        <v>285</v>
      </c>
      <c r="M25" s="128"/>
      <c r="N25" s="128"/>
      <c r="O25" s="128"/>
      <c r="P25" s="190">
        <v>0</v>
      </c>
      <c r="Q25" s="232"/>
      <c r="R25" s="23"/>
      <c r="S25" s="184" t="s">
        <v>266</v>
      </c>
      <c r="T25" s="312">
        <f ca="1">T23-T24</f>
        <v>-19369.576001731592</v>
      </c>
      <c r="U25" s="312"/>
      <c r="V25" s="312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78">
        <f>'Données projet'!A39</f>
        <v>48</v>
      </c>
      <c r="B26" s="179">
        <f>'Données projet'!D39</f>
        <v>61.12</v>
      </c>
      <c r="C26" s="191"/>
      <c r="D26" s="180">
        <f t="shared" si="2"/>
        <v>0</v>
      </c>
      <c r="E26" s="191"/>
      <c r="F26" s="231"/>
      <c r="G26" s="227"/>
      <c r="H26" s="188"/>
      <c r="I26" s="189"/>
      <c r="K26" s="206"/>
      <c r="L26" s="299" t="s">
        <v>258</v>
      </c>
      <c r="M26" s="300"/>
      <c r="N26" s="300"/>
      <c r="O26" s="300"/>
      <c r="P26" s="301"/>
      <c r="Q26" s="232"/>
      <c r="R26" s="23"/>
      <c r="S26" s="184" t="s">
        <v>265</v>
      </c>
      <c r="T26" s="309" t="str">
        <f ca="1">IF(T25&lt;0,"Votre projet est additionnel","Votre projet n'est pas additionnel")</f>
        <v>Votre projet est additionnel</v>
      </c>
      <c r="U26" s="309"/>
      <c r="V26" s="309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78">
        <f>'Données projet'!A40</f>
        <v>55</v>
      </c>
      <c r="B27" s="179">
        <f>'Données projet'!D40</f>
        <v>58.24</v>
      </c>
      <c r="C27" s="191"/>
      <c r="D27" s="180">
        <f t="shared" si="2"/>
        <v>0</v>
      </c>
      <c r="E27" s="191"/>
      <c r="F27" s="231"/>
      <c r="G27" s="227"/>
      <c r="H27" s="188"/>
      <c r="I27" s="189"/>
      <c r="K27" s="206"/>
      <c r="L27" s="302"/>
      <c r="M27" s="303"/>
      <c r="N27" s="303"/>
      <c r="O27" s="303"/>
      <c r="P27" s="304"/>
      <c r="Q27" s="232"/>
      <c r="R27" s="23"/>
      <c r="S27" s="308" t="s">
        <v>267</v>
      </c>
      <c r="T27" s="308"/>
      <c r="U27" s="308"/>
      <c r="V27" s="308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78">
        <f>'Données projet'!A41</f>
        <v>63</v>
      </c>
      <c r="B28" s="179">
        <f>'Données projet'!D41</f>
        <v>54.21</v>
      </c>
      <c r="C28" s="191"/>
      <c r="D28" s="180">
        <f t="shared" si="2"/>
        <v>0</v>
      </c>
      <c r="E28" s="191"/>
      <c r="F28" s="231"/>
      <c r="G28" s="203"/>
      <c r="H28" s="188"/>
      <c r="I28" s="189"/>
      <c r="K28" s="206"/>
      <c r="Q28" s="232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78">
        <f>'Données projet'!A42</f>
        <v>71</v>
      </c>
      <c r="B29" s="179">
        <f>'Données projet'!D42</f>
        <v>52.07</v>
      </c>
      <c r="C29" s="191"/>
      <c r="D29" s="180">
        <f t="shared" si="2"/>
        <v>0</v>
      </c>
      <c r="E29" s="191"/>
      <c r="F29" s="231"/>
      <c r="G29" s="201"/>
      <c r="H29" s="188"/>
      <c r="I29" s="189"/>
      <c r="K29" s="206"/>
      <c r="O29" s="23"/>
      <c r="P29" s="23"/>
      <c r="Q29" s="232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78">
        <f>'Données projet'!A43</f>
        <v>80</v>
      </c>
      <c r="B30" s="179">
        <f>'Données projet'!D43</f>
        <v>59.57</v>
      </c>
      <c r="C30" s="191"/>
      <c r="D30" s="180">
        <f t="shared" si="2"/>
        <v>0</v>
      </c>
      <c r="E30" s="191"/>
      <c r="F30" s="231"/>
      <c r="G30" s="201"/>
      <c r="H30" s="188"/>
      <c r="I30" s="189"/>
      <c r="K30" s="181"/>
      <c r="L30" s="36" t="s">
        <v>259</v>
      </c>
      <c r="M30" s="182">
        <f ca="1">SUM(OFFSET($P$33,0,0,MIN('Données projet'!$E$9:$E$18)+1,1))</f>
        <v>0</v>
      </c>
      <c r="O30" s="4"/>
      <c r="P30" s="4"/>
      <c r="Q30" s="233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78">
        <f>'Données projet'!A44</f>
        <v>89</v>
      </c>
      <c r="B31" s="179">
        <f>'Données projet'!D44</f>
        <v>64.5</v>
      </c>
      <c r="C31" s="191"/>
      <c r="D31" s="180">
        <f t="shared" si="2"/>
        <v>0</v>
      </c>
      <c r="E31" s="191"/>
      <c r="F31" s="231"/>
      <c r="G31" s="201"/>
      <c r="H31" s="188"/>
      <c r="I31" s="189"/>
      <c r="K31" s="171"/>
      <c r="Q31" s="232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78">
        <f>'Données projet'!A45</f>
        <v>99</v>
      </c>
      <c r="B32" s="179">
        <f>'Données projet'!D45</f>
        <v>62.94</v>
      </c>
      <c r="C32" s="191"/>
      <c r="D32" s="180">
        <f t="shared" si="2"/>
        <v>0</v>
      </c>
      <c r="E32" s="191"/>
      <c r="F32" s="231"/>
      <c r="G32" s="201"/>
      <c r="H32" s="188"/>
      <c r="I32" s="189"/>
      <c r="K32" s="171"/>
      <c r="N32" s="4"/>
      <c r="O32" s="84" t="s">
        <v>178</v>
      </c>
      <c r="P32" s="84" t="s">
        <v>252</v>
      </c>
      <c r="Q32" s="232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78">
        <f>'Données projet'!A46</f>
        <v>109</v>
      </c>
      <c r="B33" s="179">
        <f>'Données projet'!D46</f>
        <v>66.959999999999994</v>
      </c>
      <c r="C33" s="191"/>
      <c r="D33" s="180">
        <f t="shared" si="2"/>
        <v>0</v>
      </c>
      <c r="E33" s="191"/>
      <c r="F33" s="231"/>
      <c r="G33" s="201"/>
      <c r="H33" s="188"/>
      <c r="I33" s="189"/>
      <c r="K33" s="171"/>
      <c r="L33" s="4"/>
      <c r="M33" s="4"/>
      <c r="N33" s="4"/>
      <c r="O33" s="192">
        <v>0</v>
      </c>
      <c r="P33" s="183">
        <f t="shared" ref="P33:P64" si="3">$P$25/(1+$M$4)^O33</f>
        <v>0</v>
      </c>
      <c r="Q33" s="232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78">
        <f>'Données projet'!A47</f>
        <v>119</v>
      </c>
      <c r="B34" s="179">
        <f>'Données projet'!D47</f>
        <v>196.46</v>
      </c>
      <c r="C34" s="191"/>
      <c r="D34" s="180">
        <f t="shared" si="2"/>
        <v>0</v>
      </c>
      <c r="E34" s="191"/>
      <c r="F34" s="231"/>
      <c r="G34" s="201"/>
      <c r="H34" s="188"/>
      <c r="I34" s="189"/>
      <c r="K34" s="171"/>
      <c r="L34" s="96"/>
      <c r="M34" s="96"/>
      <c r="N34" s="248"/>
      <c r="O34" s="192">
        <f>IF(O33+1&lt;=MIN('Données projet'!$E$9:$E$18),O33+1,"STOP")</f>
        <v>1</v>
      </c>
      <c r="P34" s="183">
        <f t="shared" si="3"/>
        <v>0</v>
      </c>
      <c r="Q34" s="232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78">
        <f>'Données projet'!A48</f>
        <v>123</v>
      </c>
      <c r="B35" s="179">
        <f>'Données projet'!D48</f>
        <v>100.6</v>
      </c>
      <c r="C35" s="191"/>
      <c r="D35" s="180">
        <f t="shared" si="2"/>
        <v>0</v>
      </c>
      <c r="E35" s="191"/>
      <c r="F35" s="231"/>
      <c r="G35" s="201"/>
      <c r="H35" s="188"/>
      <c r="I35" s="189"/>
      <c r="K35" s="171"/>
      <c r="L35" s="96"/>
      <c r="M35" s="96"/>
      <c r="N35" s="248"/>
      <c r="O35" s="192">
        <f>IF(O34+1&lt;=MIN('Données projet'!$E$9:$E$18),O34+1,"STOP")</f>
        <v>2</v>
      </c>
      <c r="P35" s="183">
        <f t="shared" si="3"/>
        <v>0</v>
      </c>
      <c r="Q35" s="232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78">
        <f>'Données projet'!A49</f>
        <v>127</v>
      </c>
      <c r="B36" s="179">
        <f>'Données projet'!D49</f>
        <v>65.02</v>
      </c>
      <c r="C36" s="191"/>
      <c r="D36" s="180">
        <f t="shared" si="2"/>
        <v>0</v>
      </c>
      <c r="E36" s="191"/>
      <c r="F36" s="231"/>
      <c r="G36" s="201"/>
      <c r="H36" s="188"/>
      <c r="I36" s="189"/>
      <c r="K36" s="171"/>
      <c r="L36" s="23"/>
      <c r="M36" s="23"/>
      <c r="N36" s="23"/>
      <c r="O36" s="192">
        <f>IF(O35+1&lt;=MIN('Données projet'!$E$9:$E$18),O35+1,"STOP")</f>
        <v>3</v>
      </c>
      <c r="P36" s="183">
        <f t="shared" si="3"/>
        <v>0</v>
      </c>
      <c r="Q36" s="232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78">
        <f>'Données projet'!A50</f>
        <v>131</v>
      </c>
      <c r="B37" s="179">
        <f>'Données projet'!D50</f>
        <v>143.84</v>
      </c>
      <c r="C37" s="191"/>
      <c r="D37" s="180">
        <f t="shared" si="2"/>
        <v>0</v>
      </c>
      <c r="E37" s="191"/>
      <c r="F37" s="231"/>
      <c r="G37" s="201"/>
      <c r="H37" s="188"/>
      <c r="I37" s="189"/>
      <c r="K37" s="171"/>
      <c r="L37" s="23"/>
      <c r="M37" s="23"/>
      <c r="N37" s="23"/>
      <c r="O37" s="192">
        <f>IF(O36+1&lt;=MIN('Données projet'!$E$9:$E$18),O36+1,"STOP")</f>
        <v>4</v>
      </c>
      <c r="P37" s="183">
        <f t="shared" si="3"/>
        <v>0</v>
      </c>
      <c r="Q37" s="232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78">
        <f>'Données projet'!A51</f>
        <v>0</v>
      </c>
      <c r="B38" s="179">
        <f>'Données projet'!D51</f>
        <v>0</v>
      </c>
      <c r="C38" s="191"/>
      <c r="D38" s="180">
        <f t="shared" si="2"/>
        <v>0</v>
      </c>
      <c r="E38" s="191"/>
      <c r="F38" s="231"/>
      <c r="G38" s="201"/>
      <c r="H38" s="188"/>
      <c r="I38" s="189"/>
      <c r="K38" s="171"/>
      <c r="L38" s="23"/>
      <c r="M38" s="23"/>
      <c r="N38" s="23"/>
      <c r="O38" s="192">
        <f>IF(O37+1&lt;=MIN('Données projet'!$E$9:$E$18),O37+1,"STOP")</f>
        <v>5</v>
      </c>
      <c r="P38" s="183">
        <f t="shared" si="3"/>
        <v>0</v>
      </c>
      <c r="Q38" s="232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78">
        <f>'Données projet'!A52</f>
        <v>0</v>
      </c>
      <c r="B39" s="179">
        <f>'Données projet'!D52</f>
        <v>0</v>
      </c>
      <c r="C39" s="191"/>
      <c r="D39" s="180">
        <f t="shared" si="2"/>
        <v>0</v>
      </c>
      <c r="E39" s="191"/>
      <c r="F39" s="231"/>
      <c r="G39" s="201"/>
      <c r="H39" s="188"/>
      <c r="I39" s="189"/>
      <c r="K39" s="206"/>
      <c r="L39" s="23"/>
      <c r="M39" s="23"/>
      <c r="N39" s="23"/>
      <c r="O39" s="192">
        <f>IF(O38+1&lt;=MIN('Données projet'!$E$9:$E$18),O38+1,"STOP")</f>
        <v>6</v>
      </c>
      <c r="P39" s="183">
        <f t="shared" si="3"/>
        <v>0</v>
      </c>
      <c r="Q39" s="232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78">
        <f>'Données projet'!A53</f>
        <v>0</v>
      </c>
      <c r="B40" s="179">
        <f>'Données projet'!D53</f>
        <v>0</v>
      </c>
      <c r="C40" s="191"/>
      <c r="D40" s="180">
        <f t="shared" si="2"/>
        <v>0</v>
      </c>
      <c r="E40" s="191"/>
      <c r="F40" s="231"/>
      <c r="G40" s="201"/>
      <c r="H40" s="188"/>
      <c r="I40" s="189"/>
      <c r="K40" s="206"/>
      <c r="L40" s="23"/>
      <c r="M40" s="23"/>
      <c r="N40" s="23"/>
      <c r="O40" s="192">
        <f>IF(O39+1&lt;=MIN('Données projet'!$E$9:$E$18),O39+1,"STOP")</f>
        <v>7</v>
      </c>
      <c r="P40" s="183">
        <f t="shared" si="3"/>
        <v>0</v>
      </c>
      <c r="Q40" s="232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78">
        <f>'Données projet'!A54</f>
        <v>0</v>
      </c>
      <c r="B41" s="179">
        <f>'Données projet'!D54</f>
        <v>0</v>
      </c>
      <c r="C41" s="191"/>
      <c r="D41" s="180">
        <f t="shared" si="2"/>
        <v>0</v>
      </c>
      <c r="E41" s="191"/>
      <c r="F41" s="231"/>
      <c r="G41" s="201"/>
      <c r="H41" s="188"/>
      <c r="I41" s="189"/>
      <c r="K41" s="206"/>
      <c r="L41" s="23"/>
      <c r="M41" s="23"/>
      <c r="N41" s="23"/>
      <c r="O41" s="192">
        <f>IF(O40+1&lt;=MIN('Données projet'!$E$9:$E$18),O40+1,"STOP")</f>
        <v>8</v>
      </c>
      <c r="P41" s="183">
        <f t="shared" si="3"/>
        <v>0</v>
      </c>
      <c r="Q41" s="232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78">
        <f>'Données projet'!A55</f>
        <v>0</v>
      </c>
      <c r="B42" s="179">
        <f>'Données projet'!D55</f>
        <v>0</v>
      </c>
      <c r="C42" s="191"/>
      <c r="D42" s="180">
        <f t="shared" si="2"/>
        <v>0</v>
      </c>
      <c r="E42" s="191"/>
      <c r="F42" s="231"/>
      <c r="G42" s="201"/>
      <c r="H42" s="188"/>
      <c r="I42" s="189"/>
      <c r="K42" s="206"/>
      <c r="L42" s="23"/>
      <c r="M42" s="23"/>
      <c r="N42" s="23"/>
      <c r="O42" s="192">
        <f>IF(O41+1&lt;=MIN('Données projet'!$E$9:$E$18),O41+1,"STOP")</f>
        <v>9</v>
      </c>
      <c r="P42" s="183">
        <f t="shared" si="3"/>
        <v>0</v>
      </c>
      <c r="Q42" s="232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5"/>
      <c r="B43" s="185"/>
      <c r="C43" s="185"/>
      <c r="D43" s="225"/>
      <c r="E43" s="225"/>
      <c r="F43" s="236"/>
      <c r="G43" s="201"/>
      <c r="H43" s="188"/>
      <c r="I43" s="189"/>
      <c r="K43" s="206"/>
      <c r="L43" s="23"/>
      <c r="M43" s="23"/>
      <c r="N43" s="23"/>
      <c r="O43" s="192">
        <f>IF(O42+1&lt;=MIN('Données projet'!$E$9:$E$18),O42+1,"STOP")</f>
        <v>10</v>
      </c>
      <c r="P43" s="183">
        <f t="shared" si="3"/>
        <v>0</v>
      </c>
      <c r="Q43" s="233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28"/>
      <c r="G44" s="201"/>
      <c r="H44" s="188"/>
      <c r="I44" s="189"/>
      <c r="K44" s="206"/>
      <c r="L44" s="23"/>
      <c r="M44" s="23"/>
      <c r="N44" s="23"/>
      <c r="O44" s="192">
        <f>IF(O43+1&lt;=MIN('Données projet'!$E$9:$E$18),O43+1,"STOP")</f>
        <v>11</v>
      </c>
      <c r="P44" s="183">
        <f t="shared" si="3"/>
        <v>0</v>
      </c>
      <c r="Q44" s="233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2" t="str">
        <f>IF('Données projet'!$B$10="","",'Données projet'!$B$10)</f>
        <v>Hêtre</v>
      </c>
      <c r="C45" s="4"/>
      <c r="D45" s="4"/>
      <c r="E45" s="4"/>
      <c r="F45" s="228"/>
      <c r="G45" s="201"/>
      <c r="H45" s="188"/>
      <c r="I45" s="189"/>
      <c r="J45" s="23"/>
      <c r="K45" s="206"/>
      <c r="L45" s="23"/>
      <c r="M45" s="23"/>
      <c r="N45" s="23"/>
      <c r="O45" s="192">
        <f>IF(O44+1&lt;=MIN('Données projet'!$E$9:$E$18),O44+1,"STOP")</f>
        <v>12</v>
      </c>
      <c r="P45" s="183">
        <f t="shared" si="3"/>
        <v>0</v>
      </c>
      <c r="Q45" s="233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28"/>
      <c r="G46" s="201"/>
      <c r="H46" s="188"/>
      <c r="I46" s="189"/>
      <c r="J46" s="23"/>
      <c r="K46" s="206"/>
      <c r="L46" s="202"/>
      <c r="M46" s="202"/>
      <c r="N46" s="202"/>
      <c r="O46" s="192">
        <f>IF(O45+1&lt;=MIN('Données projet'!$E$9:$E$18),O45+1,"STOP")</f>
        <v>13</v>
      </c>
      <c r="P46" s="186">
        <f t="shared" si="3"/>
        <v>0</v>
      </c>
      <c r="Q46" s="233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29"/>
      <c r="G47" s="201"/>
      <c r="H47" s="188"/>
      <c r="I47" s="189"/>
      <c r="J47" s="23"/>
      <c r="K47" s="206"/>
      <c r="L47" s="4"/>
      <c r="M47" s="4"/>
      <c r="N47" s="4"/>
      <c r="O47" s="192">
        <f>IF(O46+1&lt;=MIN('Données projet'!$E$9:$E$18),O46+1,"STOP")</f>
        <v>14</v>
      </c>
      <c r="P47" s="183">
        <f t="shared" si="3"/>
        <v>0</v>
      </c>
      <c r="Q47" s="233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7" t="s">
        <v>132</v>
      </c>
      <c r="C48" s="196" t="s">
        <v>132</v>
      </c>
      <c r="D48" s="195" t="s">
        <v>132</v>
      </c>
      <c r="E48" s="191">
        <v>2230.94</v>
      </c>
      <c r="F48" s="229"/>
      <c r="G48" s="201"/>
      <c r="H48" s="188"/>
      <c r="I48" s="189"/>
      <c r="J48" s="23"/>
      <c r="K48" s="206"/>
      <c r="L48" s="4"/>
      <c r="M48" s="4"/>
      <c r="N48" s="4"/>
      <c r="O48" s="192">
        <f>IF(O47+1&lt;=MIN('Données projet'!$E$9:$E$18),O47+1,"STOP")</f>
        <v>15</v>
      </c>
      <c r="P48" s="183">
        <f t="shared" si="3"/>
        <v>0</v>
      </c>
      <c r="Q48" s="233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3" customFormat="1" ht="17.25" customHeight="1" x14ac:dyDescent="0.3">
      <c r="A49" s="49">
        <v>1</v>
      </c>
      <c r="B49" s="197" t="s">
        <v>132</v>
      </c>
      <c r="C49" s="196" t="s">
        <v>132</v>
      </c>
      <c r="D49" s="195" t="s">
        <v>132</v>
      </c>
      <c r="E49" s="191"/>
      <c r="F49" s="229"/>
      <c r="G49" s="202"/>
      <c r="H49" s="188"/>
      <c r="I49" s="189"/>
      <c r="J49" s="202"/>
      <c r="K49" s="208"/>
      <c r="L49" s="4"/>
      <c r="M49" s="4"/>
      <c r="N49" s="4"/>
      <c r="O49" s="192">
        <f>IF(O48+1&lt;=MIN('Données projet'!$E$9:$E$18),O48+1,"STOP")</f>
        <v>16</v>
      </c>
      <c r="P49" s="183">
        <f t="shared" si="3"/>
        <v>0</v>
      </c>
      <c r="Q49" s="234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</row>
    <row r="50" spans="1:56" x14ac:dyDescent="0.3">
      <c r="A50" s="49">
        <v>2</v>
      </c>
      <c r="B50" s="197" t="s">
        <v>132</v>
      </c>
      <c r="C50" s="196" t="s">
        <v>132</v>
      </c>
      <c r="D50" s="195" t="s">
        <v>132</v>
      </c>
      <c r="E50" s="191"/>
      <c r="F50" s="229"/>
      <c r="G50" s="23"/>
      <c r="H50" s="188"/>
      <c r="I50" s="189"/>
      <c r="J50" s="23"/>
      <c r="K50" s="171"/>
      <c r="L50" s="4"/>
      <c r="M50" s="4"/>
      <c r="N50" s="4"/>
      <c r="O50" s="192">
        <f>IF(O49+1&lt;=MIN('Données projet'!$E$9:$E$18),O49+1,"STOP")</f>
        <v>17</v>
      </c>
      <c r="P50" s="183">
        <f t="shared" si="3"/>
        <v>0</v>
      </c>
      <c r="Q50" s="233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7" t="s">
        <v>132</v>
      </c>
      <c r="C51" s="196" t="s">
        <v>132</v>
      </c>
      <c r="D51" s="195" t="s">
        <v>132</v>
      </c>
      <c r="E51" s="191"/>
      <c r="F51" s="229"/>
      <c r="G51" s="23"/>
      <c r="H51" s="188"/>
      <c r="I51" s="189"/>
      <c r="J51" s="23"/>
      <c r="K51" s="171"/>
      <c r="L51" s="4"/>
      <c r="M51" s="4"/>
      <c r="N51" s="4"/>
      <c r="O51" s="192">
        <f>IF(O50+1&lt;=MIN('Données projet'!$E$9:$E$18),O50+1,"STOP")</f>
        <v>18</v>
      </c>
      <c r="P51" s="183">
        <f t="shared" si="3"/>
        <v>0</v>
      </c>
      <c r="Q51" s="233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7" t="s">
        <v>132</v>
      </c>
      <c r="C52" s="196" t="s">
        <v>132</v>
      </c>
      <c r="D52" s="195" t="s">
        <v>132</v>
      </c>
      <c r="E52" s="191"/>
      <c r="F52" s="229"/>
      <c r="G52" s="23"/>
      <c r="H52" s="188"/>
      <c r="I52" s="189"/>
      <c r="J52" s="23"/>
      <c r="K52" s="171"/>
      <c r="L52" s="4"/>
      <c r="M52" s="4"/>
      <c r="N52" s="4"/>
      <c r="O52" s="192">
        <f>IF(O51+1&lt;=MIN('Données projet'!$E$9:$E$18),O51+1,"STOP")</f>
        <v>19</v>
      </c>
      <c r="P52" s="183">
        <f t="shared" si="3"/>
        <v>0</v>
      </c>
      <c r="Q52" s="233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7" t="s">
        <v>132</v>
      </c>
      <c r="C53" s="196" t="s">
        <v>132</v>
      </c>
      <c r="D53" s="195" t="s">
        <v>132</v>
      </c>
      <c r="E53" s="191"/>
      <c r="F53" s="229"/>
      <c r="G53" s="203"/>
      <c r="H53" s="188"/>
      <c r="I53" s="189"/>
      <c r="J53" s="23"/>
      <c r="K53" s="171"/>
      <c r="L53" s="4"/>
      <c r="M53" s="4"/>
      <c r="N53" s="4"/>
      <c r="O53" s="192">
        <f>IF(O52+1&lt;=MIN('Données projet'!$E$9:$E$18),O52+1,"STOP")</f>
        <v>20</v>
      </c>
      <c r="P53" s="183">
        <f t="shared" si="3"/>
        <v>0</v>
      </c>
      <c r="Q53" s="233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78">
        <f>'Données projet'!A62</f>
        <v>20</v>
      </c>
      <c r="B54" s="179">
        <f>'Données projet'!D62</f>
        <v>0</v>
      </c>
      <c r="C54" s="189"/>
      <c r="D54" s="177">
        <f>B54*C54</f>
        <v>0</v>
      </c>
      <c r="E54" s="191"/>
      <c r="F54" s="230"/>
      <c r="G54" s="203"/>
      <c r="H54" s="188"/>
      <c r="I54" s="189"/>
      <c r="J54" s="23"/>
      <c r="K54" s="171"/>
      <c r="L54" s="4"/>
      <c r="M54" s="4"/>
      <c r="N54" s="4"/>
      <c r="O54" s="192">
        <f>IF(O53+1&lt;=MIN('Données projet'!$E$9:$E$18),O53+1,"STOP")</f>
        <v>21</v>
      </c>
      <c r="P54" s="183">
        <f t="shared" si="3"/>
        <v>0</v>
      </c>
      <c r="Q54" s="233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78">
        <f>'Données projet'!A63</f>
        <v>25</v>
      </c>
      <c r="B55" s="179">
        <f>'Données projet'!D63</f>
        <v>7</v>
      </c>
      <c r="C55" s="189">
        <v>15</v>
      </c>
      <c r="D55" s="177">
        <f t="shared" ref="D55:D73" si="4">B55*C55</f>
        <v>105</v>
      </c>
      <c r="E55" s="191"/>
      <c r="F55" s="230"/>
      <c r="G55" s="203"/>
      <c r="H55" s="188"/>
      <c r="I55" s="189"/>
      <c r="J55" s="23"/>
      <c r="K55" s="171"/>
      <c r="L55" s="4"/>
      <c r="M55" s="4"/>
      <c r="N55" s="4"/>
      <c r="O55" s="192">
        <f>IF(O54+1&lt;=MIN('Données projet'!$E$9:$E$18),O54+1,"STOP")</f>
        <v>22</v>
      </c>
      <c r="P55" s="183">
        <f t="shared" si="3"/>
        <v>0</v>
      </c>
      <c r="Q55" s="233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78">
        <f>'Données projet'!A64</f>
        <v>30</v>
      </c>
      <c r="B56" s="179">
        <f>'Données projet'!D64</f>
        <v>28</v>
      </c>
      <c r="C56" s="189">
        <v>15</v>
      </c>
      <c r="D56" s="177">
        <f t="shared" si="4"/>
        <v>420</v>
      </c>
      <c r="E56" s="191"/>
      <c r="F56" s="230"/>
      <c r="G56" s="203"/>
      <c r="H56" s="188"/>
      <c r="I56" s="189"/>
      <c r="J56" s="23"/>
      <c r="K56" s="171"/>
      <c r="L56" s="4"/>
      <c r="M56" s="4"/>
      <c r="N56" s="4"/>
      <c r="O56" s="192">
        <f>IF(O55+1&lt;=MIN('Données projet'!$E$9:$E$18),O55+1,"STOP")</f>
        <v>23</v>
      </c>
      <c r="P56" s="183">
        <f t="shared" si="3"/>
        <v>0</v>
      </c>
      <c r="Q56" s="233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78">
        <f>'Données projet'!A65</f>
        <v>35</v>
      </c>
      <c r="B57" s="179">
        <f>'Données projet'!D65</f>
        <v>28</v>
      </c>
      <c r="C57" s="189"/>
      <c r="D57" s="177">
        <f t="shared" si="4"/>
        <v>0</v>
      </c>
      <c r="E57" s="191"/>
      <c r="F57" s="230"/>
      <c r="G57" s="203"/>
      <c r="H57" s="188"/>
      <c r="I57" s="189"/>
      <c r="J57" s="23"/>
      <c r="K57" s="171"/>
      <c r="L57" s="4"/>
      <c r="M57" s="4"/>
      <c r="N57" s="4"/>
      <c r="O57" s="192">
        <f>IF(O56+1&lt;=MIN('Données projet'!$E$9:$E$18),O56+1,"STOP")</f>
        <v>24</v>
      </c>
      <c r="P57" s="183">
        <f t="shared" si="3"/>
        <v>0</v>
      </c>
      <c r="Q57" s="233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78">
        <f>'Données projet'!A66</f>
        <v>40</v>
      </c>
      <c r="B58" s="179">
        <f>'Données projet'!D66</f>
        <v>28</v>
      </c>
      <c r="C58" s="189"/>
      <c r="D58" s="177">
        <f t="shared" si="4"/>
        <v>0</v>
      </c>
      <c r="E58" s="191"/>
      <c r="F58" s="230"/>
      <c r="G58" s="203"/>
      <c r="H58" s="188"/>
      <c r="I58" s="189"/>
      <c r="J58" s="23"/>
      <c r="K58" s="171"/>
      <c r="L58" s="4"/>
      <c r="M58" s="4"/>
      <c r="N58" s="4"/>
      <c r="O58" s="192">
        <f>IF(O57+1&lt;=MIN('Données projet'!$E$9:$E$18),O57+1,"STOP")</f>
        <v>25</v>
      </c>
      <c r="P58" s="183">
        <f t="shared" si="3"/>
        <v>0</v>
      </c>
      <c r="Q58" s="233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78">
        <f>'Données projet'!A67</f>
        <v>45</v>
      </c>
      <c r="B59" s="179">
        <f>'Données projet'!D67</f>
        <v>28</v>
      </c>
      <c r="C59" s="189"/>
      <c r="D59" s="177">
        <f t="shared" si="4"/>
        <v>0</v>
      </c>
      <c r="E59" s="191"/>
      <c r="F59" s="230"/>
      <c r="G59" s="203"/>
      <c r="H59" s="188"/>
      <c r="I59" s="189"/>
      <c r="J59" s="23"/>
      <c r="K59" s="171"/>
      <c r="L59" s="4"/>
      <c r="M59" s="4"/>
      <c r="N59" s="4"/>
      <c r="O59" s="192">
        <f>IF(O58+1&lt;=MIN('Données projet'!$E$9:$E$18),O58+1,"STOP")</f>
        <v>26</v>
      </c>
      <c r="P59" s="183">
        <f t="shared" si="3"/>
        <v>0</v>
      </c>
      <c r="Q59" s="233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78">
        <f>'Données projet'!A68</f>
        <v>50</v>
      </c>
      <c r="B60" s="179">
        <f>'Données projet'!D68</f>
        <v>28</v>
      </c>
      <c r="C60" s="189"/>
      <c r="D60" s="177">
        <f t="shared" si="4"/>
        <v>0</v>
      </c>
      <c r="E60" s="191"/>
      <c r="F60" s="230"/>
      <c r="G60" s="204"/>
      <c r="H60" s="188"/>
      <c r="I60" s="189"/>
      <c r="J60" s="23"/>
      <c r="K60" s="171"/>
      <c r="L60" s="4"/>
      <c r="M60" s="4"/>
      <c r="N60" s="4"/>
      <c r="O60" s="192">
        <f>IF(O59+1&lt;=MIN('Données projet'!$E$9:$E$18),O59+1,"STOP")</f>
        <v>27</v>
      </c>
      <c r="P60" s="183">
        <f t="shared" si="3"/>
        <v>0</v>
      </c>
      <c r="Q60" s="233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78">
        <f>'Données projet'!A69</f>
        <v>55</v>
      </c>
      <c r="B61" s="179">
        <f>'Données projet'!D69</f>
        <v>28</v>
      </c>
      <c r="C61" s="189"/>
      <c r="D61" s="177">
        <f t="shared" si="4"/>
        <v>0</v>
      </c>
      <c r="E61" s="191"/>
      <c r="F61" s="230"/>
      <c r="G61" s="204"/>
      <c r="H61" s="188"/>
      <c r="I61" s="189"/>
      <c r="J61" s="23"/>
      <c r="K61" s="171"/>
      <c r="L61" s="4"/>
      <c r="M61" s="4"/>
      <c r="N61" s="4"/>
      <c r="O61" s="192">
        <f>IF(O60+1&lt;=MIN('Données projet'!$E$9:$E$18),O60+1,"STOP")</f>
        <v>28</v>
      </c>
      <c r="P61" s="183">
        <f t="shared" si="3"/>
        <v>0</v>
      </c>
      <c r="Q61" s="233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78">
        <f>'Données projet'!A70</f>
        <v>60</v>
      </c>
      <c r="B62" s="179">
        <f>'Données projet'!D70</f>
        <v>28</v>
      </c>
      <c r="C62" s="189"/>
      <c r="D62" s="177">
        <f t="shared" si="4"/>
        <v>0</v>
      </c>
      <c r="E62" s="191"/>
      <c r="F62" s="230"/>
      <c r="G62" s="204"/>
      <c r="H62" s="188"/>
      <c r="I62" s="189"/>
      <c r="J62" s="23"/>
      <c r="K62" s="171"/>
      <c r="L62" s="4"/>
      <c r="M62" s="4"/>
      <c r="N62" s="4"/>
      <c r="O62" s="192">
        <f>IF(O61+1&lt;=MIN('Données projet'!$E$9:$E$18),O61+1,"STOP")</f>
        <v>29</v>
      </c>
      <c r="P62" s="183">
        <f t="shared" si="3"/>
        <v>0</v>
      </c>
      <c r="Q62" s="233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78">
        <f>'Données projet'!A71</f>
        <v>65</v>
      </c>
      <c r="B63" s="179">
        <f>'Données projet'!D71</f>
        <v>28</v>
      </c>
      <c r="C63" s="189"/>
      <c r="D63" s="177">
        <f t="shared" si="4"/>
        <v>0</v>
      </c>
      <c r="E63" s="191"/>
      <c r="F63" s="230"/>
      <c r="G63" s="204"/>
      <c r="H63" s="188"/>
      <c r="I63" s="189"/>
      <c r="J63" s="23"/>
      <c r="K63" s="171"/>
      <c r="L63" s="4"/>
      <c r="M63" s="4"/>
      <c r="N63" s="4"/>
      <c r="O63" s="192">
        <f>IF(O62+1&lt;=MIN('Données projet'!$E$9:$E$18),O62+1,"STOP")</f>
        <v>30</v>
      </c>
      <c r="P63" s="183">
        <f t="shared" si="3"/>
        <v>0</v>
      </c>
      <c r="Q63" s="233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78">
        <f>'Données projet'!A72</f>
        <v>70</v>
      </c>
      <c r="B64" s="179">
        <f>'Données projet'!D72</f>
        <v>28</v>
      </c>
      <c r="C64" s="189"/>
      <c r="D64" s="177">
        <f t="shared" si="4"/>
        <v>0</v>
      </c>
      <c r="E64" s="191"/>
      <c r="F64" s="230"/>
      <c r="G64" s="204"/>
      <c r="H64" s="188"/>
      <c r="I64" s="189"/>
      <c r="J64" s="205"/>
      <c r="K64" s="171"/>
      <c r="L64" s="4"/>
      <c r="M64" s="4"/>
      <c r="N64" s="4"/>
      <c r="O64" s="192">
        <f>IF(O63+1&lt;=MIN('Données projet'!$E$9:$E$18),O63+1,"STOP")</f>
        <v>31</v>
      </c>
      <c r="P64" s="183">
        <f t="shared" si="3"/>
        <v>0</v>
      </c>
      <c r="Q64" s="233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78">
        <f>'Données projet'!A73</f>
        <v>75</v>
      </c>
      <c r="B65" s="179">
        <f>'Données projet'!D73</f>
        <v>28</v>
      </c>
      <c r="C65" s="189"/>
      <c r="D65" s="177">
        <f t="shared" si="4"/>
        <v>0</v>
      </c>
      <c r="E65" s="191"/>
      <c r="F65" s="230"/>
      <c r="G65" s="204"/>
      <c r="H65" s="188"/>
      <c r="I65" s="189"/>
      <c r="J65" s="187"/>
      <c r="K65" s="171"/>
      <c r="L65" s="4"/>
      <c r="M65" s="4"/>
      <c r="N65" s="4"/>
      <c r="O65" s="192">
        <f>IF(O64+1&lt;=MIN('Données projet'!$E$9:$E$18),O64+1,"STOP")</f>
        <v>32</v>
      </c>
      <c r="P65" s="183">
        <f t="shared" ref="P65:P96" si="5">$P$25/(1+$M$4)^O65</f>
        <v>0</v>
      </c>
      <c r="Q65" s="233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78">
        <f>'Données projet'!A74</f>
        <v>80</v>
      </c>
      <c r="B66" s="179">
        <f>'Données projet'!D74</f>
        <v>28</v>
      </c>
      <c r="C66" s="189"/>
      <c r="D66" s="177">
        <f t="shared" si="4"/>
        <v>0</v>
      </c>
      <c r="E66" s="191"/>
      <c r="F66" s="230"/>
      <c r="G66" s="204"/>
      <c r="H66" s="188"/>
      <c r="I66" s="189"/>
      <c r="J66" s="187"/>
      <c r="K66" s="171"/>
      <c r="L66" s="4"/>
      <c r="M66" s="4"/>
      <c r="N66" s="4"/>
      <c r="O66" s="192">
        <f>IF(O65+1&lt;=MIN('Données projet'!$E$9:$E$18),O65+1,"STOP")</f>
        <v>33</v>
      </c>
      <c r="P66" s="183">
        <f t="shared" si="5"/>
        <v>0</v>
      </c>
      <c r="Q66" s="233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78">
        <f>'Données projet'!A75</f>
        <v>85</v>
      </c>
      <c r="B67" s="179">
        <f>'Données projet'!D75</f>
        <v>27</v>
      </c>
      <c r="C67" s="189"/>
      <c r="D67" s="177">
        <f t="shared" si="4"/>
        <v>0</v>
      </c>
      <c r="E67" s="191"/>
      <c r="F67" s="230"/>
      <c r="G67" s="204"/>
      <c r="H67" s="188"/>
      <c r="I67" s="189"/>
      <c r="J67" s="187"/>
      <c r="K67" s="171"/>
      <c r="L67" s="4"/>
      <c r="M67" s="4"/>
      <c r="N67" s="4"/>
      <c r="O67" s="192">
        <f>IF(O66+1&lt;=MIN('Données projet'!$E$9:$E$18),O66+1,"STOP")</f>
        <v>34</v>
      </c>
      <c r="P67" s="183">
        <f t="shared" si="5"/>
        <v>0</v>
      </c>
      <c r="Q67" s="233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78">
        <f>'Données projet'!A76</f>
        <v>90</v>
      </c>
      <c r="B68" s="179">
        <f>'Données projet'!D76</f>
        <v>26</v>
      </c>
      <c r="C68" s="189"/>
      <c r="D68" s="177">
        <f t="shared" si="4"/>
        <v>0</v>
      </c>
      <c r="E68" s="191"/>
      <c r="F68" s="230"/>
      <c r="G68" s="204"/>
      <c r="H68" s="188"/>
      <c r="I68" s="189"/>
      <c r="J68" s="187"/>
      <c r="K68" s="171"/>
      <c r="L68" s="4"/>
      <c r="M68" s="4"/>
      <c r="N68" s="4"/>
      <c r="O68" s="192">
        <f>IF(O67+1&lt;=MIN('Données projet'!$E$9:$E$18),O67+1,"STOP")</f>
        <v>35</v>
      </c>
      <c r="P68" s="183">
        <f t="shared" si="5"/>
        <v>0</v>
      </c>
      <c r="Q68" s="233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78">
        <f>'Données projet'!A77</f>
        <v>95</v>
      </c>
      <c r="B69" s="179">
        <f>'Données projet'!D77</f>
        <v>25</v>
      </c>
      <c r="C69" s="189"/>
      <c r="D69" s="177">
        <f t="shared" si="4"/>
        <v>0</v>
      </c>
      <c r="E69" s="191"/>
      <c r="F69" s="230"/>
      <c r="G69" s="204"/>
      <c r="H69" s="188"/>
      <c r="I69" s="189"/>
      <c r="J69" s="187"/>
      <c r="K69" s="171"/>
      <c r="L69" s="4"/>
      <c r="M69" s="4"/>
      <c r="N69" s="4"/>
      <c r="O69" s="192">
        <f>IF(O68+1&lt;=MIN('Données projet'!$E$9:$E$18),O68+1,"STOP")</f>
        <v>36</v>
      </c>
      <c r="P69" s="183">
        <f t="shared" si="5"/>
        <v>0</v>
      </c>
      <c r="Q69" s="233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78">
        <f>'Données projet'!A78</f>
        <v>100</v>
      </c>
      <c r="B70" s="179">
        <f>'Données projet'!D78</f>
        <v>24</v>
      </c>
      <c r="C70" s="189"/>
      <c r="D70" s="177">
        <f t="shared" si="4"/>
        <v>0</v>
      </c>
      <c r="E70" s="191"/>
      <c r="F70" s="230"/>
      <c r="G70" s="204"/>
      <c r="H70" s="188"/>
      <c r="I70" s="189"/>
      <c r="J70" s="187"/>
      <c r="K70" s="171"/>
      <c r="L70" s="4"/>
      <c r="M70" s="4"/>
      <c r="N70" s="4"/>
      <c r="O70" s="192">
        <f>IF(O69+1&lt;=MIN('Données projet'!$E$9:$E$18),O69+1,"STOP")</f>
        <v>37</v>
      </c>
      <c r="P70" s="183">
        <f t="shared" si="5"/>
        <v>0</v>
      </c>
      <c r="Q70" s="233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78">
        <f>'Données projet'!A79</f>
        <v>105</v>
      </c>
      <c r="B71" s="179">
        <f>'Données projet'!D79</f>
        <v>23</v>
      </c>
      <c r="C71" s="189"/>
      <c r="D71" s="177">
        <f t="shared" si="4"/>
        <v>0</v>
      </c>
      <c r="E71" s="191"/>
      <c r="F71" s="230"/>
      <c r="G71" s="204"/>
      <c r="H71" s="188"/>
      <c r="I71" s="189"/>
      <c r="J71" s="187"/>
      <c r="K71" s="171"/>
      <c r="L71" s="4"/>
      <c r="M71" s="4"/>
      <c r="N71" s="4"/>
      <c r="O71" s="192">
        <f>IF(O70+1&lt;=MIN('Données projet'!$E$9:$E$18),O70+1,"STOP")</f>
        <v>38</v>
      </c>
      <c r="P71" s="183">
        <f t="shared" si="5"/>
        <v>0</v>
      </c>
      <c r="Q71" s="233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78">
        <f>'Données projet'!A80</f>
        <v>110</v>
      </c>
      <c r="B72" s="179">
        <f>'Données projet'!D80</f>
        <v>22</v>
      </c>
      <c r="C72" s="189"/>
      <c r="D72" s="177">
        <f t="shared" si="4"/>
        <v>0</v>
      </c>
      <c r="E72" s="191"/>
      <c r="F72" s="230"/>
      <c r="G72" s="204"/>
      <c r="H72" s="188"/>
      <c r="I72" s="189"/>
      <c r="J72" s="4"/>
      <c r="K72" s="171"/>
      <c r="L72" s="4"/>
      <c r="M72" s="4"/>
      <c r="N72" s="4"/>
      <c r="O72" s="192">
        <f>IF(O71+1&lt;=MIN('Données projet'!$E$9:$E$18),O71+1,"STOP")</f>
        <v>39</v>
      </c>
      <c r="P72" s="183">
        <f t="shared" si="5"/>
        <v>0</v>
      </c>
      <c r="Q72" s="233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78">
        <f>'Données projet'!A81</f>
        <v>115</v>
      </c>
      <c r="B73" s="179">
        <f>'Données projet'!D81</f>
        <v>22</v>
      </c>
      <c r="C73" s="189"/>
      <c r="D73" s="177">
        <f t="shared" si="4"/>
        <v>0</v>
      </c>
      <c r="E73" s="191"/>
      <c r="F73" s="230"/>
      <c r="G73" s="204"/>
      <c r="H73" s="188"/>
      <c r="I73" s="189"/>
      <c r="J73" s="4"/>
      <c r="K73" s="171"/>
      <c r="L73" s="4"/>
      <c r="M73" s="4"/>
      <c r="N73" s="4"/>
      <c r="O73" s="192">
        <f>IF(O72+1&lt;=MIN('Données projet'!$E$9:$E$18),O72+1,"STOP")</f>
        <v>40</v>
      </c>
      <c r="P73" s="183">
        <f t="shared" si="5"/>
        <v>0</v>
      </c>
      <c r="Q73" s="233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28"/>
      <c r="G74" s="204"/>
      <c r="H74" s="188"/>
      <c r="I74" s="189"/>
      <c r="J74" s="4"/>
      <c r="K74" s="171"/>
      <c r="L74" s="4"/>
      <c r="M74" s="4"/>
      <c r="N74" s="4"/>
      <c r="O74" s="192">
        <f>IF(O73+1&lt;=MIN('Données projet'!$E$9:$E$18),O73+1,"STOP")</f>
        <v>41</v>
      </c>
      <c r="P74" s="183">
        <f t="shared" si="5"/>
        <v>0</v>
      </c>
      <c r="Q74" s="233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28"/>
      <c r="G75" s="204"/>
      <c r="H75" s="188"/>
      <c r="I75" s="189"/>
      <c r="J75" s="4"/>
      <c r="K75" s="171"/>
      <c r="L75" s="4"/>
      <c r="M75" s="4"/>
      <c r="N75" s="4"/>
      <c r="O75" s="192">
        <f>IF(O74+1&lt;=MIN('Données projet'!$E$9:$E$18),O74+1,"STOP")</f>
        <v>42</v>
      </c>
      <c r="P75" s="183">
        <f t="shared" si="5"/>
        <v>0</v>
      </c>
      <c r="Q75" s="233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2" t="str">
        <f>IF('Données projet'!B11="","",'Données projet'!B11)</f>
        <v>Merisier</v>
      </c>
      <c r="C76" s="4"/>
      <c r="D76" s="4"/>
      <c r="E76" s="4"/>
      <c r="F76" s="228"/>
      <c r="G76" s="204"/>
      <c r="H76" s="188"/>
      <c r="I76" s="189"/>
      <c r="J76" s="4"/>
      <c r="K76" s="171"/>
      <c r="L76" s="4"/>
      <c r="M76" s="4"/>
      <c r="N76" s="4"/>
      <c r="O76" s="192">
        <f>IF(O75+1&lt;=MIN('Données projet'!$E$9:$E$18),O75+1,"STOP")</f>
        <v>43</v>
      </c>
      <c r="P76" s="183">
        <f t="shared" si="5"/>
        <v>0</v>
      </c>
      <c r="Q76" s="233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28"/>
      <c r="G77" s="204"/>
      <c r="H77" s="188"/>
      <c r="I77" s="189"/>
      <c r="J77" s="4"/>
      <c r="K77" s="171"/>
      <c r="L77" s="4"/>
      <c r="M77" s="4"/>
      <c r="N77" s="4"/>
      <c r="O77" s="192">
        <f>IF(O76+1&lt;=MIN('Données projet'!$E$9:$E$18),O76+1,"STOP")</f>
        <v>44</v>
      </c>
      <c r="P77" s="183">
        <f t="shared" si="5"/>
        <v>0</v>
      </c>
      <c r="Q77" s="233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29"/>
      <c r="G78" s="204"/>
      <c r="H78" s="188"/>
      <c r="I78" s="189"/>
      <c r="J78" s="4"/>
      <c r="K78" s="171"/>
      <c r="L78" s="4"/>
      <c r="M78" s="4"/>
      <c r="N78" s="4"/>
      <c r="O78" s="192">
        <f>IF(O77+1&lt;=MIN('Données projet'!$E$9:$E$18),O77+1,"STOP")</f>
        <v>45</v>
      </c>
      <c r="P78" s="183">
        <f t="shared" si="5"/>
        <v>0</v>
      </c>
      <c r="Q78" s="233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7" t="s">
        <v>132</v>
      </c>
      <c r="C79" s="196" t="s">
        <v>132</v>
      </c>
      <c r="D79" s="195" t="s">
        <v>132</v>
      </c>
      <c r="E79" s="191">
        <v>2817.39</v>
      </c>
      <c r="F79" s="229"/>
      <c r="G79" s="204"/>
      <c r="H79" s="188"/>
      <c r="I79" s="189"/>
      <c r="J79" s="4"/>
      <c r="K79" s="171"/>
      <c r="L79" s="4"/>
      <c r="M79" s="4"/>
      <c r="N79" s="4"/>
      <c r="O79" s="192">
        <f>IF(O78+1&lt;=MIN('Données projet'!$E$9:$E$18),O78+1,"STOP")</f>
        <v>46</v>
      </c>
      <c r="P79" s="183">
        <f t="shared" si="5"/>
        <v>0</v>
      </c>
      <c r="Q79" s="233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7" t="s">
        <v>132</v>
      </c>
      <c r="C80" s="196" t="s">
        <v>132</v>
      </c>
      <c r="D80" s="195" t="s">
        <v>132</v>
      </c>
      <c r="E80" s="191"/>
      <c r="F80" s="229"/>
      <c r="G80" s="23"/>
      <c r="H80" s="188"/>
      <c r="I80" s="189"/>
      <c r="J80" s="4"/>
      <c r="K80" s="171"/>
      <c r="L80" s="4"/>
      <c r="M80" s="4"/>
      <c r="N80" s="4"/>
      <c r="O80" s="192">
        <f>IF(O79+1&lt;=MIN('Données projet'!$E$9:$E$18),O79+1,"STOP")</f>
        <v>47</v>
      </c>
      <c r="P80" s="183">
        <f t="shared" si="5"/>
        <v>0</v>
      </c>
      <c r="Q80" s="233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7" t="s">
        <v>132</v>
      </c>
      <c r="C81" s="196" t="s">
        <v>132</v>
      </c>
      <c r="D81" s="195" t="s">
        <v>132</v>
      </c>
      <c r="E81" s="191"/>
      <c r="F81" s="229"/>
      <c r="G81" s="23"/>
      <c r="H81" s="188"/>
      <c r="I81" s="189"/>
      <c r="J81" s="4"/>
      <c r="K81" s="171"/>
      <c r="L81" s="4"/>
      <c r="M81" s="4"/>
      <c r="N81" s="4"/>
      <c r="O81" s="192">
        <f>IF(O80+1&lt;=MIN('Données projet'!$E$9:$E$18),O80+1,"STOP")</f>
        <v>48</v>
      </c>
      <c r="P81" s="183">
        <f t="shared" si="5"/>
        <v>0</v>
      </c>
      <c r="Q81" s="233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7" t="s">
        <v>132</v>
      </c>
      <c r="C82" s="196" t="s">
        <v>132</v>
      </c>
      <c r="D82" s="195" t="s">
        <v>132</v>
      </c>
      <c r="E82" s="191"/>
      <c r="F82" s="229"/>
      <c r="G82" s="23"/>
      <c r="H82" s="188"/>
      <c r="I82" s="189"/>
      <c r="J82" s="4"/>
      <c r="K82" s="171"/>
      <c r="L82" s="4"/>
      <c r="M82" s="4"/>
      <c r="N82" s="4"/>
      <c r="O82" s="192">
        <f>IF(O81+1&lt;=MIN('Données projet'!$E$9:$E$18),O81+1,"STOP")</f>
        <v>49</v>
      </c>
      <c r="P82" s="183">
        <f t="shared" si="5"/>
        <v>0</v>
      </c>
      <c r="Q82" s="233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7" t="s">
        <v>132</v>
      </c>
      <c r="C83" s="196" t="s">
        <v>132</v>
      </c>
      <c r="D83" s="195" t="s">
        <v>132</v>
      </c>
      <c r="E83" s="191"/>
      <c r="F83" s="229"/>
      <c r="G83" s="23"/>
      <c r="H83" s="188"/>
      <c r="I83" s="189"/>
      <c r="J83" s="4"/>
      <c r="K83" s="171"/>
      <c r="L83" s="4"/>
      <c r="M83" s="4"/>
      <c r="N83" s="4"/>
      <c r="O83" s="192">
        <f>IF(O82+1&lt;=MIN('Données projet'!$E$9:$E$18),O82+1,"STOP")</f>
        <v>50</v>
      </c>
      <c r="P83" s="183">
        <f t="shared" si="5"/>
        <v>0</v>
      </c>
      <c r="Q83" s="233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7" t="s">
        <v>132</v>
      </c>
      <c r="C84" s="196" t="s">
        <v>132</v>
      </c>
      <c r="D84" s="195" t="s">
        <v>132</v>
      </c>
      <c r="E84" s="191"/>
      <c r="F84" s="229"/>
      <c r="G84" s="203"/>
      <c r="H84" s="188"/>
      <c r="I84" s="189"/>
      <c r="J84" s="4"/>
      <c r="K84" s="171"/>
      <c r="L84" s="4"/>
      <c r="M84" s="4"/>
      <c r="N84" s="4"/>
      <c r="O84" s="192">
        <f>IF(O83+1&lt;=MIN('Données projet'!$E$9:$E$18),O83+1,"STOP")</f>
        <v>51</v>
      </c>
      <c r="P84" s="183">
        <f t="shared" si="5"/>
        <v>0</v>
      </c>
      <c r="Q84" s="233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78">
        <f>'Données projet'!A88</f>
        <v>15</v>
      </c>
      <c r="B85" s="179">
        <f>'Données projet'!D88</f>
        <v>3</v>
      </c>
      <c r="C85" s="189">
        <v>15</v>
      </c>
      <c r="D85" s="177">
        <f>B85*C85</f>
        <v>45</v>
      </c>
      <c r="E85" s="191"/>
      <c r="F85" s="230"/>
      <c r="G85" s="203"/>
      <c r="H85" s="188"/>
      <c r="I85" s="189"/>
      <c r="J85" s="4"/>
      <c r="K85" s="171"/>
      <c r="L85" s="4"/>
      <c r="M85" s="4"/>
      <c r="N85" s="4"/>
      <c r="O85" s="192">
        <f>IF(O84+1&lt;=MIN('Données projet'!$E$9:$E$18),O84+1,"STOP")</f>
        <v>52</v>
      </c>
      <c r="P85" s="183">
        <f t="shared" si="5"/>
        <v>0</v>
      </c>
      <c r="Q85" s="233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78">
        <f>'Données projet'!A89</f>
        <v>20</v>
      </c>
      <c r="B86" s="179">
        <f>'Données projet'!D89</f>
        <v>25</v>
      </c>
      <c r="C86" s="189">
        <v>15</v>
      </c>
      <c r="D86" s="177">
        <f t="shared" ref="D86:D104" si="6">B86*C86</f>
        <v>375</v>
      </c>
      <c r="E86" s="191"/>
      <c r="F86" s="230"/>
      <c r="G86" s="203"/>
      <c r="H86" s="188"/>
      <c r="I86" s="189"/>
      <c r="J86" s="4"/>
      <c r="K86" s="171"/>
      <c r="L86" s="4"/>
      <c r="M86" s="4"/>
      <c r="N86" s="4"/>
      <c r="O86" s="192">
        <f>IF(O85+1&lt;=MIN('Données projet'!$E$9:$E$18),O85+1,"STOP")</f>
        <v>53</v>
      </c>
      <c r="P86" s="183">
        <f t="shared" si="5"/>
        <v>0</v>
      </c>
      <c r="Q86" s="233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78">
        <f>'Données projet'!A90</f>
        <v>25</v>
      </c>
      <c r="B87" s="179">
        <f>'Données projet'!D90</f>
        <v>27</v>
      </c>
      <c r="C87" s="189">
        <v>15</v>
      </c>
      <c r="D87" s="177">
        <f t="shared" si="6"/>
        <v>405</v>
      </c>
      <c r="E87" s="191"/>
      <c r="F87" s="230"/>
      <c r="G87" s="203"/>
      <c r="H87" s="188"/>
      <c r="I87" s="189"/>
      <c r="J87" s="4"/>
      <c r="K87" s="171"/>
      <c r="L87" s="4"/>
      <c r="M87" s="4"/>
      <c r="N87" s="4"/>
      <c r="O87" s="192">
        <f>IF(O86+1&lt;=MIN('Données projet'!$E$9:$E$18),O86+1,"STOP")</f>
        <v>54</v>
      </c>
      <c r="P87" s="183">
        <f t="shared" si="5"/>
        <v>0</v>
      </c>
      <c r="Q87" s="233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78">
        <f>'Données projet'!A91</f>
        <v>31</v>
      </c>
      <c r="B88" s="179">
        <f>'Données projet'!D91</f>
        <v>36</v>
      </c>
      <c r="C88" s="189"/>
      <c r="D88" s="177">
        <f t="shared" si="6"/>
        <v>0</v>
      </c>
      <c r="E88" s="191"/>
      <c r="F88" s="230"/>
      <c r="G88" s="203"/>
      <c r="H88" s="188"/>
      <c r="I88" s="189"/>
      <c r="J88" s="4"/>
      <c r="K88" s="171"/>
      <c r="L88" s="4"/>
      <c r="M88" s="4"/>
      <c r="N88" s="4"/>
      <c r="O88" s="192">
        <f>IF(O87+1&lt;=MIN('Données projet'!$E$9:$E$18),O87+1,"STOP")</f>
        <v>55</v>
      </c>
      <c r="P88" s="183">
        <f t="shared" si="5"/>
        <v>0</v>
      </c>
      <c r="Q88" s="233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78">
        <f>'Données projet'!A92</f>
        <v>37</v>
      </c>
      <c r="B89" s="179">
        <f>'Données projet'!D92</f>
        <v>36</v>
      </c>
      <c r="C89" s="189"/>
      <c r="D89" s="177">
        <f t="shared" si="6"/>
        <v>0</v>
      </c>
      <c r="E89" s="191"/>
      <c r="F89" s="230"/>
      <c r="G89" s="203"/>
      <c r="H89" s="188"/>
      <c r="I89" s="189"/>
      <c r="J89" s="4"/>
      <c r="K89" s="171"/>
      <c r="L89" s="4"/>
      <c r="M89" s="4"/>
      <c r="N89" s="4"/>
      <c r="O89" s="192">
        <f>IF(O88+1&lt;=MIN('Données projet'!$E$9:$E$18),O88+1,"STOP")</f>
        <v>56</v>
      </c>
      <c r="P89" s="183">
        <f t="shared" si="5"/>
        <v>0</v>
      </c>
      <c r="Q89" s="233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78">
        <f>'Données projet'!A93</f>
        <v>44</v>
      </c>
      <c r="B90" s="179">
        <f>'Données projet'!D93</f>
        <v>43</v>
      </c>
      <c r="C90" s="189"/>
      <c r="D90" s="177">
        <f t="shared" si="6"/>
        <v>0</v>
      </c>
      <c r="E90" s="191"/>
      <c r="F90" s="230"/>
      <c r="G90" s="203"/>
      <c r="H90" s="188"/>
      <c r="I90" s="189"/>
      <c r="J90" s="4"/>
      <c r="K90" s="171"/>
      <c r="L90" s="4"/>
      <c r="M90" s="4"/>
      <c r="N90" s="4"/>
      <c r="O90" s="192">
        <f>IF(O89+1&lt;=MIN('Données projet'!$E$9:$E$18),O89+1,"STOP")</f>
        <v>57</v>
      </c>
      <c r="P90" s="183">
        <f t="shared" si="5"/>
        <v>0</v>
      </c>
      <c r="Q90" s="233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78">
        <f>'Données projet'!A94</f>
        <v>52</v>
      </c>
      <c r="B91" s="179">
        <f>'Données projet'!D94</f>
        <v>48</v>
      </c>
      <c r="C91" s="189"/>
      <c r="D91" s="177">
        <f t="shared" si="6"/>
        <v>0</v>
      </c>
      <c r="E91" s="191"/>
      <c r="F91" s="230"/>
      <c r="G91" s="204"/>
      <c r="H91" s="188"/>
      <c r="I91" s="189"/>
      <c r="J91" s="4"/>
      <c r="K91" s="171"/>
      <c r="L91" s="4"/>
      <c r="M91" s="4"/>
      <c r="N91" s="4"/>
      <c r="O91" s="192">
        <f>IF(O90+1&lt;=MIN('Données projet'!$E$9:$E$18),O90+1,"STOP")</f>
        <v>58</v>
      </c>
      <c r="P91" s="183">
        <f t="shared" si="5"/>
        <v>0</v>
      </c>
      <c r="Q91" s="233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78">
        <f>'Données projet'!A95</f>
        <v>60</v>
      </c>
      <c r="B92" s="179">
        <f>'Données projet'!D95</f>
        <v>47</v>
      </c>
      <c r="C92" s="189"/>
      <c r="D92" s="177">
        <f t="shared" si="6"/>
        <v>0</v>
      </c>
      <c r="E92" s="191"/>
      <c r="F92" s="230"/>
      <c r="G92" s="204"/>
      <c r="H92" s="188"/>
      <c r="I92" s="189"/>
      <c r="J92" s="4"/>
      <c r="K92" s="171"/>
      <c r="L92" s="4"/>
      <c r="M92" s="4"/>
      <c r="N92" s="4"/>
      <c r="O92" s="192">
        <f>IF(O91+1&lt;=MIN('Données projet'!$E$9:$E$18),O91+1,"STOP")</f>
        <v>59</v>
      </c>
      <c r="P92" s="183">
        <f t="shared" si="5"/>
        <v>0</v>
      </c>
      <c r="Q92" s="233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78">
        <f>'Données projet'!A96</f>
        <v>69</v>
      </c>
      <c r="B93" s="179">
        <f>'Données projet'!D96</f>
        <v>0</v>
      </c>
      <c r="C93" s="189"/>
      <c r="D93" s="177">
        <f t="shared" si="6"/>
        <v>0</v>
      </c>
      <c r="E93" s="191"/>
      <c r="F93" s="230"/>
      <c r="G93" s="204"/>
      <c r="H93" s="188"/>
      <c r="I93" s="189"/>
      <c r="J93" s="4"/>
      <c r="K93" s="171"/>
      <c r="L93" s="4"/>
      <c r="M93" s="4"/>
      <c r="N93" s="4"/>
      <c r="O93" s="192">
        <f>IF(O92+1&lt;=MIN('Données projet'!$E$9:$E$18),O92+1,"STOP")</f>
        <v>60</v>
      </c>
      <c r="P93" s="183">
        <f t="shared" si="5"/>
        <v>0</v>
      </c>
      <c r="Q93" s="233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78">
        <f>'Données projet'!A97</f>
        <v>0</v>
      </c>
      <c r="B94" s="179">
        <f>'Données projet'!D97</f>
        <v>0</v>
      </c>
      <c r="C94" s="189"/>
      <c r="D94" s="177">
        <f t="shared" si="6"/>
        <v>0</v>
      </c>
      <c r="E94" s="191"/>
      <c r="F94" s="230"/>
      <c r="G94" s="204"/>
      <c r="H94" s="188"/>
      <c r="I94" s="189"/>
      <c r="J94" s="4"/>
      <c r="K94" s="171"/>
      <c r="L94" s="4"/>
      <c r="M94" s="4"/>
      <c r="N94" s="4"/>
      <c r="O94" s="192">
        <f>IF(O93+1&lt;=MIN('Données projet'!$E$9:$E$18),O93+1,"STOP")</f>
        <v>61</v>
      </c>
      <c r="P94" s="183">
        <f t="shared" si="5"/>
        <v>0</v>
      </c>
      <c r="Q94" s="233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78">
        <f>'Données projet'!A98</f>
        <v>0</v>
      </c>
      <c r="B95" s="179">
        <f>'Données projet'!D98</f>
        <v>0</v>
      </c>
      <c r="C95" s="189"/>
      <c r="D95" s="177">
        <f t="shared" si="6"/>
        <v>0</v>
      </c>
      <c r="E95" s="191"/>
      <c r="F95" s="230"/>
      <c r="G95" s="204"/>
      <c r="H95" s="188"/>
      <c r="I95" s="189"/>
      <c r="J95" s="4"/>
      <c r="K95" s="171"/>
      <c r="L95" s="4"/>
      <c r="M95" s="4"/>
      <c r="N95" s="4"/>
      <c r="O95" s="192">
        <f>IF(O94+1&lt;=MIN('Données projet'!$E$9:$E$18),O94+1,"STOP")</f>
        <v>62</v>
      </c>
      <c r="P95" s="183">
        <f t="shared" si="5"/>
        <v>0</v>
      </c>
      <c r="Q95" s="233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78">
        <f>'Données projet'!A99</f>
        <v>0</v>
      </c>
      <c r="B96" s="179">
        <f>'Données projet'!D99</f>
        <v>0</v>
      </c>
      <c r="C96" s="189"/>
      <c r="D96" s="177">
        <f t="shared" si="6"/>
        <v>0</v>
      </c>
      <c r="E96" s="191"/>
      <c r="F96" s="230"/>
      <c r="G96" s="204"/>
      <c r="H96" s="188"/>
      <c r="I96" s="189"/>
      <c r="J96" s="4"/>
      <c r="K96" s="171"/>
      <c r="L96" s="4"/>
      <c r="M96" s="4"/>
      <c r="N96" s="4"/>
      <c r="O96" s="192">
        <f>IF(O95+1&lt;=MIN('Données projet'!$E$9:$E$18),O95+1,"STOP")</f>
        <v>63</v>
      </c>
      <c r="P96" s="183">
        <f t="shared" si="5"/>
        <v>0</v>
      </c>
      <c r="Q96" s="233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78">
        <f>'Données projet'!A100</f>
        <v>0</v>
      </c>
      <c r="B97" s="179">
        <f>'Données projet'!D100</f>
        <v>0</v>
      </c>
      <c r="C97" s="189"/>
      <c r="D97" s="177">
        <f t="shared" si="6"/>
        <v>0</v>
      </c>
      <c r="E97" s="191"/>
      <c r="F97" s="230"/>
      <c r="G97" s="204"/>
      <c r="H97" s="188"/>
      <c r="I97" s="189"/>
      <c r="J97" s="4"/>
      <c r="K97" s="171"/>
      <c r="L97" s="4"/>
      <c r="M97" s="4"/>
      <c r="N97" s="4"/>
      <c r="O97" s="192">
        <f>IF(O96+1&lt;=MIN('Données projet'!$E$9:$E$18),O96+1,"STOP")</f>
        <v>64</v>
      </c>
      <c r="P97" s="183">
        <f t="shared" ref="P97:P128" si="7">$P$25/(1+$M$4)^O97</f>
        <v>0</v>
      </c>
      <c r="Q97" s="233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78">
        <f>'Données projet'!A101</f>
        <v>0</v>
      </c>
      <c r="B98" s="179">
        <f>'Données projet'!D101</f>
        <v>0</v>
      </c>
      <c r="C98" s="189"/>
      <c r="D98" s="177">
        <f t="shared" si="6"/>
        <v>0</v>
      </c>
      <c r="E98" s="191"/>
      <c r="F98" s="230"/>
      <c r="G98" s="204"/>
      <c r="H98" s="188"/>
      <c r="I98" s="189"/>
      <c r="J98" s="4"/>
      <c r="K98" s="171"/>
      <c r="L98" s="4"/>
      <c r="M98" s="4"/>
      <c r="N98" s="4"/>
      <c r="O98" s="192">
        <f>IF(O97+1&lt;=MIN('Données projet'!$E$9:$E$18),O97+1,"STOP")</f>
        <v>65</v>
      </c>
      <c r="P98" s="183">
        <f t="shared" si="7"/>
        <v>0</v>
      </c>
      <c r="Q98" s="233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78">
        <f>'Données projet'!A102</f>
        <v>0</v>
      </c>
      <c r="B99" s="179">
        <f>'Données projet'!D102</f>
        <v>0</v>
      </c>
      <c r="C99" s="189"/>
      <c r="D99" s="177">
        <f t="shared" si="6"/>
        <v>0</v>
      </c>
      <c r="E99" s="191"/>
      <c r="F99" s="230"/>
      <c r="G99" s="204"/>
      <c r="H99" s="188"/>
      <c r="I99" s="189"/>
      <c r="J99" s="4"/>
      <c r="K99" s="171"/>
      <c r="L99" s="4"/>
      <c r="M99" s="4"/>
      <c r="N99" s="4"/>
      <c r="O99" s="192">
        <f>IF(O98+1&lt;=MIN('Données projet'!$E$9:$E$18),O98+1,"STOP")</f>
        <v>66</v>
      </c>
      <c r="P99" s="183">
        <f t="shared" si="7"/>
        <v>0</v>
      </c>
      <c r="Q99" s="233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78">
        <f>'Données projet'!A103</f>
        <v>0</v>
      </c>
      <c r="B100" s="179">
        <f>'Données projet'!D103</f>
        <v>0</v>
      </c>
      <c r="C100" s="189"/>
      <c r="D100" s="177">
        <f t="shared" si="6"/>
        <v>0</v>
      </c>
      <c r="E100" s="191"/>
      <c r="F100" s="230"/>
      <c r="G100" s="204"/>
      <c r="H100" s="188"/>
      <c r="I100" s="189"/>
      <c r="J100" s="4"/>
      <c r="K100" s="171"/>
      <c r="L100" s="4"/>
      <c r="M100" s="4"/>
      <c r="N100" s="4"/>
      <c r="O100" s="192">
        <f>IF(O99+1&lt;=MIN('Données projet'!$E$9:$E$18),O99+1,"STOP")</f>
        <v>67</v>
      </c>
      <c r="P100" s="183">
        <f t="shared" si="7"/>
        <v>0</v>
      </c>
      <c r="Q100" s="233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78">
        <f>'Données projet'!A104</f>
        <v>0</v>
      </c>
      <c r="B101" s="179">
        <f>'Données projet'!D104</f>
        <v>0</v>
      </c>
      <c r="C101" s="189"/>
      <c r="D101" s="177">
        <f t="shared" si="6"/>
        <v>0</v>
      </c>
      <c r="E101" s="191"/>
      <c r="F101" s="230"/>
      <c r="G101" s="204"/>
      <c r="H101" s="188"/>
      <c r="I101" s="189"/>
      <c r="J101" s="4"/>
      <c r="K101" s="171"/>
      <c r="L101" s="4"/>
      <c r="M101" s="4"/>
      <c r="N101" s="4"/>
      <c r="O101" s="192">
        <f>IF(O100+1&lt;=MIN('Données projet'!$E$9:$E$18),O100+1,"STOP")</f>
        <v>68</v>
      </c>
      <c r="P101" s="183">
        <f t="shared" si="7"/>
        <v>0</v>
      </c>
      <c r="Q101" s="233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78">
        <f>'Données projet'!A105</f>
        <v>0</v>
      </c>
      <c r="B102" s="179">
        <f>'Données projet'!D105</f>
        <v>0</v>
      </c>
      <c r="C102" s="189"/>
      <c r="D102" s="177">
        <f t="shared" si="6"/>
        <v>0</v>
      </c>
      <c r="E102" s="191"/>
      <c r="F102" s="230"/>
      <c r="G102" s="204"/>
      <c r="H102" s="188"/>
      <c r="I102" s="189"/>
      <c r="J102" s="4"/>
      <c r="K102" s="171"/>
      <c r="L102" s="4"/>
      <c r="M102" s="4"/>
      <c r="N102" s="4"/>
      <c r="O102" s="192">
        <f>IF(O101+1&lt;=MIN('Données projet'!$E$9:$E$18),O101+1,"STOP")</f>
        <v>69</v>
      </c>
      <c r="P102" s="183">
        <f t="shared" si="7"/>
        <v>0</v>
      </c>
      <c r="Q102" s="233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78">
        <f>'Données projet'!A106</f>
        <v>0</v>
      </c>
      <c r="B103" s="179">
        <f>'Données projet'!D106</f>
        <v>0</v>
      </c>
      <c r="C103" s="189"/>
      <c r="D103" s="177">
        <f t="shared" si="6"/>
        <v>0</v>
      </c>
      <c r="E103" s="191"/>
      <c r="F103" s="230"/>
      <c r="G103" s="204"/>
      <c r="H103" s="188"/>
      <c r="I103" s="189"/>
      <c r="J103" s="4"/>
      <c r="K103" s="171"/>
      <c r="L103" s="4"/>
      <c r="M103" s="4"/>
      <c r="N103" s="4"/>
      <c r="O103" s="192" t="str">
        <f>IF(O102+1&lt;=MIN('Données projet'!$E$9:$E$18),O102+1,"STOP")</f>
        <v>STOP</v>
      </c>
      <c r="P103" s="183" t="e">
        <f t="shared" si="7"/>
        <v>#VALUE!</v>
      </c>
      <c r="Q103" s="233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78">
        <f>'Données projet'!A107</f>
        <v>0</v>
      </c>
      <c r="B104" s="179">
        <f>'Données projet'!D107</f>
        <v>0</v>
      </c>
      <c r="C104" s="189"/>
      <c r="D104" s="177">
        <f t="shared" si="6"/>
        <v>0</v>
      </c>
      <c r="E104" s="191"/>
      <c r="F104" s="230"/>
      <c r="G104" s="204"/>
      <c r="H104" s="188"/>
      <c r="I104" s="189"/>
      <c r="J104" s="4"/>
      <c r="K104" s="171"/>
      <c r="L104" s="4"/>
      <c r="M104" s="4"/>
      <c r="N104" s="4"/>
      <c r="O104" s="192" t="e">
        <f>IF(O103+1&lt;=MIN('Données projet'!$E$9:$E$18),O103+1,"STOP")</f>
        <v>#VALUE!</v>
      </c>
      <c r="P104" s="183" t="e">
        <f t="shared" si="7"/>
        <v>#VALUE!</v>
      </c>
      <c r="Q104" s="233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28"/>
      <c r="G105" s="204"/>
      <c r="H105" s="188"/>
      <c r="I105" s="189"/>
      <c r="J105" s="4"/>
      <c r="K105" s="171"/>
      <c r="L105" s="4"/>
      <c r="M105" s="4"/>
      <c r="N105" s="4"/>
      <c r="O105" s="192" t="e">
        <f>IF(O104+1&lt;=MIN('Données projet'!$E$9:$E$18),O104+1,"STOP")</f>
        <v>#VALUE!</v>
      </c>
      <c r="P105" s="183" t="e">
        <f t="shared" si="7"/>
        <v>#VALUE!</v>
      </c>
      <c r="Q105" s="233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28"/>
      <c r="G106" s="204"/>
      <c r="H106" s="188"/>
      <c r="I106" s="189"/>
      <c r="J106" s="4"/>
      <c r="K106" s="171"/>
      <c r="L106" s="4"/>
      <c r="M106" s="4"/>
      <c r="N106" s="4"/>
      <c r="O106" s="192" t="e">
        <f>IF(O105+1&lt;=MIN('Données projet'!$E$9:$E$18),O105+1,"STOP")</f>
        <v>#VALUE!</v>
      </c>
      <c r="P106" s="183" t="e">
        <f t="shared" si="7"/>
        <v>#VALUE!</v>
      </c>
      <c r="Q106" s="233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2" t="str">
        <f>IF('Données projet'!B12="","",'Données projet'!B12)</f>
        <v>Alisier torminal</v>
      </c>
      <c r="C107" s="4"/>
      <c r="D107" s="4"/>
      <c r="E107" s="4"/>
      <c r="F107" s="228"/>
      <c r="G107" s="204"/>
      <c r="H107" s="188"/>
      <c r="I107" s="189"/>
      <c r="J107" s="4"/>
      <c r="K107" s="171"/>
      <c r="L107" s="4"/>
      <c r="M107" s="4"/>
      <c r="N107" s="4"/>
      <c r="O107" s="192" t="e">
        <f>IF(O106+1&lt;=MIN('Données projet'!$E$9:$E$18),O106+1,"STOP")</f>
        <v>#VALUE!</v>
      </c>
      <c r="P107" s="183" t="e">
        <f t="shared" si="7"/>
        <v>#VALUE!</v>
      </c>
      <c r="Q107" s="233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28"/>
      <c r="G108" s="204"/>
      <c r="H108" s="188"/>
      <c r="I108" s="189"/>
      <c r="J108" s="4"/>
      <c r="K108" s="171"/>
      <c r="L108" s="4"/>
      <c r="M108" s="4"/>
      <c r="N108" s="4"/>
      <c r="O108" s="192" t="e">
        <f>IF(O107+1&lt;=MIN('Données projet'!$E$9:$E$18),O107+1,"STOP")</f>
        <v>#VALUE!</v>
      </c>
      <c r="P108" s="183" t="e">
        <f t="shared" si="7"/>
        <v>#VALUE!</v>
      </c>
      <c r="Q108" s="233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29"/>
      <c r="G109" s="204"/>
      <c r="H109" s="188"/>
      <c r="I109" s="189"/>
      <c r="J109" s="4"/>
      <c r="K109" s="171"/>
      <c r="L109" s="4"/>
      <c r="M109" s="4"/>
      <c r="N109" s="4"/>
      <c r="O109" s="192" t="e">
        <f>IF(O108+1&lt;=MIN('Données projet'!$E$9:$E$18),O108+1,"STOP")</f>
        <v>#VALUE!</v>
      </c>
      <c r="P109" s="183" t="e">
        <f t="shared" si="7"/>
        <v>#VALUE!</v>
      </c>
      <c r="Q109" s="233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7" t="s">
        <v>132</v>
      </c>
      <c r="C110" s="196" t="s">
        <v>132</v>
      </c>
      <c r="D110" s="195" t="s">
        <v>132</v>
      </c>
      <c r="E110" s="191">
        <v>5190.13</v>
      </c>
      <c r="F110" s="229"/>
      <c r="G110" s="204"/>
      <c r="H110" s="188"/>
      <c r="I110" s="189"/>
      <c r="J110" s="4"/>
      <c r="K110" s="171"/>
      <c r="L110" s="4"/>
      <c r="M110" s="4"/>
      <c r="N110" s="4"/>
      <c r="O110" s="192" t="e">
        <f>IF(O109+1&lt;=MIN('Données projet'!$E$9:$E$18),O109+1,"STOP")</f>
        <v>#VALUE!</v>
      </c>
      <c r="P110" s="183" t="e">
        <f t="shared" si="7"/>
        <v>#VALUE!</v>
      </c>
      <c r="Q110" s="233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7" t="s">
        <v>132</v>
      </c>
      <c r="C111" s="196" t="s">
        <v>132</v>
      </c>
      <c r="D111" s="195" t="s">
        <v>132</v>
      </c>
      <c r="E111" s="191"/>
      <c r="F111" s="229"/>
      <c r="G111" s="23"/>
      <c r="H111" s="188"/>
      <c r="I111" s="189"/>
      <c r="J111" s="4"/>
      <c r="K111" s="171"/>
      <c r="L111" s="4"/>
      <c r="M111" s="4"/>
      <c r="N111" s="4"/>
      <c r="O111" s="192" t="e">
        <f>IF(O110+1&lt;=MIN('Données projet'!$E$9:$E$18),O110+1,"STOP")</f>
        <v>#VALUE!</v>
      </c>
      <c r="P111" s="183" t="e">
        <f t="shared" si="7"/>
        <v>#VALUE!</v>
      </c>
      <c r="Q111" s="233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7" t="s">
        <v>132</v>
      </c>
      <c r="C112" s="196" t="s">
        <v>132</v>
      </c>
      <c r="D112" s="195" t="s">
        <v>132</v>
      </c>
      <c r="E112" s="191"/>
      <c r="F112" s="229"/>
      <c r="G112" s="23"/>
      <c r="H112" s="188"/>
      <c r="I112" s="189"/>
      <c r="J112" s="4"/>
      <c r="K112" s="171"/>
      <c r="L112" s="4"/>
      <c r="M112" s="4"/>
      <c r="N112" s="4"/>
      <c r="O112" s="192" t="e">
        <f>IF(O111+1&lt;=MIN('Données projet'!$E$9:$E$18),O111+1,"STOP")</f>
        <v>#VALUE!</v>
      </c>
      <c r="P112" s="183" t="e">
        <f t="shared" si="7"/>
        <v>#VALUE!</v>
      </c>
      <c r="Q112" s="233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7" t="s">
        <v>132</v>
      </c>
      <c r="C113" s="196" t="s">
        <v>132</v>
      </c>
      <c r="D113" s="195" t="s">
        <v>132</v>
      </c>
      <c r="E113" s="191"/>
      <c r="F113" s="229"/>
      <c r="G113" s="23"/>
      <c r="H113" s="188"/>
      <c r="I113" s="189"/>
      <c r="J113" s="4"/>
      <c r="K113" s="171"/>
      <c r="L113" s="4"/>
      <c r="M113" s="4"/>
      <c r="N113" s="4"/>
      <c r="O113" s="192" t="e">
        <f>IF(O112+1&lt;=MIN('Données projet'!$E$9:$E$18),O112+1,"STOP")</f>
        <v>#VALUE!</v>
      </c>
      <c r="P113" s="183" t="e">
        <f t="shared" si="7"/>
        <v>#VALUE!</v>
      </c>
      <c r="Q113" s="233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7" t="s">
        <v>132</v>
      </c>
      <c r="C114" s="196" t="s">
        <v>132</v>
      </c>
      <c r="D114" s="195" t="s">
        <v>132</v>
      </c>
      <c r="E114" s="191"/>
      <c r="F114" s="229"/>
      <c r="G114" s="23"/>
      <c r="H114" s="188"/>
      <c r="I114" s="189"/>
      <c r="J114" s="4"/>
      <c r="K114" s="171"/>
      <c r="L114" s="4"/>
      <c r="M114" s="4"/>
      <c r="N114" s="4"/>
      <c r="O114" s="192" t="e">
        <f>IF(O113+1&lt;=MIN('Données projet'!$E$9:$E$18),O113+1,"STOP")</f>
        <v>#VALUE!</v>
      </c>
      <c r="P114" s="183" t="e">
        <f t="shared" si="7"/>
        <v>#VALUE!</v>
      </c>
      <c r="Q114" s="233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7" t="s">
        <v>132</v>
      </c>
      <c r="C115" s="196" t="s">
        <v>132</v>
      </c>
      <c r="D115" s="195" t="s">
        <v>132</v>
      </c>
      <c r="E115" s="191"/>
      <c r="F115" s="229"/>
      <c r="G115" s="203"/>
      <c r="H115" s="188"/>
      <c r="I115" s="189"/>
      <c r="J115" s="4"/>
      <c r="K115" s="171"/>
      <c r="L115" s="4"/>
      <c r="M115" s="4"/>
      <c r="N115" s="4"/>
      <c r="O115" s="192" t="e">
        <f>IF(O114+1&lt;=MIN('Données projet'!$E$9:$E$18),O114+1,"STOP")</f>
        <v>#VALUE!</v>
      </c>
      <c r="P115" s="183" t="e">
        <f t="shared" si="7"/>
        <v>#VALUE!</v>
      </c>
      <c r="Q115" s="233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78">
        <f>'Données projet'!A114</f>
        <v>30</v>
      </c>
      <c r="B116" s="179">
        <f>'Données projet'!D114</f>
        <v>0</v>
      </c>
      <c r="C116" s="189"/>
      <c r="D116" s="177">
        <f>B116*C116</f>
        <v>0</v>
      </c>
      <c r="E116" s="191"/>
      <c r="F116" s="230"/>
      <c r="G116" s="203"/>
      <c r="H116" s="188"/>
      <c r="I116" s="189"/>
      <c r="J116" s="4"/>
      <c r="K116" s="171"/>
      <c r="L116" s="4"/>
      <c r="M116" s="4"/>
      <c r="N116" s="4"/>
      <c r="O116" s="192" t="e">
        <f>IF(O115+1&lt;=MIN('Données projet'!$E$9:$E$18),O115+1,"STOP")</f>
        <v>#VALUE!</v>
      </c>
      <c r="P116" s="183" t="e">
        <f t="shared" si="7"/>
        <v>#VALUE!</v>
      </c>
      <c r="Q116" s="233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78">
        <f>'Données projet'!A115</f>
        <v>35</v>
      </c>
      <c r="B117" s="179">
        <f>'Données projet'!D115</f>
        <v>69.58</v>
      </c>
      <c r="C117" s="189"/>
      <c r="D117" s="177">
        <f t="shared" ref="D117:D135" si="8">B117*C117</f>
        <v>0</v>
      </c>
      <c r="E117" s="191"/>
      <c r="F117" s="230"/>
      <c r="G117" s="203"/>
      <c r="H117" s="188"/>
      <c r="I117" s="189"/>
      <c r="J117" s="4"/>
      <c r="K117" s="171"/>
      <c r="L117" s="4"/>
      <c r="M117" s="4"/>
      <c r="N117" s="4"/>
      <c r="O117" s="192" t="e">
        <f>IF(O116+1&lt;=MIN('Données projet'!$E$9:$E$18),O116+1,"STOP")</f>
        <v>#VALUE!</v>
      </c>
      <c r="P117" s="183" t="e">
        <f t="shared" si="7"/>
        <v>#VALUE!</v>
      </c>
      <c r="Q117" s="233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78">
        <f>'Données projet'!A116</f>
        <v>41</v>
      </c>
      <c r="B118" s="179">
        <f>'Données projet'!D116</f>
        <v>47.41</v>
      </c>
      <c r="C118" s="189"/>
      <c r="D118" s="177">
        <f t="shared" si="8"/>
        <v>0</v>
      </c>
      <c r="E118" s="191"/>
      <c r="F118" s="230"/>
      <c r="G118" s="203"/>
      <c r="H118" s="188"/>
      <c r="I118" s="189"/>
      <c r="J118" s="4"/>
      <c r="K118" s="171"/>
      <c r="L118" s="4"/>
      <c r="M118" s="4"/>
      <c r="N118" s="4"/>
      <c r="O118" s="192" t="e">
        <f>IF(O117+1&lt;=MIN('Données projet'!$E$9:$E$18),O117+1,"STOP")</f>
        <v>#VALUE!</v>
      </c>
      <c r="P118" s="183" t="e">
        <f t="shared" si="7"/>
        <v>#VALUE!</v>
      </c>
      <c r="Q118" s="233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78">
        <f>'Données projet'!A117</f>
        <v>48</v>
      </c>
      <c r="B119" s="179">
        <f>'Données projet'!D117</f>
        <v>61.12</v>
      </c>
      <c r="C119" s="189"/>
      <c r="D119" s="177">
        <f t="shared" si="8"/>
        <v>0</v>
      </c>
      <c r="E119" s="191"/>
      <c r="F119" s="230"/>
      <c r="G119" s="203"/>
      <c r="H119" s="188"/>
      <c r="I119" s="189"/>
      <c r="J119" s="4"/>
      <c r="K119" s="171"/>
      <c r="L119" s="4"/>
      <c r="M119" s="4"/>
      <c r="N119" s="4"/>
      <c r="O119" s="192" t="e">
        <f>IF(O118+1&lt;=MIN('Données projet'!$E$9:$E$18),O118+1,"STOP")</f>
        <v>#VALUE!</v>
      </c>
      <c r="P119" s="183" t="e">
        <f t="shared" si="7"/>
        <v>#VALUE!</v>
      </c>
      <c r="Q119" s="233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78">
        <f>'Données projet'!A118</f>
        <v>55</v>
      </c>
      <c r="B120" s="179">
        <f>'Données projet'!D118</f>
        <v>58.24</v>
      </c>
      <c r="C120" s="189"/>
      <c r="D120" s="177">
        <f t="shared" si="8"/>
        <v>0</v>
      </c>
      <c r="E120" s="191"/>
      <c r="F120" s="230"/>
      <c r="G120" s="203"/>
      <c r="H120" s="188"/>
      <c r="I120" s="189"/>
      <c r="J120" s="4"/>
      <c r="K120" s="171"/>
      <c r="L120" s="4"/>
      <c r="M120" s="4"/>
      <c r="N120" s="4"/>
      <c r="O120" s="192" t="e">
        <f>IF(O119+1&lt;=MIN('Données projet'!$E$9:$E$18),O119+1,"STOP")</f>
        <v>#VALUE!</v>
      </c>
      <c r="P120" s="183" t="e">
        <f t="shared" si="7"/>
        <v>#VALUE!</v>
      </c>
      <c r="Q120" s="233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78">
        <f>'Données projet'!A119</f>
        <v>63</v>
      </c>
      <c r="B121" s="179">
        <f>'Données projet'!D119</f>
        <v>54.21</v>
      </c>
      <c r="C121" s="189"/>
      <c r="D121" s="177">
        <f t="shared" si="8"/>
        <v>0</v>
      </c>
      <c r="E121" s="191"/>
      <c r="F121" s="230"/>
      <c r="G121" s="203"/>
      <c r="H121" s="188"/>
      <c r="I121" s="189"/>
      <c r="J121" s="4"/>
      <c r="K121" s="171"/>
      <c r="L121" s="4"/>
      <c r="M121" s="4"/>
      <c r="N121" s="4"/>
      <c r="O121" s="192" t="e">
        <f>IF(O120+1&lt;=MIN('Données projet'!$E$9:$E$18),O120+1,"STOP")</f>
        <v>#VALUE!</v>
      </c>
      <c r="P121" s="183" t="e">
        <f t="shared" si="7"/>
        <v>#VALUE!</v>
      </c>
      <c r="Q121" s="233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78">
        <f>'Données projet'!A120</f>
        <v>71</v>
      </c>
      <c r="B122" s="179">
        <f>'Données projet'!D120</f>
        <v>52.07</v>
      </c>
      <c r="C122" s="189"/>
      <c r="D122" s="177">
        <f t="shared" si="8"/>
        <v>0</v>
      </c>
      <c r="E122" s="191"/>
      <c r="F122" s="230"/>
      <c r="G122" s="204"/>
      <c r="H122" s="188"/>
      <c r="I122" s="189"/>
      <c r="J122" s="4"/>
      <c r="K122" s="171"/>
      <c r="L122" s="4"/>
      <c r="M122" s="4"/>
      <c r="N122" s="4"/>
      <c r="O122" s="192" t="e">
        <f>IF(O121+1&lt;=MIN('Données projet'!$E$9:$E$18),O121+1,"STOP")</f>
        <v>#VALUE!</v>
      </c>
      <c r="P122" s="183" t="e">
        <f t="shared" si="7"/>
        <v>#VALUE!</v>
      </c>
      <c r="Q122" s="233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78">
        <f>'Données projet'!A121</f>
        <v>80</v>
      </c>
      <c r="B123" s="179">
        <f>'Données projet'!D121</f>
        <v>59.57</v>
      </c>
      <c r="C123" s="189"/>
      <c r="D123" s="177">
        <f t="shared" si="8"/>
        <v>0</v>
      </c>
      <c r="E123" s="191"/>
      <c r="F123" s="230"/>
      <c r="G123" s="204"/>
      <c r="H123" s="188"/>
      <c r="I123" s="189"/>
      <c r="J123" s="4"/>
      <c r="K123" s="171"/>
      <c r="L123" s="4"/>
      <c r="M123" s="4"/>
      <c r="N123" s="4"/>
      <c r="O123" s="192" t="e">
        <f>IF(O122+1&lt;=MIN('Données projet'!$E$9:$E$18),O122+1,"STOP")</f>
        <v>#VALUE!</v>
      </c>
      <c r="P123" s="183" t="e">
        <f t="shared" si="7"/>
        <v>#VALUE!</v>
      </c>
      <c r="Q123" s="233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78">
        <f>'Données projet'!A122</f>
        <v>89</v>
      </c>
      <c r="B124" s="179">
        <f>'Données projet'!D122</f>
        <v>64.5</v>
      </c>
      <c r="C124" s="189"/>
      <c r="D124" s="177">
        <f t="shared" si="8"/>
        <v>0</v>
      </c>
      <c r="E124" s="191"/>
      <c r="F124" s="230"/>
      <c r="G124" s="204"/>
      <c r="H124" s="188"/>
      <c r="I124" s="189"/>
      <c r="J124" s="4"/>
      <c r="K124" s="171"/>
      <c r="L124" s="4"/>
      <c r="M124" s="4"/>
      <c r="N124" s="4"/>
      <c r="O124" s="192" t="e">
        <f>IF(O123+1&lt;=MIN('Données projet'!$E$9:$E$18),O123+1,"STOP")</f>
        <v>#VALUE!</v>
      </c>
      <c r="P124" s="183" t="e">
        <f t="shared" si="7"/>
        <v>#VALUE!</v>
      </c>
      <c r="Q124" s="233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78">
        <f>'Données projet'!A123</f>
        <v>99</v>
      </c>
      <c r="B125" s="179">
        <f>'Données projet'!D123</f>
        <v>62.94</v>
      </c>
      <c r="C125" s="189"/>
      <c r="D125" s="177">
        <f t="shared" si="8"/>
        <v>0</v>
      </c>
      <c r="E125" s="191"/>
      <c r="F125" s="230"/>
      <c r="G125" s="204"/>
      <c r="H125" s="188"/>
      <c r="I125" s="189"/>
      <c r="J125" s="4"/>
      <c r="K125" s="171"/>
      <c r="L125" s="4"/>
      <c r="M125" s="4"/>
      <c r="N125" s="4"/>
      <c r="O125" s="192" t="e">
        <f>IF(O124+1&lt;=MIN('Données projet'!$E$9:$E$18),O124+1,"STOP")</f>
        <v>#VALUE!</v>
      </c>
      <c r="P125" s="183" t="e">
        <f t="shared" si="7"/>
        <v>#VALUE!</v>
      </c>
      <c r="Q125" s="233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78">
        <f>'Données projet'!A124</f>
        <v>109</v>
      </c>
      <c r="B126" s="179">
        <f>'Données projet'!D124</f>
        <v>66.959999999999994</v>
      </c>
      <c r="C126" s="189"/>
      <c r="D126" s="177">
        <f t="shared" si="8"/>
        <v>0</v>
      </c>
      <c r="E126" s="191"/>
      <c r="F126" s="230"/>
      <c r="G126" s="204"/>
      <c r="H126" s="188"/>
      <c r="I126" s="189"/>
      <c r="J126" s="4"/>
      <c r="K126" s="171"/>
      <c r="L126" s="4"/>
      <c r="M126" s="4"/>
      <c r="N126" s="4"/>
      <c r="O126" s="192" t="e">
        <f>IF(O125+1&lt;=MIN('Données projet'!$E$9:$E$18),O125+1,"STOP")</f>
        <v>#VALUE!</v>
      </c>
      <c r="P126" s="183" t="e">
        <f t="shared" si="7"/>
        <v>#VALUE!</v>
      </c>
      <c r="Q126" s="233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78">
        <f>'Données projet'!A125</f>
        <v>119</v>
      </c>
      <c r="B127" s="179">
        <f>'Données projet'!D125</f>
        <v>196.46</v>
      </c>
      <c r="C127" s="189"/>
      <c r="D127" s="177">
        <f t="shared" si="8"/>
        <v>0</v>
      </c>
      <c r="E127" s="191"/>
      <c r="F127" s="230"/>
      <c r="G127" s="204"/>
      <c r="H127" s="188"/>
      <c r="I127" s="189"/>
      <c r="J127" s="4"/>
      <c r="K127" s="171"/>
      <c r="L127" s="4"/>
      <c r="M127" s="4"/>
      <c r="N127" s="4"/>
      <c r="O127" s="192" t="e">
        <f>IF(O126+1&lt;=MIN('Données projet'!$E$9:$E$18),O126+1,"STOP")</f>
        <v>#VALUE!</v>
      </c>
      <c r="P127" s="183" t="e">
        <f t="shared" si="7"/>
        <v>#VALUE!</v>
      </c>
      <c r="Q127" s="233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78">
        <f>'Données projet'!A126</f>
        <v>123</v>
      </c>
      <c r="B128" s="179">
        <f>'Données projet'!D126</f>
        <v>100.6</v>
      </c>
      <c r="C128" s="189"/>
      <c r="D128" s="177">
        <f t="shared" si="8"/>
        <v>0</v>
      </c>
      <c r="E128" s="191"/>
      <c r="F128" s="230"/>
      <c r="G128" s="204"/>
      <c r="H128" s="188"/>
      <c r="I128" s="189"/>
      <c r="J128" s="4"/>
      <c r="K128" s="171"/>
      <c r="L128" s="4"/>
      <c r="M128" s="4"/>
      <c r="N128" s="4"/>
      <c r="O128" s="192" t="e">
        <f>IF(O127+1&lt;=MIN('Données projet'!$E$9:$E$18),O127+1,"STOP")</f>
        <v>#VALUE!</v>
      </c>
      <c r="P128" s="183" t="e">
        <f t="shared" si="7"/>
        <v>#VALUE!</v>
      </c>
      <c r="Q128" s="233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78">
        <f>'Données projet'!A127</f>
        <v>127</v>
      </c>
      <c r="B129" s="179">
        <f>'Données projet'!D127</f>
        <v>65.02</v>
      </c>
      <c r="C129" s="189"/>
      <c r="D129" s="177">
        <f t="shared" si="8"/>
        <v>0</v>
      </c>
      <c r="E129" s="191"/>
      <c r="F129" s="230"/>
      <c r="G129" s="204"/>
      <c r="H129" s="188"/>
      <c r="I129" s="189"/>
      <c r="J129" s="4"/>
      <c r="K129" s="171"/>
      <c r="L129" s="4"/>
      <c r="M129" s="4"/>
      <c r="N129" s="4"/>
      <c r="O129" s="192" t="e">
        <f>IF(O128+1&lt;=MIN('Données projet'!$E$9:$E$18),O128+1,"STOP")</f>
        <v>#VALUE!</v>
      </c>
      <c r="P129" s="183" t="e">
        <f t="shared" ref="P129:P132" si="9">$P$25/(1+$M$4)^O129</f>
        <v>#VALUE!</v>
      </c>
      <c r="Q129" s="233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78">
        <f>'Données projet'!A128</f>
        <v>131</v>
      </c>
      <c r="B130" s="179">
        <f>'Données projet'!D128</f>
        <v>143.84</v>
      </c>
      <c r="C130" s="189"/>
      <c r="D130" s="177">
        <f t="shared" si="8"/>
        <v>0</v>
      </c>
      <c r="E130" s="191"/>
      <c r="F130" s="230"/>
      <c r="G130" s="204"/>
      <c r="H130" s="188"/>
      <c r="I130" s="189"/>
      <c r="J130" s="4"/>
      <c r="K130" s="171"/>
      <c r="L130" s="4"/>
      <c r="M130" s="4"/>
      <c r="N130" s="4"/>
      <c r="O130" s="192" t="e">
        <f>IF(O129+1&lt;=MIN('Données projet'!$E$9:$E$18),O129+1,"STOP")</f>
        <v>#VALUE!</v>
      </c>
      <c r="P130" s="183" t="e">
        <f t="shared" si="9"/>
        <v>#VALUE!</v>
      </c>
      <c r="Q130" s="233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78">
        <f>'Données projet'!A129</f>
        <v>0</v>
      </c>
      <c r="B131" s="179">
        <f>'Données projet'!D129</f>
        <v>0</v>
      </c>
      <c r="C131" s="189"/>
      <c r="D131" s="177">
        <f t="shared" si="8"/>
        <v>0</v>
      </c>
      <c r="E131" s="191"/>
      <c r="F131" s="230"/>
      <c r="G131" s="204"/>
      <c r="H131" s="188"/>
      <c r="I131" s="189"/>
      <c r="J131" s="4"/>
      <c r="K131" s="171"/>
      <c r="L131" s="4"/>
      <c r="M131" s="4"/>
      <c r="N131" s="4"/>
      <c r="O131" s="192" t="e">
        <f>IF(O130+1&lt;=MIN('Données projet'!$E$9:$E$18),O130+1,"STOP")</f>
        <v>#VALUE!</v>
      </c>
      <c r="P131" s="183" t="e">
        <f t="shared" si="9"/>
        <v>#VALUE!</v>
      </c>
      <c r="Q131" s="233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78">
        <f>'Données projet'!A130</f>
        <v>0</v>
      </c>
      <c r="B132" s="179">
        <f>'Données projet'!D130</f>
        <v>0</v>
      </c>
      <c r="C132" s="189"/>
      <c r="D132" s="177">
        <f t="shared" si="8"/>
        <v>0</v>
      </c>
      <c r="E132" s="191"/>
      <c r="F132" s="230"/>
      <c r="G132" s="204"/>
      <c r="H132" s="188"/>
      <c r="I132" s="189"/>
      <c r="J132" s="4"/>
      <c r="K132" s="171"/>
      <c r="L132" s="4"/>
      <c r="M132" s="4"/>
      <c r="N132" s="4"/>
      <c r="O132" s="192" t="e">
        <f>IF(O131+1&lt;=MIN('Données projet'!$E$9:$E$18),O131+1,"STOP")</f>
        <v>#VALUE!</v>
      </c>
      <c r="P132" s="183" t="e">
        <f t="shared" si="9"/>
        <v>#VALUE!</v>
      </c>
      <c r="Q132" s="233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78">
        <f>'Données projet'!A131</f>
        <v>0</v>
      </c>
      <c r="B133" s="179">
        <f>'Données projet'!D131</f>
        <v>0</v>
      </c>
      <c r="C133" s="189"/>
      <c r="D133" s="177">
        <f t="shared" si="8"/>
        <v>0</v>
      </c>
      <c r="E133" s="191"/>
      <c r="F133" s="230"/>
      <c r="G133" s="204"/>
      <c r="H133" s="188"/>
      <c r="I133" s="189"/>
      <c r="J133" s="4"/>
      <c r="K133" s="171"/>
      <c r="Q133" s="233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78">
        <f>'Données projet'!A132</f>
        <v>0</v>
      </c>
      <c r="B134" s="179">
        <f>'Données projet'!D132</f>
        <v>0</v>
      </c>
      <c r="C134" s="189"/>
      <c r="D134" s="177">
        <f t="shared" si="8"/>
        <v>0</v>
      </c>
      <c r="E134" s="191"/>
      <c r="F134" s="230"/>
      <c r="G134" s="204"/>
      <c r="H134" s="188"/>
      <c r="I134" s="189"/>
      <c r="J134" s="4"/>
      <c r="K134" s="171"/>
      <c r="Q134" s="233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78">
        <f>'Données projet'!A133</f>
        <v>0</v>
      </c>
      <c r="B135" s="179">
        <f>'Données projet'!D133</f>
        <v>0</v>
      </c>
      <c r="C135" s="189"/>
      <c r="D135" s="177">
        <f t="shared" si="8"/>
        <v>0</v>
      </c>
      <c r="E135" s="191"/>
      <c r="F135" s="230"/>
      <c r="G135" s="204"/>
      <c r="H135" s="188"/>
      <c r="I135" s="189"/>
      <c r="J135" s="4"/>
      <c r="K135" s="171"/>
      <c r="Q135" s="233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28"/>
      <c r="G136" s="204"/>
      <c r="H136" s="188"/>
      <c r="I136" s="189"/>
      <c r="J136" s="4"/>
      <c r="K136" s="171"/>
      <c r="L136" s="4"/>
      <c r="M136" s="4"/>
      <c r="N136" s="4"/>
      <c r="Q136" s="233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28"/>
      <c r="G137" s="204"/>
      <c r="H137" s="188"/>
      <c r="I137" s="189"/>
      <c r="J137" s="4"/>
      <c r="K137" s="171"/>
      <c r="L137" s="4"/>
      <c r="M137" s="4"/>
      <c r="N137" s="4"/>
      <c r="Q137" s="233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2" t="str">
        <f>IF('Données projet'!B13="","",'Données projet'!B13)</f>
        <v>Charme</v>
      </c>
      <c r="C138" s="4"/>
      <c r="D138" s="4"/>
      <c r="E138" s="4"/>
      <c r="F138" s="228"/>
      <c r="G138" s="204"/>
      <c r="H138" s="188"/>
      <c r="I138" s="189"/>
      <c r="J138" s="4"/>
      <c r="K138" s="171"/>
      <c r="L138" s="4"/>
      <c r="M138" s="4"/>
      <c r="N138" s="4"/>
      <c r="Q138" s="233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28"/>
      <c r="G139" s="204"/>
      <c r="H139" s="188"/>
      <c r="I139" s="189"/>
      <c r="J139" s="4"/>
      <c r="K139" s="171"/>
      <c r="L139" s="4"/>
      <c r="M139" s="4"/>
      <c r="N139" s="4"/>
      <c r="Q139" s="233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29"/>
      <c r="G140" s="204"/>
      <c r="H140" s="188"/>
      <c r="I140" s="189"/>
      <c r="J140" s="4"/>
      <c r="K140" s="171"/>
      <c r="L140" s="4"/>
      <c r="M140" s="4"/>
      <c r="N140" s="4"/>
      <c r="Q140" s="233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7" t="s">
        <v>132</v>
      </c>
      <c r="C141" s="196" t="s">
        <v>132</v>
      </c>
      <c r="D141" s="195" t="s">
        <v>132</v>
      </c>
      <c r="E141" s="191">
        <v>2817.39</v>
      </c>
      <c r="F141" s="229"/>
      <c r="G141" s="204"/>
      <c r="H141" s="188"/>
      <c r="I141" s="189"/>
      <c r="J141" s="4"/>
      <c r="K141" s="171"/>
      <c r="L141" s="4"/>
      <c r="M141" s="4"/>
      <c r="N141" s="4"/>
      <c r="Q141" s="233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7" t="s">
        <v>132</v>
      </c>
      <c r="C142" s="196" t="s">
        <v>132</v>
      </c>
      <c r="D142" s="195" t="s">
        <v>132</v>
      </c>
      <c r="E142" s="191"/>
      <c r="F142" s="229"/>
      <c r="G142" s="23"/>
      <c r="H142" s="188"/>
      <c r="I142" s="189"/>
      <c r="J142" s="4"/>
      <c r="K142" s="171"/>
      <c r="L142" s="4"/>
      <c r="M142" s="4"/>
      <c r="N142" s="4"/>
      <c r="Q142" s="233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7" t="s">
        <v>132</v>
      </c>
      <c r="C143" s="196" t="s">
        <v>132</v>
      </c>
      <c r="D143" s="195" t="s">
        <v>132</v>
      </c>
      <c r="E143" s="191"/>
      <c r="F143" s="229"/>
      <c r="G143" s="23"/>
      <c r="H143" s="188"/>
      <c r="I143" s="189"/>
      <c r="J143" s="4"/>
      <c r="K143" s="171"/>
      <c r="L143" s="4"/>
      <c r="M143" s="4"/>
      <c r="N143" s="4"/>
      <c r="Q143" s="233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7" t="s">
        <v>132</v>
      </c>
      <c r="C144" s="196" t="s">
        <v>132</v>
      </c>
      <c r="D144" s="195" t="s">
        <v>132</v>
      </c>
      <c r="E144" s="191"/>
      <c r="F144" s="229"/>
      <c r="G144" s="23"/>
      <c r="H144" s="188"/>
      <c r="I144" s="189"/>
      <c r="J144" s="4"/>
      <c r="K144" s="171"/>
      <c r="L144" s="4"/>
      <c r="M144" s="4"/>
      <c r="N144" s="4"/>
      <c r="Q144" s="233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7" t="s">
        <v>132</v>
      </c>
      <c r="C145" s="196" t="s">
        <v>132</v>
      </c>
      <c r="D145" s="195" t="s">
        <v>132</v>
      </c>
      <c r="E145" s="191"/>
      <c r="F145" s="229"/>
      <c r="G145" s="23"/>
      <c r="H145" s="188"/>
      <c r="I145" s="189"/>
      <c r="J145" s="4"/>
      <c r="K145" s="171"/>
      <c r="L145" s="4"/>
      <c r="M145" s="4"/>
      <c r="N145" s="4"/>
      <c r="Q145" s="233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7" t="s">
        <v>132</v>
      </c>
      <c r="C146" s="196" t="s">
        <v>132</v>
      </c>
      <c r="D146" s="195" t="s">
        <v>132</v>
      </c>
      <c r="E146" s="191"/>
      <c r="F146" s="229"/>
      <c r="G146" s="203"/>
      <c r="H146" s="188"/>
      <c r="I146" s="189"/>
      <c r="J146" s="4"/>
      <c r="K146" s="171"/>
      <c r="L146" s="4"/>
      <c r="M146" s="4"/>
      <c r="N146" s="4"/>
      <c r="Q146" s="233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30</v>
      </c>
      <c r="B147" s="173">
        <f>'Données projet'!D140</f>
        <v>0</v>
      </c>
      <c r="C147" s="189"/>
      <c r="D147" s="180">
        <f>B147*C147</f>
        <v>0</v>
      </c>
      <c r="E147" s="191"/>
      <c r="F147" s="231"/>
      <c r="G147" s="203"/>
      <c r="H147" s="188"/>
      <c r="I147" s="189"/>
      <c r="J147" s="4"/>
      <c r="K147" s="171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35</v>
      </c>
      <c r="B148" s="173">
        <f>'Données projet'!D141</f>
        <v>69.58</v>
      </c>
      <c r="C148" s="189"/>
      <c r="D148" s="180">
        <f t="shared" ref="D148:D166" si="10">B148*C148</f>
        <v>0</v>
      </c>
      <c r="E148" s="191"/>
      <c r="F148" s="231"/>
      <c r="G148" s="203"/>
      <c r="H148" s="188"/>
      <c r="I148" s="189"/>
      <c r="J148" s="4"/>
      <c r="K148" s="171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41</v>
      </c>
      <c r="B149" s="173">
        <f>'Données projet'!D142</f>
        <v>47.41</v>
      </c>
      <c r="C149" s="189"/>
      <c r="D149" s="180">
        <f t="shared" si="10"/>
        <v>0</v>
      </c>
      <c r="E149" s="191"/>
      <c r="F149" s="231"/>
      <c r="G149" s="203"/>
      <c r="H149" s="188"/>
      <c r="I149" s="189"/>
      <c r="J149" s="4"/>
      <c r="K149" s="171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48</v>
      </c>
      <c r="B150" s="173">
        <f>'Données projet'!D143</f>
        <v>61.12</v>
      </c>
      <c r="C150" s="189"/>
      <c r="D150" s="180">
        <f t="shared" si="10"/>
        <v>0</v>
      </c>
      <c r="E150" s="191"/>
      <c r="F150" s="231"/>
      <c r="G150" s="203"/>
      <c r="H150" s="188"/>
      <c r="I150" s="189"/>
      <c r="J150" s="4"/>
      <c r="K150" s="171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55</v>
      </c>
      <c r="B151" s="173">
        <f>'Données projet'!D144</f>
        <v>58.24</v>
      </c>
      <c r="C151" s="189"/>
      <c r="D151" s="180">
        <f t="shared" si="10"/>
        <v>0</v>
      </c>
      <c r="E151" s="191"/>
      <c r="F151" s="231"/>
      <c r="G151" s="203"/>
      <c r="H151" s="188"/>
      <c r="I151" s="189"/>
      <c r="J151" s="4"/>
      <c r="K151" s="171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63</v>
      </c>
      <c r="B152" s="173">
        <f>'Données projet'!D145</f>
        <v>54.21</v>
      </c>
      <c r="C152" s="189"/>
      <c r="D152" s="180">
        <f t="shared" si="10"/>
        <v>0</v>
      </c>
      <c r="E152" s="191"/>
      <c r="F152" s="231"/>
      <c r="G152" s="203"/>
      <c r="H152" s="188"/>
      <c r="I152" s="189"/>
      <c r="J152" s="4"/>
      <c r="K152" s="171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71</v>
      </c>
      <c r="B153" s="173">
        <f>'Données projet'!D146</f>
        <v>52.07</v>
      </c>
      <c r="C153" s="189"/>
      <c r="D153" s="180">
        <f t="shared" si="10"/>
        <v>0</v>
      </c>
      <c r="E153" s="191"/>
      <c r="F153" s="231"/>
      <c r="G153" s="201"/>
      <c r="H153" s="188"/>
      <c r="I153" s="189"/>
      <c r="J153" s="4"/>
      <c r="K153" s="171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80</v>
      </c>
      <c r="B154" s="173">
        <f>'Données projet'!D147</f>
        <v>59.57</v>
      </c>
      <c r="C154" s="189"/>
      <c r="D154" s="180">
        <f t="shared" si="10"/>
        <v>0</v>
      </c>
      <c r="E154" s="191"/>
      <c r="F154" s="231"/>
      <c r="G154" s="201"/>
      <c r="H154" s="188"/>
      <c r="I154" s="189"/>
      <c r="J154" s="4"/>
      <c r="K154" s="171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89</v>
      </c>
      <c r="B155" s="173">
        <f>'Données projet'!D148</f>
        <v>64.5</v>
      </c>
      <c r="C155" s="189"/>
      <c r="D155" s="180">
        <f t="shared" si="10"/>
        <v>0</v>
      </c>
      <c r="E155" s="191"/>
      <c r="F155" s="231"/>
      <c r="G155" s="201"/>
      <c r="H155" s="188"/>
      <c r="I155" s="189"/>
      <c r="J155" s="4"/>
      <c r="K155" s="171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99</v>
      </c>
      <c r="B156" s="173">
        <f>'Données projet'!D149</f>
        <v>62.94</v>
      </c>
      <c r="C156" s="189"/>
      <c r="D156" s="180">
        <f t="shared" si="10"/>
        <v>0</v>
      </c>
      <c r="E156" s="191"/>
      <c r="F156" s="231"/>
      <c r="G156" s="201"/>
      <c r="H156" s="188"/>
      <c r="I156" s="189"/>
      <c r="J156" s="4"/>
      <c r="K156" s="171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109</v>
      </c>
      <c r="B157" s="173">
        <f>'Données projet'!D150</f>
        <v>66.959999999999994</v>
      </c>
      <c r="C157" s="189"/>
      <c r="D157" s="180">
        <f t="shared" si="10"/>
        <v>0</v>
      </c>
      <c r="E157" s="191"/>
      <c r="F157" s="231"/>
      <c r="G157" s="201"/>
      <c r="H157" s="188"/>
      <c r="I157" s="189"/>
      <c r="J157" s="4"/>
      <c r="K157" s="171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119</v>
      </c>
      <c r="B158" s="173">
        <f>'Données projet'!D151</f>
        <v>196.46</v>
      </c>
      <c r="C158" s="189"/>
      <c r="D158" s="180">
        <f t="shared" si="10"/>
        <v>0</v>
      </c>
      <c r="E158" s="191"/>
      <c r="F158" s="231"/>
      <c r="G158" s="201"/>
      <c r="H158" s="188"/>
      <c r="I158" s="189"/>
      <c r="J158" s="4"/>
      <c r="K158" s="171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123</v>
      </c>
      <c r="B159" s="173">
        <f>'Données projet'!D152</f>
        <v>100.6</v>
      </c>
      <c r="C159" s="189"/>
      <c r="D159" s="180">
        <f t="shared" si="10"/>
        <v>0</v>
      </c>
      <c r="E159" s="191"/>
      <c r="F159" s="231"/>
      <c r="G159" s="201"/>
      <c r="H159" s="188"/>
      <c r="I159" s="189"/>
      <c r="J159" s="4"/>
      <c r="K159" s="171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127</v>
      </c>
      <c r="B160" s="173">
        <f>'Données projet'!D153</f>
        <v>65.02</v>
      </c>
      <c r="C160" s="189"/>
      <c r="D160" s="180">
        <f t="shared" si="10"/>
        <v>0</v>
      </c>
      <c r="E160" s="191"/>
      <c r="F160" s="231"/>
      <c r="G160" s="201"/>
      <c r="H160" s="188"/>
      <c r="I160" s="189"/>
      <c r="J160" s="4"/>
      <c r="K160" s="171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131</v>
      </c>
      <c r="B161" s="173">
        <f>'Données projet'!D154</f>
        <v>143.84</v>
      </c>
      <c r="C161" s="189"/>
      <c r="D161" s="180">
        <f t="shared" si="10"/>
        <v>0</v>
      </c>
      <c r="E161" s="191"/>
      <c r="F161" s="231"/>
      <c r="G161" s="201"/>
      <c r="H161" s="188"/>
      <c r="I161" s="189"/>
      <c r="J161" s="4"/>
      <c r="K161" s="171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3">
        <f>'Données projet'!D155</f>
        <v>0</v>
      </c>
      <c r="C162" s="189"/>
      <c r="D162" s="180">
        <f t="shared" si="10"/>
        <v>0</v>
      </c>
      <c r="E162" s="191"/>
      <c r="F162" s="231"/>
      <c r="G162" s="201"/>
      <c r="H162" s="188"/>
      <c r="I162" s="189"/>
      <c r="J162" s="4"/>
      <c r="K162" s="171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3">
        <f>'Données projet'!D156</f>
        <v>0</v>
      </c>
      <c r="C163" s="189"/>
      <c r="D163" s="180">
        <f t="shared" si="10"/>
        <v>0</v>
      </c>
      <c r="E163" s="191"/>
      <c r="F163" s="231"/>
      <c r="G163" s="201"/>
      <c r="H163" s="188"/>
      <c r="I163" s="189"/>
      <c r="J163" s="4"/>
      <c r="K163" s="171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3">
        <f>'Données projet'!D157</f>
        <v>0</v>
      </c>
      <c r="C164" s="189"/>
      <c r="D164" s="180">
        <f t="shared" si="10"/>
        <v>0</v>
      </c>
      <c r="E164" s="191"/>
      <c r="F164" s="231"/>
      <c r="G164" s="201"/>
      <c r="H164" s="188"/>
      <c r="I164" s="189"/>
      <c r="J164" s="4"/>
      <c r="K164" s="171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3">
        <f>'Données projet'!D158</f>
        <v>0</v>
      </c>
      <c r="C165" s="189"/>
      <c r="D165" s="180">
        <f t="shared" si="10"/>
        <v>0</v>
      </c>
      <c r="E165" s="191"/>
      <c r="F165" s="231"/>
      <c r="G165" s="201"/>
      <c r="H165" s="188"/>
      <c r="I165" s="189"/>
      <c r="J165" s="4"/>
      <c r="K165" s="171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3">
        <f>'Données projet'!D159</f>
        <v>0</v>
      </c>
      <c r="C166" s="189"/>
      <c r="D166" s="180">
        <f t="shared" si="10"/>
        <v>0</v>
      </c>
      <c r="E166" s="191"/>
      <c r="F166" s="231"/>
      <c r="G166" s="201"/>
      <c r="H166" s="188"/>
      <c r="I166" s="189"/>
      <c r="J166" s="4"/>
      <c r="K166" s="171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28"/>
      <c r="G167" s="201"/>
      <c r="H167" s="188"/>
      <c r="I167" s="189"/>
      <c r="J167" s="4"/>
      <c r="K167" s="171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28"/>
      <c r="G168" s="201"/>
      <c r="H168" s="188"/>
      <c r="I168" s="189"/>
      <c r="J168" s="4"/>
      <c r="K168" s="171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2" t="str">
        <f>IF('Données projet'!B14="","",'Données projet'!B14)</f>
        <v/>
      </c>
      <c r="C169" s="4"/>
      <c r="D169" s="4"/>
      <c r="E169" s="4"/>
      <c r="F169" s="228"/>
      <c r="G169" s="201"/>
      <c r="H169" s="188"/>
      <c r="I169" s="189"/>
      <c r="J169" s="4"/>
      <c r="K169" s="171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28"/>
      <c r="G170" s="201"/>
      <c r="H170" s="188"/>
      <c r="I170" s="189"/>
      <c r="J170" s="4"/>
      <c r="K170" s="171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29"/>
      <c r="G171" s="201"/>
      <c r="H171" s="188"/>
      <c r="I171" s="189"/>
      <c r="J171" s="4"/>
      <c r="K171" s="171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7" t="s">
        <v>132</v>
      </c>
      <c r="C172" s="196" t="s">
        <v>132</v>
      </c>
      <c r="D172" s="195" t="s">
        <v>132</v>
      </c>
      <c r="E172" s="191"/>
      <c r="F172" s="229"/>
      <c r="G172" s="201"/>
      <c r="H172" s="188"/>
      <c r="I172" s="189"/>
      <c r="J172" s="4"/>
      <c r="K172" s="171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7" t="s">
        <v>132</v>
      </c>
      <c r="C173" s="196" t="s">
        <v>132</v>
      </c>
      <c r="D173" s="195" t="s">
        <v>132</v>
      </c>
      <c r="E173" s="191"/>
      <c r="F173" s="229"/>
      <c r="G173" s="23"/>
      <c r="H173" s="188"/>
      <c r="I173" s="189"/>
      <c r="J173" s="4"/>
      <c r="K173" s="171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7" t="s">
        <v>132</v>
      </c>
      <c r="C174" s="196" t="s">
        <v>132</v>
      </c>
      <c r="D174" s="195" t="s">
        <v>132</v>
      </c>
      <c r="E174" s="191"/>
      <c r="F174" s="229"/>
      <c r="G174" s="23"/>
      <c r="H174" s="188"/>
      <c r="I174" s="189"/>
      <c r="J174" s="4"/>
      <c r="K174" s="171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7" t="s">
        <v>132</v>
      </c>
      <c r="C175" s="196" t="s">
        <v>132</v>
      </c>
      <c r="D175" s="195" t="s">
        <v>132</v>
      </c>
      <c r="E175" s="191"/>
      <c r="F175" s="229"/>
      <c r="G175" s="23"/>
      <c r="H175" s="188"/>
      <c r="I175" s="189"/>
      <c r="J175" s="4"/>
      <c r="K175" s="171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7" t="s">
        <v>132</v>
      </c>
      <c r="C176" s="196" t="s">
        <v>132</v>
      </c>
      <c r="D176" s="195" t="s">
        <v>132</v>
      </c>
      <c r="E176" s="191"/>
      <c r="F176" s="229"/>
      <c r="G176" s="23"/>
      <c r="H176" s="188"/>
      <c r="I176" s="189"/>
      <c r="J176" s="4"/>
      <c r="K176" s="171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7" t="s">
        <v>132</v>
      </c>
      <c r="C177" s="196" t="s">
        <v>132</v>
      </c>
      <c r="D177" s="195" t="s">
        <v>132</v>
      </c>
      <c r="E177" s="191"/>
      <c r="F177" s="229"/>
      <c r="G177" s="203"/>
      <c r="H177" s="188"/>
      <c r="I177" s="189"/>
      <c r="J177" s="4"/>
      <c r="K177" s="171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78">
        <f>'Données projet'!A166</f>
        <v>0</v>
      </c>
      <c r="B178" s="179">
        <f>'Données projet'!D166</f>
        <v>0</v>
      </c>
      <c r="C178" s="191"/>
      <c r="D178" s="177">
        <f>B178*C178</f>
        <v>0</v>
      </c>
      <c r="E178" s="191"/>
      <c r="F178" s="230"/>
      <c r="G178" s="203"/>
      <c r="H178" s="188"/>
      <c r="I178" s="189"/>
      <c r="J178" s="4"/>
      <c r="K178" s="171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78">
        <f>'Données projet'!A167</f>
        <v>0</v>
      </c>
      <c r="B179" s="179">
        <f>'Données projet'!D167</f>
        <v>0</v>
      </c>
      <c r="C179" s="191"/>
      <c r="D179" s="177">
        <f t="shared" ref="D179:D197" si="11">B179*C179</f>
        <v>0</v>
      </c>
      <c r="E179" s="191"/>
      <c r="F179" s="230"/>
      <c r="G179" s="203"/>
      <c r="H179" s="188"/>
      <c r="I179" s="189"/>
      <c r="J179" s="4"/>
      <c r="K179" s="171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78">
        <f>'Données projet'!A168</f>
        <v>0</v>
      </c>
      <c r="B180" s="179">
        <f>'Données projet'!D168</f>
        <v>0</v>
      </c>
      <c r="C180" s="191"/>
      <c r="D180" s="177">
        <f t="shared" si="11"/>
        <v>0</v>
      </c>
      <c r="E180" s="191"/>
      <c r="F180" s="230"/>
      <c r="G180" s="203"/>
      <c r="H180" s="188"/>
      <c r="I180" s="189"/>
      <c r="J180" s="4"/>
      <c r="K180" s="171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78">
        <f>'Données projet'!A169</f>
        <v>0</v>
      </c>
      <c r="B181" s="179">
        <f>'Données projet'!D169</f>
        <v>0</v>
      </c>
      <c r="C181" s="191"/>
      <c r="D181" s="177">
        <f t="shared" si="11"/>
        <v>0</v>
      </c>
      <c r="E181" s="191"/>
      <c r="F181" s="230"/>
      <c r="G181" s="203"/>
      <c r="H181" s="188"/>
      <c r="I181" s="189"/>
      <c r="J181" s="4"/>
      <c r="K181" s="171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78">
        <f>'Données projet'!A170</f>
        <v>0</v>
      </c>
      <c r="B182" s="179">
        <f>'Données projet'!D170</f>
        <v>0</v>
      </c>
      <c r="C182" s="191"/>
      <c r="D182" s="177">
        <f t="shared" si="11"/>
        <v>0</v>
      </c>
      <c r="E182" s="191"/>
      <c r="F182" s="230"/>
      <c r="G182" s="203"/>
      <c r="H182" s="188"/>
      <c r="I182" s="189"/>
      <c r="J182" s="4"/>
      <c r="K182" s="171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78">
        <f>'Données projet'!A171</f>
        <v>0</v>
      </c>
      <c r="B183" s="179">
        <f>'Données projet'!D171</f>
        <v>0</v>
      </c>
      <c r="C183" s="191"/>
      <c r="D183" s="177">
        <f t="shared" si="11"/>
        <v>0</v>
      </c>
      <c r="E183" s="191"/>
      <c r="F183" s="230"/>
      <c r="G183" s="203"/>
      <c r="H183" s="188"/>
      <c r="I183" s="189"/>
      <c r="J183" s="4"/>
      <c r="K183" s="171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78">
        <f>'Données projet'!A172</f>
        <v>0</v>
      </c>
      <c r="B184" s="179">
        <f>'Données projet'!D172</f>
        <v>0</v>
      </c>
      <c r="C184" s="191"/>
      <c r="D184" s="177">
        <f t="shared" si="11"/>
        <v>0</v>
      </c>
      <c r="E184" s="191"/>
      <c r="F184" s="230"/>
      <c r="G184" s="204"/>
      <c r="H184" s="188"/>
      <c r="I184" s="189"/>
      <c r="J184" s="4"/>
      <c r="K184" s="171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78">
        <f>'Données projet'!A173</f>
        <v>0</v>
      </c>
      <c r="B185" s="179">
        <f>'Données projet'!D173</f>
        <v>0</v>
      </c>
      <c r="C185" s="191"/>
      <c r="D185" s="177">
        <f t="shared" si="11"/>
        <v>0</v>
      </c>
      <c r="E185" s="191"/>
      <c r="F185" s="230"/>
      <c r="G185" s="204"/>
      <c r="H185" s="188"/>
      <c r="I185" s="189"/>
      <c r="J185" s="4"/>
      <c r="K185" s="171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78">
        <f>'Données projet'!A174</f>
        <v>0</v>
      </c>
      <c r="B186" s="179">
        <f>'Données projet'!D174</f>
        <v>0</v>
      </c>
      <c r="C186" s="191"/>
      <c r="D186" s="177">
        <f t="shared" si="11"/>
        <v>0</v>
      </c>
      <c r="E186" s="191"/>
      <c r="F186" s="230"/>
      <c r="G186" s="204"/>
      <c r="H186" s="188"/>
      <c r="I186" s="189"/>
      <c r="J186" s="4"/>
      <c r="K186" s="171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78">
        <f>'Données projet'!A175</f>
        <v>0</v>
      </c>
      <c r="B187" s="179">
        <f>'Données projet'!D175</f>
        <v>0</v>
      </c>
      <c r="C187" s="191"/>
      <c r="D187" s="177">
        <f t="shared" si="11"/>
        <v>0</v>
      </c>
      <c r="E187" s="191"/>
      <c r="F187" s="230"/>
      <c r="G187" s="204"/>
      <c r="H187" s="188"/>
      <c r="I187" s="189"/>
      <c r="J187" s="4"/>
      <c r="K187" s="171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78">
        <f>'Données projet'!A176</f>
        <v>0</v>
      </c>
      <c r="B188" s="179">
        <f>'Données projet'!D176</f>
        <v>0</v>
      </c>
      <c r="C188" s="191"/>
      <c r="D188" s="177">
        <f t="shared" si="11"/>
        <v>0</v>
      </c>
      <c r="E188" s="191"/>
      <c r="F188" s="230"/>
      <c r="G188" s="204"/>
      <c r="H188" s="188"/>
      <c r="I188" s="189"/>
      <c r="J188" s="4"/>
      <c r="K188" s="171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78">
        <f>'Données projet'!A177</f>
        <v>0</v>
      </c>
      <c r="B189" s="179">
        <f>'Données projet'!D177</f>
        <v>0</v>
      </c>
      <c r="C189" s="191"/>
      <c r="D189" s="177">
        <f t="shared" si="11"/>
        <v>0</v>
      </c>
      <c r="E189" s="191"/>
      <c r="F189" s="230"/>
      <c r="G189" s="204"/>
      <c r="H189" s="188"/>
      <c r="I189" s="189"/>
      <c r="J189" s="4"/>
      <c r="K189" s="171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78">
        <f>'Données projet'!A178</f>
        <v>0</v>
      </c>
      <c r="B190" s="179">
        <f>'Données projet'!D178</f>
        <v>0</v>
      </c>
      <c r="C190" s="191"/>
      <c r="D190" s="177">
        <f t="shared" si="11"/>
        <v>0</v>
      </c>
      <c r="E190" s="191"/>
      <c r="F190" s="230"/>
      <c r="G190" s="204"/>
      <c r="H190" s="188"/>
      <c r="I190" s="189"/>
      <c r="J190" s="4"/>
      <c r="K190" s="171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78">
        <f>'Données projet'!A179</f>
        <v>0</v>
      </c>
      <c r="B191" s="179">
        <f>'Données projet'!D179</f>
        <v>0</v>
      </c>
      <c r="C191" s="191"/>
      <c r="D191" s="177">
        <f t="shared" si="11"/>
        <v>0</v>
      </c>
      <c r="E191" s="191"/>
      <c r="F191" s="230"/>
      <c r="G191" s="204"/>
      <c r="H191" s="188"/>
      <c r="I191" s="189"/>
      <c r="J191" s="4"/>
      <c r="K191" s="171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78">
        <f>'Données projet'!A180</f>
        <v>0</v>
      </c>
      <c r="B192" s="179">
        <f>'Données projet'!D180</f>
        <v>0</v>
      </c>
      <c r="C192" s="191"/>
      <c r="D192" s="177">
        <f t="shared" si="11"/>
        <v>0</v>
      </c>
      <c r="E192" s="191"/>
      <c r="F192" s="230"/>
      <c r="G192" s="204"/>
      <c r="H192" s="188"/>
      <c r="I192" s="189"/>
      <c r="J192" s="4"/>
      <c r="K192" s="171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78">
        <f>'Données projet'!A181</f>
        <v>0</v>
      </c>
      <c r="B193" s="179">
        <f>'Données projet'!D181</f>
        <v>0</v>
      </c>
      <c r="C193" s="191"/>
      <c r="D193" s="177">
        <f t="shared" si="11"/>
        <v>0</v>
      </c>
      <c r="E193" s="191"/>
      <c r="F193" s="230"/>
      <c r="G193" s="204"/>
      <c r="H193" s="188"/>
      <c r="I193" s="189"/>
      <c r="J193" s="4"/>
      <c r="K193" s="171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78">
        <f>'Données projet'!A182</f>
        <v>0</v>
      </c>
      <c r="B194" s="179">
        <f>'Données projet'!D182</f>
        <v>0</v>
      </c>
      <c r="C194" s="191"/>
      <c r="D194" s="177">
        <f t="shared" si="11"/>
        <v>0</v>
      </c>
      <c r="E194" s="191"/>
      <c r="F194" s="230"/>
      <c r="G194" s="204"/>
      <c r="H194" s="188"/>
      <c r="I194" s="189"/>
      <c r="J194" s="4"/>
      <c r="K194" s="171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78">
        <f>'Données projet'!A183</f>
        <v>0</v>
      </c>
      <c r="B195" s="179">
        <f>'Données projet'!D183</f>
        <v>0</v>
      </c>
      <c r="C195" s="191"/>
      <c r="D195" s="177">
        <f t="shared" si="11"/>
        <v>0</v>
      </c>
      <c r="E195" s="191"/>
      <c r="F195" s="230"/>
      <c r="G195" s="204"/>
      <c r="H195" s="188"/>
      <c r="I195" s="189"/>
      <c r="J195" s="4"/>
      <c r="K195" s="171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78">
        <f>'Données projet'!A184</f>
        <v>0</v>
      </c>
      <c r="B196" s="179">
        <f>'Données projet'!D184</f>
        <v>0</v>
      </c>
      <c r="C196" s="191"/>
      <c r="D196" s="177">
        <f t="shared" si="11"/>
        <v>0</v>
      </c>
      <c r="E196" s="191"/>
      <c r="F196" s="230"/>
      <c r="G196" s="204"/>
      <c r="H196" s="188"/>
      <c r="I196" s="189"/>
      <c r="J196" s="4"/>
      <c r="K196" s="171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78">
        <f>'Données projet'!A185</f>
        <v>0</v>
      </c>
      <c r="B197" s="179">
        <f>'Données projet'!D185</f>
        <v>0</v>
      </c>
      <c r="C197" s="191"/>
      <c r="D197" s="177">
        <f t="shared" si="11"/>
        <v>0</v>
      </c>
      <c r="E197" s="191"/>
      <c r="F197" s="230"/>
      <c r="G197" s="204"/>
      <c r="H197" s="188"/>
      <c r="I197" s="189"/>
      <c r="J197" s="4"/>
      <c r="K197" s="171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28"/>
      <c r="G198" s="204"/>
      <c r="H198" s="188"/>
      <c r="I198" s="189"/>
      <c r="J198" s="4"/>
      <c r="K198" s="171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28"/>
      <c r="G199" s="204"/>
      <c r="H199" s="188"/>
      <c r="I199" s="189"/>
      <c r="J199" s="4"/>
      <c r="K199" s="171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2" t="str">
        <f>IF('Données projet'!$B$15="","",'Données projet'!$B$15)</f>
        <v/>
      </c>
      <c r="C200" s="4"/>
      <c r="D200" s="4"/>
      <c r="E200" s="4"/>
      <c r="F200" s="228"/>
      <c r="G200" s="204"/>
      <c r="H200" s="188"/>
      <c r="I200" s="189"/>
      <c r="J200" s="4"/>
      <c r="K200" s="171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28"/>
      <c r="G201" s="204"/>
      <c r="H201" s="188"/>
      <c r="I201" s="189"/>
      <c r="J201" s="4"/>
      <c r="K201" s="171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29"/>
      <c r="G202" s="204"/>
      <c r="H202" s="188"/>
      <c r="I202" s="189"/>
      <c r="J202" s="4"/>
      <c r="K202" s="171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7" t="s">
        <v>132</v>
      </c>
      <c r="C203" s="196" t="s">
        <v>132</v>
      </c>
      <c r="D203" s="195" t="s">
        <v>132</v>
      </c>
      <c r="E203" s="191"/>
      <c r="F203" s="229"/>
      <c r="G203" s="204"/>
      <c r="H203" s="188"/>
      <c r="I203" s="189"/>
      <c r="J203" s="4"/>
      <c r="K203" s="171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7" t="s">
        <v>132</v>
      </c>
      <c r="C204" s="196" t="s">
        <v>132</v>
      </c>
      <c r="D204" s="195" t="s">
        <v>132</v>
      </c>
      <c r="E204" s="191"/>
      <c r="F204" s="229"/>
      <c r="G204" s="23"/>
      <c r="H204" s="188"/>
      <c r="I204" s="189"/>
      <c r="J204" s="4"/>
      <c r="K204" s="171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7" t="s">
        <v>132</v>
      </c>
      <c r="C205" s="196" t="s">
        <v>132</v>
      </c>
      <c r="D205" s="195" t="s">
        <v>132</v>
      </c>
      <c r="E205" s="191"/>
      <c r="F205" s="229"/>
      <c r="G205" s="23"/>
      <c r="H205" s="188"/>
      <c r="I205" s="189"/>
      <c r="J205" s="4"/>
      <c r="K205" s="171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7" t="s">
        <v>132</v>
      </c>
      <c r="C206" s="196" t="s">
        <v>132</v>
      </c>
      <c r="D206" s="195" t="s">
        <v>132</v>
      </c>
      <c r="E206" s="191"/>
      <c r="F206" s="229"/>
      <c r="G206" s="23"/>
      <c r="H206" s="188"/>
      <c r="I206" s="189"/>
      <c r="J206" s="4"/>
      <c r="K206" s="171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7" t="s">
        <v>132</v>
      </c>
      <c r="C207" s="196" t="s">
        <v>132</v>
      </c>
      <c r="D207" s="195" t="s">
        <v>132</v>
      </c>
      <c r="E207" s="191"/>
      <c r="F207" s="229"/>
      <c r="G207" s="23"/>
      <c r="H207" s="188"/>
      <c r="I207" s="189"/>
      <c r="J207" s="4"/>
      <c r="K207" s="171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7" t="s">
        <v>132</v>
      </c>
      <c r="C208" s="196" t="s">
        <v>132</v>
      </c>
      <c r="D208" s="195" t="s">
        <v>132</v>
      </c>
      <c r="E208" s="191"/>
      <c r="F208" s="229"/>
      <c r="G208" s="203"/>
      <c r="H208" s="188"/>
      <c r="I208" s="189"/>
      <c r="J208" s="4"/>
      <c r="K208" s="171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78">
        <f>'Données projet'!A192</f>
        <v>0</v>
      </c>
      <c r="B209" s="179">
        <f>'Données projet'!D192</f>
        <v>0</v>
      </c>
      <c r="C209" s="191"/>
      <c r="D209" s="177">
        <f>B209*C209</f>
        <v>0</v>
      </c>
      <c r="E209" s="191"/>
      <c r="F209" s="230"/>
      <c r="G209" s="203"/>
      <c r="H209" s="188"/>
      <c r="I209" s="189"/>
      <c r="J209" s="4"/>
      <c r="K209" s="171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78">
        <f>'Données projet'!A193</f>
        <v>0</v>
      </c>
      <c r="B210" s="179">
        <f>'Données projet'!D193</f>
        <v>0</v>
      </c>
      <c r="C210" s="191"/>
      <c r="D210" s="177">
        <f t="shared" ref="D210:D228" si="12">B210*C210</f>
        <v>0</v>
      </c>
      <c r="E210" s="191"/>
      <c r="F210" s="230"/>
      <c r="G210" s="203"/>
      <c r="H210" s="188"/>
      <c r="I210" s="189"/>
      <c r="J210" s="4"/>
      <c r="K210" s="171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78">
        <f>'Données projet'!A194</f>
        <v>0</v>
      </c>
      <c r="B211" s="179">
        <f>'Données projet'!D194</f>
        <v>0</v>
      </c>
      <c r="C211" s="191"/>
      <c r="D211" s="177">
        <f t="shared" si="12"/>
        <v>0</v>
      </c>
      <c r="E211" s="191"/>
      <c r="F211" s="230"/>
      <c r="G211" s="203"/>
      <c r="H211" s="188"/>
      <c r="I211" s="189"/>
      <c r="J211" s="4"/>
      <c r="K211" s="171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78">
        <f>'Données projet'!A195</f>
        <v>0</v>
      </c>
      <c r="B212" s="179">
        <f>'Données projet'!D195</f>
        <v>0</v>
      </c>
      <c r="C212" s="191"/>
      <c r="D212" s="177">
        <f t="shared" si="12"/>
        <v>0</v>
      </c>
      <c r="E212" s="191"/>
      <c r="F212" s="230"/>
      <c r="G212" s="203"/>
      <c r="H212" s="188"/>
      <c r="I212" s="189"/>
      <c r="J212" s="4"/>
      <c r="K212" s="171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78">
        <f>'Données projet'!A196</f>
        <v>0</v>
      </c>
      <c r="B213" s="179">
        <f>'Données projet'!D196</f>
        <v>0</v>
      </c>
      <c r="C213" s="191"/>
      <c r="D213" s="177">
        <f t="shared" si="12"/>
        <v>0</v>
      </c>
      <c r="E213" s="191"/>
      <c r="F213" s="230"/>
      <c r="G213" s="203"/>
      <c r="H213" s="188"/>
      <c r="I213" s="189"/>
      <c r="J213" s="4"/>
      <c r="K213" s="171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78">
        <f>'Données projet'!A197</f>
        <v>0</v>
      </c>
      <c r="B214" s="179">
        <f>'Données projet'!D197</f>
        <v>0</v>
      </c>
      <c r="C214" s="191"/>
      <c r="D214" s="177">
        <f t="shared" si="12"/>
        <v>0</v>
      </c>
      <c r="E214" s="191"/>
      <c r="F214" s="230"/>
      <c r="G214" s="203"/>
      <c r="H214" s="188"/>
      <c r="I214" s="189"/>
      <c r="J214" s="4"/>
      <c r="K214" s="171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78">
        <f>'Données projet'!A198</f>
        <v>0</v>
      </c>
      <c r="B215" s="179">
        <f>'Données projet'!D198</f>
        <v>0</v>
      </c>
      <c r="C215" s="191"/>
      <c r="D215" s="177">
        <f t="shared" si="12"/>
        <v>0</v>
      </c>
      <c r="E215" s="191"/>
      <c r="F215" s="230"/>
      <c r="G215" s="204"/>
      <c r="H215" s="188"/>
      <c r="I215" s="189"/>
      <c r="J215" s="4"/>
      <c r="K215" s="171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78">
        <f>'Données projet'!A199</f>
        <v>0</v>
      </c>
      <c r="B216" s="179">
        <f>'Données projet'!D199</f>
        <v>0</v>
      </c>
      <c r="C216" s="191"/>
      <c r="D216" s="177">
        <f t="shared" si="12"/>
        <v>0</v>
      </c>
      <c r="E216" s="191"/>
      <c r="F216" s="230"/>
      <c r="G216" s="204"/>
      <c r="H216" s="188"/>
      <c r="I216" s="189"/>
      <c r="J216" s="4"/>
      <c r="K216" s="171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78">
        <f>'Données projet'!A200</f>
        <v>0</v>
      </c>
      <c r="B217" s="179">
        <f>'Données projet'!D200</f>
        <v>0</v>
      </c>
      <c r="C217" s="191"/>
      <c r="D217" s="177">
        <f t="shared" si="12"/>
        <v>0</v>
      </c>
      <c r="E217" s="191"/>
      <c r="F217" s="230"/>
      <c r="G217" s="204"/>
      <c r="H217" s="188"/>
      <c r="I217" s="189"/>
      <c r="J217" s="4"/>
      <c r="K217" s="171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78">
        <f>'Données projet'!A201</f>
        <v>0</v>
      </c>
      <c r="B218" s="179">
        <f>'Données projet'!D201</f>
        <v>0</v>
      </c>
      <c r="C218" s="191"/>
      <c r="D218" s="177">
        <f t="shared" si="12"/>
        <v>0</v>
      </c>
      <c r="E218" s="191"/>
      <c r="F218" s="230"/>
      <c r="G218" s="204"/>
      <c r="H218" s="188"/>
      <c r="I218" s="189"/>
      <c r="J218" s="4"/>
      <c r="K218" s="171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78">
        <f>'Données projet'!A202</f>
        <v>0</v>
      </c>
      <c r="B219" s="179">
        <f>'Données projet'!D202</f>
        <v>0</v>
      </c>
      <c r="C219" s="191"/>
      <c r="D219" s="177">
        <f t="shared" si="12"/>
        <v>0</v>
      </c>
      <c r="E219" s="191"/>
      <c r="F219" s="230"/>
      <c r="G219" s="204"/>
      <c r="H219" s="188"/>
      <c r="I219" s="189"/>
      <c r="J219" s="4"/>
      <c r="K219" s="171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78">
        <f>'Données projet'!A203</f>
        <v>0</v>
      </c>
      <c r="B220" s="179">
        <f>'Données projet'!D203</f>
        <v>0</v>
      </c>
      <c r="C220" s="191"/>
      <c r="D220" s="177">
        <f t="shared" si="12"/>
        <v>0</v>
      </c>
      <c r="E220" s="191"/>
      <c r="F220" s="230"/>
      <c r="G220" s="204"/>
      <c r="H220" s="4"/>
      <c r="I220" s="4"/>
      <c r="J220" s="4"/>
      <c r="K220" s="171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78">
        <f>'Données projet'!A204</f>
        <v>0</v>
      </c>
      <c r="B221" s="179">
        <f>'Données projet'!D204</f>
        <v>0</v>
      </c>
      <c r="C221" s="191"/>
      <c r="D221" s="177">
        <f t="shared" si="12"/>
        <v>0</v>
      </c>
      <c r="E221" s="191"/>
      <c r="F221" s="230"/>
      <c r="G221" s="204"/>
      <c r="H221" s="4"/>
      <c r="I221" s="4"/>
      <c r="J221" s="4"/>
      <c r="K221" s="171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78">
        <f>'Données projet'!A205</f>
        <v>0</v>
      </c>
      <c r="B222" s="179">
        <f>'Données projet'!D205</f>
        <v>0</v>
      </c>
      <c r="C222" s="191"/>
      <c r="D222" s="177">
        <f t="shared" si="12"/>
        <v>0</v>
      </c>
      <c r="E222" s="191"/>
      <c r="F222" s="230"/>
      <c r="G222" s="204"/>
      <c r="H222" s="4"/>
      <c r="I222" s="4"/>
      <c r="J222" s="4"/>
      <c r="K222" s="171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78">
        <f>'Données projet'!A206</f>
        <v>0</v>
      </c>
      <c r="B223" s="179">
        <f>'Données projet'!D206</f>
        <v>0</v>
      </c>
      <c r="C223" s="191"/>
      <c r="D223" s="177">
        <f t="shared" si="12"/>
        <v>0</v>
      </c>
      <c r="E223" s="191"/>
      <c r="F223" s="230"/>
      <c r="G223" s="204"/>
      <c r="H223" s="4"/>
      <c r="I223" s="4"/>
      <c r="J223" s="4"/>
      <c r="K223" s="171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78">
        <f>'Données projet'!A207</f>
        <v>0</v>
      </c>
      <c r="B224" s="179">
        <f>'Données projet'!D207</f>
        <v>0</v>
      </c>
      <c r="C224" s="191"/>
      <c r="D224" s="177">
        <f t="shared" si="12"/>
        <v>0</v>
      </c>
      <c r="E224" s="191"/>
      <c r="F224" s="230"/>
      <c r="G224" s="204"/>
      <c r="H224" s="4"/>
      <c r="I224" s="4"/>
      <c r="J224" s="4"/>
      <c r="K224" s="171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78">
        <f>'Données projet'!A208</f>
        <v>0</v>
      </c>
      <c r="B225" s="179">
        <f>'Données projet'!D208</f>
        <v>0</v>
      </c>
      <c r="C225" s="191"/>
      <c r="D225" s="177">
        <f t="shared" si="12"/>
        <v>0</v>
      </c>
      <c r="E225" s="191"/>
      <c r="F225" s="230"/>
      <c r="G225" s="204"/>
      <c r="H225" s="4"/>
      <c r="I225" s="4"/>
      <c r="J225" s="4"/>
      <c r="K225" s="171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78">
        <f>'Données projet'!A209</f>
        <v>0</v>
      </c>
      <c r="B226" s="179">
        <f>'Données projet'!D209</f>
        <v>0</v>
      </c>
      <c r="C226" s="191"/>
      <c r="D226" s="177">
        <f t="shared" si="12"/>
        <v>0</v>
      </c>
      <c r="E226" s="191"/>
      <c r="F226" s="230"/>
      <c r="G226" s="204"/>
      <c r="H226" s="4"/>
      <c r="I226" s="4"/>
      <c r="J226" s="4"/>
      <c r="K226" s="171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78">
        <f>'Données projet'!A210</f>
        <v>0</v>
      </c>
      <c r="B227" s="179">
        <f>'Données projet'!D210</f>
        <v>0</v>
      </c>
      <c r="C227" s="191"/>
      <c r="D227" s="177">
        <f t="shared" si="12"/>
        <v>0</v>
      </c>
      <c r="E227" s="191"/>
      <c r="F227" s="230"/>
      <c r="G227" s="204"/>
      <c r="H227" s="4"/>
      <c r="I227" s="4"/>
      <c r="J227" s="4"/>
      <c r="K227" s="171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78">
        <f>'Données projet'!A211</f>
        <v>0</v>
      </c>
      <c r="B228" s="179">
        <f>'Données projet'!D211</f>
        <v>0</v>
      </c>
      <c r="C228" s="191"/>
      <c r="D228" s="177">
        <f t="shared" si="12"/>
        <v>0</v>
      </c>
      <c r="E228" s="191"/>
      <c r="F228" s="230"/>
      <c r="G228" s="204"/>
      <c r="H228" s="4"/>
      <c r="I228" s="4"/>
      <c r="J228" s="4"/>
      <c r="K228" s="171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28"/>
      <c r="G229" s="204"/>
      <c r="H229" s="4"/>
      <c r="I229" s="4"/>
      <c r="J229" s="4"/>
      <c r="K229" s="171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28"/>
      <c r="G230" s="204"/>
      <c r="H230" s="4"/>
      <c r="I230" s="4"/>
      <c r="J230" s="4"/>
      <c r="K230" s="171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2" t="str">
        <f>IF('Données projet'!$B$16="","",'Données projet'!$B$16)</f>
        <v/>
      </c>
      <c r="C231" s="4"/>
      <c r="D231" s="4"/>
      <c r="E231" s="4"/>
      <c r="F231" s="228"/>
      <c r="G231" s="204"/>
      <c r="H231" s="4"/>
      <c r="I231" s="4"/>
      <c r="J231" s="4"/>
      <c r="K231" s="171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28"/>
      <c r="G232" s="204"/>
      <c r="H232" s="4"/>
      <c r="I232" s="4"/>
      <c r="J232" s="4"/>
      <c r="K232" s="171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29"/>
      <c r="G233" s="204"/>
      <c r="H233" s="4"/>
      <c r="I233" s="4"/>
      <c r="J233" s="4"/>
      <c r="K233" s="171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7" t="s">
        <v>132</v>
      </c>
      <c r="C234" s="196" t="s">
        <v>132</v>
      </c>
      <c r="D234" s="195" t="s">
        <v>132</v>
      </c>
      <c r="E234" s="191"/>
      <c r="F234" s="229"/>
      <c r="G234" s="204"/>
      <c r="H234" s="4"/>
      <c r="I234" s="4"/>
      <c r="J234" s="4"/>
      <c r="K234" s="171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7" t="s">
        <v>132</v>
      </c>
      <c r="C235" s="196" t="s">
        <v>132</v>
      </c>
      <c r="D235" s="195" t="s">
        <v>132</v>
      </c>
      <c r="E235" s="191"/>
      <c r="F235" s="229"/>
      <c r="G235" s="23"/>
      <c r="H235" s="4"/>
      <c r="I235" s="4"/>
      <c r="J235" s="4"/>
      <c r="K235" s="171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7" t="s">
        <v>132</v>
      </c>
      <c r="C236" s="196" t="s">
        <v>132</v>
      </c>
      <c r="D236" s="195" t="s">
        <v>132</v>
      </c>
      <c r="E236" s="191"/>
      <c r="F236" s="229"/>
      <c r="G236" s="23"/>
      <c r="H236" s="4"/>
      <c r="I236" s="4"/>
      <c r="J236" s="4"/>
      <c r="K236" s="171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7" t="s">
        <v>132</v>
      </c>
      <c r="C237" s="196" t="s">
        <v>132</v>
      </c>
      <c r="D237" s="195" t="s">
        <v>132</v>
      </c>
      <c r="E237" s="191"/>
      <c r="F237" s="229"/>
      <c r="G237" s="23"/>
      <c r="H237" s="4"/>
      <c r="I237" s="4"/>
      <c r="J237" s="4"/>
      <c r="K237" s="171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7" t="s">
        <v>132</v>
      </c>
      <c r="C238" s="196" t="s">
        <v>132</v>
      </c>
      <c r="D238" s="195" t="s">
        <v>132</v>
      </c>
      <c r="E238" s="191"/>
      <c r="F238" s="229"/>
      <c r="G238" s="23"/>
      <c r="H238" s="4"/>
      <c r="I238" s="4"/>
      <c r="J238" s="4"/>
      <c r="K238" s="171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7" t="s">
        <v>132</v>
      </c>
      <c r="C239" s="196" t="s">
        <v>132</v>
      </c>
      <c r="D239" s="195" t="s">
        <v>132</v>
      </c>
      <c r="E239" s="191"/>
      <c r="F239" s="229"/>
      <c r="G239" s="203"/>
      <c r="H239" s="4"/>
      <c r="I239" s="4"/>
      <c r="J239" s="4"/>
      <c r="K239" s="171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78">
        <f>'Données projet'!A218</f>
        <v>0</v>
      </c>
      <c r="B240" s="179">
        <f>'Données projet'!D218</f>
        <v>0</v>
      </c>
      <c r="C240" s="191"/>
      <c r="D240" s="177">
        <f>B240*C240</f>
        <v>0</v>
      </c>
      <c r="E240" s="191"/>
      <c r="F240" s="230"/>
      <c r="G240" s="203"/>
      <c r="H240" s="4"/>
      <c r="I240" s="4"/>
      <c r="J240" s="4"/>
      <c r="K240" s="171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78">
        <f>'Données projet'!A219</f>
        <v>0</v>
      </c>
      <c r="B241" s="179">
        <f>'Données projet'!D219</f>
        <v>0</v>
      </c>
      <c r="C241" s="191"/>
      <c r="D241" s="177">
        <f t="shared" ref="D241:D259" si="13">B241*C241</f>
        <v>0</v>
      </c>
      <c r="E241" s="191"/>
      <c r="F241" s="230"/>
      <c r="G241" s="203"/>
      <c r="H241" s="4"/>
      <c r="I241" s="4"/>
      <c r="J241" s="4"/>
      <c r="K241" s="171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78">
        <f>'Données projet'!A220</f>
        <v>0</v>
      </c>
      <c r="B242" s="179">
        <f>'Données projet'!D220</f>
        <v>0</v>
      </c>
      <c r="C242" s="191"/>
      <c r="D242" s="177">
        <f t="shared" si="13"/>
        <v>0</v>
      </c>
      <c r="E242" s="191"/>
      <c r="F242" s="230"/>
      <c r="G242" s="203"/>
      <c r="H242" s="4"/>
      <c r="I242" s="4"/>
      <c r="J242" s="4"/>
      <c r="K242" s="171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78">
        <f>'Données projet'!A221</f>
        <v>0</v>
      </c>
      <c r="B243" s="179">
        <f>'Données projet'!D221</f>
        <v>0</v>
      </c>
      <c r="C243" s="191"/>
      <c r="D243" s="177">
        <f t="shared" si="13"/>
        <v>0</v>
      </c>
      <c r="E243" s="191"/>
      <c r="F243" s="230"/>
      <c r="G243" s="203"/>
      <c r="H243" s="4"/>
      <c r="I243" s="4"/>
      <c r="J243" s="4"/>
      <c r="K243" s="171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78">
        <f>'Données projet'!A222</f>
        <v>0</v>
      </c>
      <c r="B244" s="179">
        <f>'Données projet'!D222</f>
        <v>0</v>
      </c>
      <c r="C244" s="191"/>
      <c r="D244" s="177">
        <f t="shared" si="13"/>
        <v>0</v>
      </c>
      <c r="E244" s="191"/>
      <c r="F244" s="230"/>
      <c r="G244" s="203"/>
      <c r="H244" s="4"/>
      <c r="I244" s="4"/>
      <c r="J244" s="4"/>
      <c r="K244" s="171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78">
        <f>'Données projet'!A223</f>
        <v>0</v>
      </c>
      <c r="B245" s="179">
        <f>'Données projet'!D223</f>
        <v>0</v>
      </c>
      <c r="C245" s="191"/>
      <c r="D245" s="177">
        <f t="shared" si="13"/>
        <v>0</v>
      </c>
      <c r="E245" s="191"/>
      <c r="F245" s="230"/>
      <c r="G245" s="203"/>
      <c r="H245" s="4"/>
      <c r="I245" s="4"/>
      <c r="J245" s="4"/>
      <c r="K245" s="171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78">
        <f>'Données projet'!A224</f>
        <v>0</v>
      </c>
      <c r="B246" s="179">
        <f>'Données projet'!D224</f>
        <v>0</v>
      </c>
      <c r="C246" s="191"/>
      <c r="D246" s="177">
        <f t="shared" si="13"/>
        <v>0</v>
      </c>
      <c r="E246" s="191"/>
      <c r="F246" s="230"/>
      <c r="G246" s="204"/>
      <c r="H246" s="4"/>
      <c r="I246" s="4"/>
      <c r="J246" s="4"/>
      <c r="K246" s="171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78">
        <f>'Données projet'!A225</f>
        <v>0</v>
      </c>
      <c r="B247" s="179">
        <f>'Données projet'!D225</f>
        <v>0</v>
      </c>
      <c r="C247" s="191"/>
      <c r="D247" s="177">
        <f t="shared" si="13"/>
        <v>0</v>
      </c>
      <c r="E247" s="191"/>
      <c r="F247" s="230"/>
      <c r="G247" s="204"/>
      <c r="H247" s="4"/>
      <c r="I247" s="4"/>
      <c r="J247" s="4"/>
      <c r="K247" s="171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78">
        <f>'Données projet'!A226</f>
        <v>0</v>
      </c>
      <c r="B248" s="179">
        <f>'Données projet'!D226</f>
        <v>0</v>
      </c>
      <c r="C248" s="191"/>
      <c r="D248" s="177">
        <f t="shared" si="13"/>
        <v>0</v>
      </c>
      <c r="E248" s="191"/>
      <c r="F248" s="230"/>
      <c r="G248" s="204"/>
      <c r="H248" s="4"/>
      <c r="I248" s="4"/>
      <c r="J248" s="4"/>
      <c r="K248" s="171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78">
        <f>'Données projet'!A227</f>
        <v>0</v>
      </c>
      <c r="B249" s="179">
        <f>'Données projet'!D227</f>
        <v>0</v>
      </c>
      <c r="C249" s="191"/>
      <c r="D249" s="177">
        <f t="shared" si="13"/>
        <v>0</v>
      </c>
      <c r="E249" s="191"/>
      <c r="F249" s="230"/>
      <c r="G249" s="204"/>
      <c r="H249" s="4"/>
      <c r="I249" s="4"/>
      <c r="J249" s="4"/>
      <c r="K249" s="171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78">
        <f>'Données projet'!A228</f>
        <v>0</v>
      </c>
      <c r="B250" s="179">
        <f>'Données projet'!D228</f>
        <v>0</v>
      </c>
      <c r="C250" s="191"/>
      <c r="D250" s="177">
        <f t="shared" si="13"/>
        <v>0</v>
      </c>
      <c r="E250" s="191"/>
      <c r="F250" s="230"/>
      <c r="G250" s="204"/>
      <c r="H250" s="4"/>
      <c r="I250" s="4"/>
      <c r="J250" s="4"/>
      <c r="K250" s="171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78">
        <f>'Données projet'!A229</f>
        <v>0</v>
      </c>
      <c r="B251" s="179">
        <f>'Données projet'!D229</f>
        <v>0</v>
      </c>
      <c r="C251" s="191"/>
      <c r="D251" s="177">
        <f t="shared" si="13"/>
        <v>0</v>
      </c>
      <c r="E251" s="191"/>
      <c r="F251" s="230"/>
      <c r="G251" s="204"/>
      <c r="H251" s="4"/>
      <c r="I251" s="4"/>
      <c r="J251" s="4"/>
      <c r="K251" s="171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78">
        <f>'Données projet'!A230</f>
        <v>0</v>
      </c>
      <c r="B252" s="179">
        <f>'Données projet'!D230</f>
        <v>0</v>
      </c>
      <c r="C252" s="191"/>
      <c r="D252" s="177">
        <f t="shared" si="13"/>
        <v>0</v>
      </c>
      <c r="E252" s="191"/>
      <c r="F252" s="230"/>
      <c r="G252" s="204"/>
      <c r="H252" s="4"/>
      <c r="I252" s="4"/>
      <c r="J252" s="4"/>
      <c r="K252" s="171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78">
        <f>'Données projet'!A231</f>
        <v>0</v>
      </c>
      <c r="B253" s="179">
        <f>'Données projet'!D231</f>
        <v>0</v>
      </c>
      <c r="C253" s="191"/>
      <c r="D253" s="177">
        <f t="shared" si="13"/>
        <v>0</v>
      </c>
      <c r="E253" s="191"/>
      <c r="F253" s="230"/>
      <c r="G253" s="204"/>
      <c r="H253" s="4"/>
      <c r="I253" s="4"/>
      <c r="J253" s="4"/>
      <c r="K253" s="171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78">
        <f>'Données projet'!A232</f>
        <v>0</v>
      </c>
      <c r="B254" s="179">
        <f>'Données projet'!D232</f>
        <v>0</v>
      </c>
      <c r="C254" s="191"/>
      <c r="D254" s="177">
        <f t="shared" si="13"/>
        <v>0</v>
      </c>
      <c r="E254" s="191"/>
      <c r="F254" s="230"/>
      <c r="G254" s="204"/>
      <c r="H254" s="4"/>
      <c r="I254" s="4"/>
      <c r="J254" s="4"/>
      <c r="K254" s="171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78">
        <f>'Données projet'!A233</f>
        <v>0</v>
      </c>
      <c r="B255" s="179">
        <f>'Données projet'!D233</f>
        <v>0</v>
      </c>
      <c r="C255" s="191"/>
      <c r="D255" s="177">
        <f t="shared" si="13"/>
        <v>0</v>
      </c>
      <c r="E255" s="191"/>
      <c r="F255" s="230"/>
      <c r="G255" s="204"/>
      <c r="H255" s="4"/>
      <c r="I255" s="4"/>
      <c r="J255" s="4"/>
      <c r="K255" s="171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78">
        <f>'Données projet'!A234</f>
        <v>0</v>
      </c>
      <c r="B256" s="179">
        <f>'Données projet'!D234</f>
        <v>0</v>
      </c>
      <c r="C256" s="191"/>
      <c r="D256" s="177">
        <f t="shared" si="13"/>
        <v>0</v>
      </c>
      <c r="E256" s="191"/>
      <c r="F256" s="230"/>
      <c r="G256" s="204"/>
      <c r="H256" s="4"/>
      <c r="I256" s="4"/>
      <c r="J256" s="4"/>
      <c r="K256" s="171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78">
        <f>'Données projet'!A235</f>
        <v>0</v>
      </c>
      <c r="B257" s="179">
        <f>'Données projet'!D235</f>
        <v>0</v>
      </c>
      <c r="C257" s="191"/>
      <c r="D257" s="177">
        <f t="shared" si="13"/>
        <v>0</v>
      </c>
      <c r="E257" s="191"/>
      <c r="F257" s="230"/>
      <c r="G257" s="204"/>
      <c r="H257" s="4"/>
      <c r="I257" s="4"/>
      <c r="J257" s="4"/>
      <c r="K257" s="171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78">
        <f>'Données projet'!A236</f>
        <v>0</v>
      </c>
      <c r="B258" s="179">
        <f>'Données projet'!D236</f>
        <v>0</v>
      </c>
      <c r="C258" s="191"/>
      <c r="D258" s="177">
        <f t="shared" si="13"/>
        <v>0</v>
      </c>
      <c r="E258" s="191"/>
      <c r="F258" s="230"/>
      <c r="G258" s="204"/>
      <c r="H258" s="4"/>
      <c r="I258" s="4"/>
      <c r="J258" s="4"/>
      <c r="K258" s="171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78">
        <f>'Données projet'!A237</f>
        <v>0</v>
      </c>
      <c r="B259" s="179">
        <f>'Données projet'!D237</f>
        <v>0</v>
      </c>
      <c r="C259" s="191"/>
      <c r="D259" s="177">
        <f t="shared" si="13"/>
        <v>0</v>
      </c>
      <c r="E259" s="191"/>
      <c r="F259" s="230"/>
      <c r="G259" s="204"/>
      <c r="H259" s="4"/>
      <c r="I259" s="4"/>
      <c r="J259" s="4"/>
      <c r="K259" s="171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28"/>
      <c r="G260" s="204"/>
      <c r="H260" s="4"/>
      <c r="I260" s="4"/>
      <c r="J260" s="4"/>
      <c r="K260" s="171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28"/>
      <c r="G261" s="204"/>
      <c r="H261" s="4"/>
      <c r="I261" s="4"/>
      <c r="J261" s="4"/>
      <c r="K261" s="171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2" t="str">
        <f>IF('Données projet'!$B$17="","",'Données projet'!$B$17)</f>
        <v/>
      </c>
      <c r="C262" s="4"/>
      <c r="D262" s="4"/>
      <c r="E262" s="4"/>
      <c r="F262" s="228"/>
      <c r="G262" s="204"/>
      <c r="H262" s="4"/>
      <c r="I262" s="4"/>
      <c r="J262" s="4"/>
      <c r="K262" s="171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28"/>
      <c r="G263" s="204"/>
      <c r="H263" s="4"/>
      <c r="I263" s="4"/>
      <c r="J263" s="4"/>
      <c r="K263" s="171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29"/>
      <c r="G264" s="204"/>
      <c r="H264" s="4"/>
      <c r="I264" s="4"/>
      <c r="J264" s="4"/>
      <c r="K264" s="171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7" t="s">
        <v>132</v>
      </c>
      <c r="C265" s="196" t="s">
        <v>132</v>
      </c>
      <c r="D265" s="195" t="s">
        <v>132</v>
      </c>
      <c r="E265" s="191"/>
      <c r="F265" s="229"/>
      <c r="G265" s="204"/>
      <c r="H265" s="4"/>
      <c r="I265" s="4"/>
      <c r="J265" s="4"/>
      <c r="K265" s="171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7" t="s">
        <v>132</v>
      </c>
      <c r="C266" s="196" t="s">
        <v>132</v>
      </c>
      <c r="D266" s="195" t="s">
        <v>132</v>
      </c>
      <c r="E266" s="191"/>
      <c r="F266" s="229"/>
      <c r="G266" s="23"/>
      <c r="H266" s="4"/>
      <c r="I266" s="4"/>
      <c r="J266" s="4"/>
      <c r="K266" s="171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7" t="s">
        <v>132</v>
      </c>
      <c r="C267" s="196" t="s">
        <v>132</v>
      </c>
      <c r="D267" s="195" t="s">
        <v>132</v>
      </c>
      <c r="E267" s="191"/>
      <c r="F267" s="229"/>
      <c r="G267" s="23"/>
      <c r="H267" s="4"/>
      <c r="I267" s="4"/>
      <c r="J267" s="4"/>
      <c r="K267" s="171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7" t="s">
        <v>132</v>
      </c>
      <c r="C268" s="196" t="s">
        <v>132</v>
      </c>
      <c r="D268" s="195" t="s">
        <v>132</v>
      </c>
      <c r="E268" s="191"/>
      <c r="F268" s="229"/>
      <c r="G268" s="23"/>
      <c r="H268" s="4"/>
      <c r="I268" s="4"/>
      <c r="J268" s="4"/>
      <c r="K268" s="171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7" t="s">
        <v>132</v>
      </c>
      <c r="C269" s="196" t="s">
        <v>132</v>
      </c>
      <c r="D269" s="195" t="s">
        <v>132</v>
      </c>
      <c r="E269" s="191"/>
      <c r="F269" s="229"/>
      <c r="G269" s="23"/>
      <c r="H269" s="4"/>
      <c r="I269" s="4"/>
      <c r="J269" s="4"/>
      <c r="K269" s="171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7" t="s">
        <v>132</v>
      </c>
      <c r="C270" s="196" t="s">
        <v>132</v>
      </c>
      <c r="D270" s="195" t="s">
        <v>132</v>
      </c>
      <c r="E270" s="191"/>
      <c r="F270" s="229"/>
      <c r="G270" s="203"/>
      <c r="H270" s="4"/>
      <c r="I270" s="4"/>
      <c r="J270" s="4"/>
      <c r="K270" s="171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78">
        <f>'Données projet'!A244</f>
        <v>0</v>
      </c>
      <c r="B271" s="179">
        <f>'Données projet'!D244</f>
        <v>0</v>
      </c>
      <c r="C271" s="191"/>
      <c r="D271" s="177">
        <f>B271*C271</f>
        <v>0</v>
      </c>
      <c r="E271" s="191"/>
      <c r="F271" s="230"/>
      <c r="G271" s="203"/>
      <c r="H271" s="4"/>
      <c r="I271" s="4"/>
      <c r="J271" s="4"/>
      <c r="K271" s="171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78">
        <f>'Données projet'!A245</f>
        <v>0</v>
      </c>
      <c r="B272" s="179">
        <f>'Données projet'!D245</f>
        <v>0</v>
      </c>
      <c r="C272" s="191"/>
      <c r="D272" s="177">
        <f t="shared" ref="D272:D290" si="14">B272*C272</f>
        <v>0</v>
      </c>
      <c r="E272" s="191"/>
      <c r="F272" s="230"/>
      <c r="G272" s="203"/>
      <c r="H272" s="4"/>
      <c r="I272" s="4"/>
      <c r="J272" s="4"/>
      <c r="K272" s="171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78">
        <f>'Données projet'!A246</f>
        <v>0</v>
      </c>
      <c r="B273" s="179">
        <f>'Données projet'!D246</f>
        <v>0</v>
      </c>
      <c r="C273" s="191"/>
      <c r="D273" s="177">
        <f t="shared" si="14"/>
        <v>0</v>
      </c>
      <c r="E273" s="191"/>
      <c r="F273" s="230"/>
      <c r="G273" s="203"/>
      <c r="H273" s="4"/>
      <c r="I273" s="4"/>
      <c r="J273" s="4"/>
      <c r="K273" s="171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78">
        <f>'Données projet'!A247</f>
        <v>0</v>
      </c>
      <c r="B274" s="179">
        <f>'Données projet'!D247</f>
        <v>0</v>
      </c>
      <c r="C274" s="191"/>
      <c r="D274" s="177">
        <f t="shared" si="14"/>
        <v>0</v>
      </c>
      <c r="E274" s="191"/>
      <c r="F274" s="230"/>
      <c r="G274" s="203"/>
      <c r="H274" s="4"/>
      <c r="I274" s="4"/>
      <c r="J274" s="4"/>
      <c r="K274" s="171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78">
        <f>'Données projet'!A248</f>
        <v>0</v>
      </c>
      <c r="B275" s="179">
        <f>'Données projet'!D248</f>
        <v>0</v>
      </c>
      <c r="C275" s="191"/>
      <c r="D275" s="177">
        <f t="shared" si="14"/>
        <v>0</v>
      </c>
      <c r="E275" s="191"/>
      <c r="F275" s="230"/>
      <c r="G275" s="203"/>
      <c r="H275" s="4"/>
      <c r="I275" s="4"/>
      <c r="J275" s="4"/>
      <c r="K275" s="171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78">
        <f>'Données projet'!A249</f>
        <v>0</v>
      </c>
      <c r="B276" s="179">
        <f>'Données projet'!D249</f>
        <v>0</v>
      </c>
      <c r="C276" s="191"/>
      <c r="D276" s="177">
        <f t="shared" si="14"/>
        <v>0</v>
      </c>
      <c r="E276" s="191"/>
      <c r="F276" s="230"/>
      <c r="G276" s="203"/>
      <c r="H276" s="4"/>
      <c r="I276" s="4"/>
      <c r="J276" s="4"/>
      <c r="K276" s="171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78">
        <f>'Données projet'!A250</f>
        <v>0</v>
      </c>
      <c r="B277" s="179">
        <f>'Données projet'!D250</f>
        <v>0</v>
      </c>
      <c r="C277" s="191"/>
      <c r="D277" s="177">
        <f t="shared" si="14"/>
        <v>0</v>
      </c>
      <c r="E277" s="191"/>
      <c r="F277" s="230"/>
      <c r="G277" s="204"/>
      <c r="H277" s="4"/>
      <c r="I277" s="4"/>
      <c r="J277" s="4"/>
      <c r="K277" s="171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78">
        <f>'Données projet'!A251</f>
        <v>0</v>
      </c>
      <c r="B278" s="179">
        <f>'Données projet'!D251</f>
        <v>0</v>
      </c>
      <c r="C278" s="191"/>
      <c r="D278" s="177">
        <f t="shared" si="14"/>
        <v>0</v>
      </c>
      <c r="E278" s="191"/>
      <c r="F278" s="230"/>
      <c r="G278" s="204"/>
      <c r="H278" s="4"/>
      <c r="I278" s="4"/>
      <c r="J278" s="4"/>
      <c r="K278" s="171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78">
        <f>'Données projet'!A252</f>
        <v>0</v>
      </c>
      <c r="B279" s="179">
        <f>'Données projet'!D252</f>
        <v>0</v>
      </c>
      <c r="C279" s="191"/>
      <c r="D279" s="177">
        <f t="shared" si="14"/>
        <v>0</v>
      </c>
      <c r="E279" s="191"/>
      <c r="F279" s="230"/>
      <c r="G279" s="204"/>
      <c r="H279" s="4"/>
      <c r="I279" s="4"/>
      <c r="J279" s="4"/>
      <c r="K279" s="171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78">
        <f>'Données projet'!A253</f>
        <v>0</v>
      </c>
      <c r="B280" s="179">
        <f>'Données projet'!D253</f>
        <v>0</v>
      </c>
      <c r="C280" s="191"/>
      <c r="D280" s="177">
        <f t="shared" si="14"/>
        <v>0</v>
      </c>
      <c r="E280" s="191"/>
      <c r="F280" s="230"/>
      <c r="G280" s="204"/>
      <c r="H280" s="4"/>
      <c r="I280" s="4"/>
      <c r="J280" s="4"/>
      <c r="K280" s="171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78">
        <f>'Données projet'!A254</f>
        <v>0</v>
      </c>
      <c r="B281" s="179">
        <f>'Données projet'!D254</f>
        <v>0</v>
      </c>
      <c r="C281" s="191"/>
      <c r="D281" s="177">
        <f t="shared" si="14"/>
        <v>0</v>
      </c>
      <c r="E281" s="191"/>
      <c r="F281" s="230"/>
      <c r="G281" s="204"/>
      <c r="H281" s="4"/>
      <c r="I281" s="4"/>
      <c r="J281" s="4"/>
      <c r="K281" s="171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78">
        <f>'Données projet'!A255</f>
        <v>0</v>
      </c>
      <c r="B282" s="179">
        <f>'Données projet'!D255</f>
        <v>0</v>
      </c>
      <c r="C282" s="191"/>
      <c r="D282" s="177">
        <f t="shared" si="14"/>
        <v>0</v>
      </c>
      <c r="E282" s="191"/>
      <c r="F282" s="230"/>
      <c r="G282" s="204"/>
      <c r="H282" s="4"/>
      <c r="I282" s="4"/>
      <c r="J282" s="4"/>
      <c r="K282" s="171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78">
        <f>'Données projet'!A256</f>
        <v>0</v>
      </c>
      <c r="B283" s="179">
        <f>'Données projet'!D256</f>
        <v>0</v>
      </c>
      <c r="C283" s="191"/>
      <c r="D283" s="177">
        <f t="shared" si="14"/>
        <v>0</v>
      </c>
      <c r="E283" s="191"/>
      <c r="F283" s="230"/>
      <c r="G283" s="204"/>
      <c r="H283" s="4"/>
      <c r="I283" s="4"/>
      <c r="J283" s="4"/>
      <c r="K283" s="171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78">
        <f>'Données projet'!A257</f>
        <v>0</v>
      </c>
      <c r="B284" s="179">
        <f>'Données projet'!D257</f>
        <v>0</v>
      </c>
      <c r="C284" s="191"/>
      <c r="D284" s="177">
        <f t="shared" si="14"/>
        <v>0</v>
      </c>
      <c r="E284" s="191"/>
      <c r="F284" s="230"/>
      <c r="G284" s="204"/>
      <c r="H284" s="4"/>
      <c r="I284" s="4"/>
      <c r="J284" s="4"/>
      <c r="K284" s="171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78">
        <f>'Données projet'!A258</f>
        <v>0</v>
      </c>
      <c r="B285" s="179">
        <f>'Données projet'!D258</f>
        <v>0</v>
      </c>
      <c r="C285" s="191"/>
      <c r="D285" s="177">
        <f t="shared" si="14"/>
        <v>0</v>
      </c>
      <c r="E285" s="191"/>
      <c r="F285" s="230"/>
      <c r="G285" s="204"/>
      <c r="H285" s="4"/>
      <c r="I285" s="4"/>
      <c r="J285" s="4"/>
      <c r="K285" s="171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78">
        <f>'Données projet'!A259</f>
        <v>0</v>
      </c>
      <c r="B286" s="179">
        <f>'Données projet'!D259</f>
        <v>0</v>
      </c>
      <c r="C286" s="191"/>
      <c r="D286" s="177">
        <f t="shared" si="14"/>
        <v>0</v>
      </c>
      <c r="E286" s="191"/>
      <c r="F286" s="230"/>
      <c r="G286" s="204"/>
      <c r="H286" s="4"/>
      <c r="I286" s="4"/>
      <c r="J286" s="4"/>
      <c r="K286" s="171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78">
        <f>'Données projet'!A260</f>
        <v>0</v>
      </c>
      <c r="B287" s="179">
        <f>'Données projet'!D260</f>
        <v>0</v>
      </c>
      <c r="C287" s="191"/>
      <c r="D287" s="177">
        <f t="shared" si="14"/>
        <v>0</v>
      </c>
      <c r="E287" s="191"/>
      <c r="F287" s="230"/>
      <c r="G287" s="204"/>
      <c r="H287" s="4"/>
      <c r="I287" s="4"/>
      <c r="J287" s="4"/>
      <c r="K287" s="171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78">
        <f>'Données projet'!A261</f>
        <v>0</v>
      </c>
      <c r="B288" s="179">
        <f>'Données projet'!D261</f>
        <v>0</v>
      </c>
      <c r="C288" s="191"/>
      <c r="D288" s="177">
        <f t="shared" si="14"/>
        <v>0</v>
      </c>
      <c r="E288" s="191"/>
      <c r="F288" s="230"/>
      <c r="G288" s="204"/>
      <c r="H288" s="4"/>
      <c r="I288" s="4"/>
      <c r="J288" s="4"/>
      <c r="K288" s="171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78">
        <f>'Données projet'!A262</f>
        <v>0</v>
      </c>
      <c r="B289" s="179">
        <f>'Données projet'!D262</f>
        <v>0</v>
      </c>
      <c r="C289" s="191"/>
      <c r="D289" s="177">
        <f t="shared" si="14"/>
        <v>0</v>
      </c>
      <c r="E289" s="191"/>
      <c r="F289" s="230"/>
      <c r="G289" s="204"/>
      <c r="H289" s="4"/>
      <c r="I289" s="4"/>
      <c r="J289" s="4"/>
      <c r="K289" s="171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78">
        <f>'Données projet'!A263</f>
        <v>0</v>
      </c>
      <c r="B290" s="179">
        <f>'Données projet'!D263</f>
        <v>0</v>
      </c>
      <c r="C290" s="191"/>
      <c r="D290" s="177">
        <f t="shared" si="14"/>
        <v>0</v>
      </c>
      <c r="E290" s="191"/>
      <c r="F290" s="230"/>
      <c r="G290" s="204"/>
      <c r="H290" s="4"/>
      <c r="I290" s="4"/>
      <c r="J290" s="4"/>
      <c r="K290" s="171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28"/>
      <c r="G291" s="204"/>
      <c r="H291" s="4"/>
      <c r="I291" s="4"/>
      <c r="J291" s="4"/>
      <c r="K291" s="171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28"/>
      <c r="G292" s="204"/>
      <c r="H292" s="4"/>
      <c r="I292" s="4"/>
      <c r="J292" s="4"/>
      <c r="K292" s="171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2" t="str">
        <f>IF('Données projet'!$B$18="","",'Données projet'!$B$18)</f>
        <v/>
      </c>
      <c r="C293" s="4"/>
      <c r="D293" s="4"/>
      <c r="E293" s="4"/>
      <c r="F293" s="228"/>
      <c r="G293" s="204"/>
      <c r="H293" s="4"/>
      <c r="I293" s="4"/>
      <c r="J293" s="4"/>
      <c r="K293" s="171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28"/>
      <c r="G294" s="204"/>
      <c r="H294" s="4"/>
      <c r="I294" s="4"/>
      <c r="J294" s="4"/>
      <c r="K294" s="171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29"/>
      <c r="G295" s="204"/>
      <c r="H295" s="4"/>
      <c r="I295" s="4"/>
      <c r="J295" s="4"/>
      <c r="K295" s="171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7" t="s">
        <v>132</v>
      </c>
      <c r="C296" s="196" t="s">
        <v>132</v>
      </c>
      <c r="D296" s="195" t="s">
        <v>132</v>
      </c>
      <c r="E296" s="191"/>
      <c r="F296" s="229"/>
      <c r="G296" s="204"/>
      <c r="H296" s="4"/>
      <c r="I296" s="4"/>
      <c r="J296" s="4"/>
      <c r="K296" s="171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7" t="s">
        <v>132</v>
      </c>
      <c r="C297" s="196" t="s">
        <v>132</v>
      </c>
      <c r="D297" s="195" t="s">
        <v>132</v>
      </c>
      <c r="E297" s="191"/>
      <c r="F297" s="229"/>
      <c r="G297" s="23"/>
      <c r="H297" s="4"/>
      <c r="I297" s="4"/>
      <c r="J297" s="4"/>
      <c r="K297" s="171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7" t="s">
        <v>132</v>
      </c>
      <c r="C298" s="196" t="s">
        <v>132</v>
      </c>
      <c r="D298" s="195" t="s">
        <v>132</v>
      </c>
      <c r="E298" s="191"/>
      <c r="F298" s="229"/>
      <c r="G298" s="23"/>
      <c r="H298" s="4"/>
      <c r="I298" s="4"/>
      <c r="J298" s="4"/>
      <c r="K298" s="171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7" t="s">
        <v>132</v>
      </c>
      <c r="C299" s="196" t="s">
        <v>132</v>
      </c>
      <c r="D299" s="195" t="s">
        <v>132</v>
      </c>
      <c r="E299" s="191"/>
      <c r="F299" s="229"/>
      <c r="G299" s="23"/>
      <c r="H299" s="4"/>
      <c r="I299" s="4"/>
      <c r="J299" s="4"/>
      <c r="K299" s="171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7" t="s">
        <v>132</v>
      </c>
      <c r="C300" s="196" t="s">
        <v>132</v>
      </c>
      <c r="D300" s="195" t="s">
        <v>132</v>
      </c>
      <c r="E300" s="191"/>
      <c r="F300" s="229"/>
      <c r="G300" s="23"/>
      <c r="H300" s="4"/>
      <c r="I300" s="4"/>
      <c r="J300" s="4"/>
      <c r="K300" s="171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7" t="s">
        <v>132</v>
      </c>
      <c r="C301" s="196" t="s">
        <v>132</v>
      </c>
      <c r="D301" s="195" t="s">
        <v>132</v>
      </c>
      <c r="E301" s="191"/>
      <c r="F301" s="229"/>
      <c r="G301" s="203"/>
      <c r="H301" s="4"/>
      <c r="I301" s="4"/>
      <c r="J301" s="4"/>
      <c r="K301" s="171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78">
        <f>'Données projet'!A270</f>
        <v>0</v>
      </c>
      <c r="B302" s="179">
        <f>'Données projet'!D270</f>
        <v>0</v>
      </c>
      <c r="C302" s="189"/>
      <c r="D302" s="180">
        <f>B302*C302</f>
        <v>0</v>
      </c>
      <c r="E302" s="191"/>
      <c r="F302" s="231"/>
      <c r="G302" s="203"/>
      <c r="H302" s="4"/>
      <c r="I302" s="4"/>
      <c r="J302" s="4"/>
      <c r="K302" s="171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78">
        <f>'Données projet'!A271</f>
        <v>0</v>
      </c>
      <c r="B303" s="179">
        <f>'Données projet'!D271</f>
        <v>0</v>
      </c>
      <c r="C303" s="189"/>
      <c r="D303" s="180">
        <f t="shared" ref="D303:D321" si="15">B303*C303</f>
        <v>0</v>
      </c>
      <c r="E303" s="191"/>
      <c r="F303" s="231"/>
      <c r="G303" s="203"/>
      <c r="H303" s="4"/>
      <c r="I303" s="4"/>
      <c r="J303" s="4"/>
      <c r="K303" s="171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78">
        <f>'Données projet'!A272</f>
        <v>0</v>
      </c>
      <c r="B304" s="179">
        <f>'Données projet'!D272</f>
        <v>0</v>
      </c>
      <c r="C304" s="189"/>
      <c r="D304" s="180">
        <f t="shared" si="15"/>
        <v>0</v>
      </c>
      <c r="E304" s="191"/>
      <c r="F304" s="231"/>
      <c r="G304" s="203"/>
      <c r="H304" s="4"/>
      <c r="I304" s="4"/>
      <c r="J304" s="4"/>
      <c r="K304" s="171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78">
        <f>'Données projet'!A273</f>
        <v>0</v>
      </c>
      <c r="B305" s="179">
        <f>'Données projet'!D273</f>
        <v>0</v>
      </c>
      <c r="C305" s="189"/>
      <c r="D305" s="180">
        <f t="shared" si="15"/>
        <v>0</v>
      </c>
      <c r="E305" s="191"/>
      <c r="F305" s="231"/>
      <c r="G305" s="203"/>
      <c r="H305" s="4"/>
      <c r="I305" s="4"/>
      <c r="J305" s="4"/>
      <c r="K305" s="171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78">
        <f>'Données projet'!A274</f>
        <v>0</v>
      </c>
      <c r="B306" s="179">
        <f>'Données projet'!D274</f>
        <v>0</v>
      </c>
      <c r="C306" s="189"/>
      <c r="D306" s="180">
        <f t="shared" si="15"/>
        <v>0</v>
      </c>
      <c r="E306" s="191"/>
      <c r="F306" s="231"/>
      <c r="G306" s="203"/>
      <c r="H306" s="4"/>
      <c r="I306" s="4"/>
      <c r="J306" s="4"/>
      <c r="K306" s="171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78">
        <f>'Données projet'!A275</f>
        <v>0</v>
      </c>
      <c r="B307" s="179">
        <f>'Données projet'!D275</f>
        <v>0</v>
      </c>
      <c r="C307" s="189"/>
      <c r="D307" s="180">
        <f t="shared" si="15"/>
        <v>0</v>
      </c>
      <c r="E307" s="191"/>
      <c r="F307" s="231"/>
      <c r="G307" s="203"/>
      <c r="H307" s="4"/>
      <c r="I307" s="4"/>
      <c r="J307" s="4"/>
      <c r="K307" s="171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78">
        <f>'Données projet'!A276</f>
        <v>0</v>
      </c>
      <c r="B308" s="179">
        <f>'Données projet'!D276</f>
        <v>0</v>
      </c>
      <c r="C308" s="189"/>
      <c r="D308" s="180">
        <f t="shared" si="15"/>
        <v>0</v>
      </c>
      <c r="E308" s="191"/>
      <c r="F308" s="231"/>
      <c r="G308" s="201"/>
      <c r="H308" s="4"/>
      <c r="I308" s="4"/>
      <c r="J308" s="4"/>
      <c r="K308" s="171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78">
        <f>'Données projet'!A277</f>
        <v>0</v>
      </c>
      <c r="B309" s="179">
        <f>'Données projet'!D277</f>
        <v>0</v>
      </c>
      <c r="C309" s="189"/>
      <c r="D309" s="180">
        <f t="shared" si="15"/>
        <v>0</v>
      </c>
      <c r="E309" s="191"/>
      <c r="F309" s="231"/>
      <c r="G309" s="201"/>
      <c r="H309" s="4"/>
      <c r="I309" s="4"/>
      <c r="J309" s="4"/>
      <c r="K309" s="171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78">
        <f>'Données projet'!A278</f>
        <v>0</v>
      </c>
      <c r="B310" s="179">
        <f>'Données projet'!D278</f>
        <v>0</v>
      </c>
      <c r="C310" s="189"/>
      <c r="D310" s="180">
        <f t="shared" si="15"/>
        <v>0</v>
      </c>
      <c r="E310" s="191"/>
      <c r="F310" s="231"/>
      <c r="G310" s="201"/>
      <c r="H310" s="4"/>
      <c r="I310" s="4"/>
      <c r="J310" s="4"/>
      <c r="K310" s="171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78">
        <f>'Données projet'!A279</f>
        <v>0</v>
      </c>
      <c r="B311" s="179">
        <f>'Données projet'!D279</f>
        <v>0</v>
      </c>
      <c r="C311" s="189"/>
      <c r="D311" s="180">
        <f t="shared" si="15"/>
        <v>0</v>
      </c>
      <c r="E311" s="191"/>
      <c r="F311" s="231"/>
      <c r="G311" s="201"/>
      <c r="H311" s="4"/>
      <c r="I311" s="4"/>
      <c r="J311" s="4"/>
      <c r="K311" s="171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78">
        <f>'Données projet'!A280</f>
        <v>0</v>
      </c>
      <c r="B312" s="179">
        <f>'Données projet'!D280</f>
        <v>0</v>
      </c>
      <c r="C312" s="189"/>
      <c r="D312" s="180">
        <f t="shared" si="15"/>
        <v>0</v>
      </c>
      <c r="E312" s="191"/>
      <c r="F312" s="231"/>
      <c r="G312" s="201"/>
      <c r="H312" s="4"/>
      <c r="I312" s="4"/>
      <c r="J312" s="4"/>
      <c r="K312" s="171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78">
        <f>'Données projet'!A281</f>
        <v>0</v>
      </c>
      <c r="B313" s="179">
        <f>'Données projet'!D281</f>
        <v>0</v>
      </c>
      <c r="C313" s="189"/>
      <c r="D313" s="180">
        <f t="shared" si="15"/>
        <v>0</v>
      </c>
      <c r="E313" s="191"/>
      <c r="F313" s="231"/>
      <c r="G313" s="201"/>
      <c r="H313" s="4"/>
      <c r="I313" s="4"/>
      <c r="J313" s="4"/>
      <c r="K313" s="171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78">
        <f>'Données projet'!A282</f>
        <v>0</v>
      </c>
      <c r="B314" s="179">
        <f>'Données projet'!D282</f>
        <v>0</v>
      </c>
      <c r="C314" s="189"/>
      <c r="D314" s="180">
        <f t="shared" si="15"/>
        <v>0</v>
      </c>
      <c r="E314" s="191"/>
      <c r="F314" s="231"/>
      <c r="G314" s="201"/>
      <c r="H314" s="4"/>
      <c r="I314" s="4"/>
      <c r="J314" s="4"/>
      <c r="K314" s="171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78">
        <f>'Données projet'!A283</f>
        <v>0</v>
      </c>
      <c r="B315" s="179">
        <f>'Données projet'!D283</f>
        <v>0</v>
      </c>
      <c r="C315" s="189"/>
      <c r="D315" s="180">
        <f t="shared" si="15"/>
        <v>0</v>
      </c>
      <c r="E315" s="191"/>
      <c r="F315" s="231"/>
      <c r="G315" s="201"/>
      <c r="H315" s="4"/>
      <c r="I315" s="4"/>
      <c r="J315" s="4"/>
      <c r="K315" s="171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78">
        <f>'Données projet'!A284</f>
        <v>0</v>
      </c>
      <c r="B316" s="179">
        <f>'Données projet'!D284</f>
        <v>0</v>
      </c>
      <c r="C316" s="189"/>
      <c r="D316" s="180">
        <f t="shared" si="15"/>
        <v>0</v>
      </c>
      <c r="E316" s="191"/>
      <c r="F316" s="231"/>
      <c r="G316" s="201"/>
      <c r="H316" s="4"/>
      <c r="I316" s="4"/>
      <c r="J316" s="4"/>
      <c r="K316" s="171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78">
        <f>'Données projet'!A285</f>
        <v>0</v>
      </c>
      <c r="B317" s="179">
        <f>'Données projet'!D285</f>
        <v>0</v>
      </c>
      <c r="C317" s="189"/>
      <c r="D317" s="180">
        <f t="shared" si="15"/>
        <v>0</v>
      </c>
      <c r="E317" s="191"/>
      <c r="F317" s="231"/>
      <c r="G317" s="201"/>
      <c r="H317" s="4"/>
      <c r="I317" s="4"/>
      <c r="J317" s="4"/>
      <c r="K317" s="171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78">
        <f>'Données projet'!A286</f>
        <v>0</v>
      </c>
      <c r="B318" s="179">
        <f>'Données projet'!D286</f>
        <v>0</v>
      </c>
      <c r="C318" s="189"/>
      <c r="D318" s="180">
        <f t="shared" si="15"/>
        <v>0</v>
      </c>
      <c r="E318" s="191"/>
      <c r="F318" s="231"/>
      <c r="G318" s="201"/>
      <c r="H318" s="4"/>
      <c r="I318" s="4"/>
      <c r="J318" s="4"/>
      <c r="K318" s="171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78">
        <f>'Données projet'!A287</f>
        <v>0</v>
      </c>
      <c r="B319" s="179">
        <f>'Données projet'!D287</f>
        <v>0</v>
      </c>
      <c r="C319" s="189"/>
      <c r="D319" s="180">
        <f t="shared" si="15"/>
        <v>0</v>
      </c>
      <c r="E319" s="191"/>
      <c r="F319" s="231"/>
      <c r="G319" s="201"/>
      <c r="H319" s="4"/>
      <c r="I319" s="4"/>
      <c r="J319" s="4"/>
      <c r="K319" s="171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78">
        <f>'Données projet'!A288</f>
        <v>0</v>
      </c>
      <c r="B320" s="179">
        <f>'Données projet'!D288</f>
        <v>0</v>
      </c>
      <c r="C320" s="189"/>
      <c r="D320" s="180">
        <f t="shared" si="15"/>
        <v>0</v>
      </c>
      <c r="E320" s="191"/>
      <c r="F320" s="231"/>
      <c r="G320" s="201"/>
      <c r="H320" s="4"/>
      <c r="I320" s="4"/>
      <c r="J320" s="4"/>
      <c r="K320" s="171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78">
        <f>'Données projet'!A289</f>
        <v>0</v>
      </c>
      <c r="B321" s="179">
        <f>'Données projet'!D289</f>
        <v>0</v>
      </c>
      <c r="C321" s="194"/>
      <c r="D321" s="180">
        <f t="shared" si="15"/>
        <v>0</v>
      </c>
      <c r="E321" s="191"/>
      <c r="F321" s="231"/>
      <c r="G321" s="201"/>
      <c r="H321" s="4"/>
      <c r="I321" s="4"/>
      <c r="J321" s="4"/>
      <c r="K321" s="171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1"/>
      <c r="H322" s="4"/>
      <c r="I322" s="4"/>
      <c r="J322" s="4"/>
      <c r="K322" s="171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1"/>
      <c r="H323" s="4"/>
      <c r="I323" s="4"/>
      <c r="J323" s="4"/>
      <c r="K323" s="171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1"/>
      <c r="H324" s="4"/>
      <c r="I324" s="4"/>
      <c r="J324" s="4"/>
      <c r="K324" s="171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1"/>
      <c r="H325" s="4"/>
      <c r="I325" s="4"/>
      <c r="J325" s="4"/>
      <c r="K325" s="171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1"/>
      <c r="H326" s="4"/>
      <c r="I326" s="4"/>
      <c r="J326" s="4"/>
      <c r="K326" s="171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1"/>
      <c r="H327" s="4"/>
      <c r="I327" s="4"/>
      <c r="J327" s="4"/>
      <c r="K327" s="171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Clément GARIN</cp:lastModifiedBy>
  <dcterms:created xsi:type="dcterms:W3CDTF">2021-02-01T08:22:39Z</dcterms:created>
  <dcterms:modified xsi:type="dcterms:W3CDTF">2024-03-18T09:33:52Z</dcterms:modified>
</cp:coreProperties>
</file>